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image/jpeg" PartName="/xl/media/image1.jpg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lient Statement Report" sheetId="1" r:id="rId1"/>
  </sheets>
  <definedNames>
    <definedName name="_xlnm.Print_Area" localSheetId="0">'Client Statement Report'!$A$1:$J$13421</definedName>
  </definedNames>
</workbook>
</file>

<file path=xl/sharedStrings.xml><?xml version="1.0" encoding="utf-8"?>
<sst xmlns="http://schemas.openxmlformats.org/spreadsheetml/2006/main" count="449" uniqueCount="449">
  <si>
    <t>TRAILING MANAGEMENT FEE</t>
  </si>
  <si>
    <t>Portfolio</t>
  </si>
  <si>
    <t>RD RADSOFT HAJJ</t>
  </si>
  <si>
    <t>PT RADSOFT Investment Management</t>
  </si>
  <si>
    <t>ClientName</t>
  </si>
  <si>
    <t>Adisetya Leksmana</t>
  </si>
  <si>
    <t>sunter kirana 7 blok nc 2 no 4</t>
  </si>
  <si>
    <t>Management Fee Rate</t>
  </si>
  <si>
    <t>0.825000%</t>
  </si>
  <si>
    <t>(6221) 2783 0889</t>
  </si>
  <si>
    <t>Sharing Fee</t>
  </si>
  <si>
    <t>0.000000%</t>
  </si>
  <si>
    <t>(6221) 2970 7333</t>
  </si>
  <si>
    <t>Management Fee Type</t>
  </si>
  <si>
    <t>FLAT</t>
  </si>
  <si>
    <t>Sharing Fee Type</t>
  </si>
  <si>
    <t>Flat</t>
  </si>
  <si>
    <t>Currency</t>
  </si>
  <si>
    <t>IDR</t>
  </si>
  <si>
    <t>Date.</t>
  </si>
  <si>
    <t>NAV/Unit</t>
  </si>
  <si>
    <t>Subscription</t>
  </si>
  <si>
    <t>Redemption</t>
  </si>
  <si>
    <t>Unit</t>
  </si>
  <si>
    <t>AUM</t>
  </si>
  <si>
    <t>Management Fee (0.825000)</t>
  </si>
  <si>
    <t>FeeShare (0.000000)</t>
  </si>
  <si>
    <t>Units</t>
  </si>
  <si>
    <t>Amount</t>
  </si>
  <si>
    <t>2.5%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</si>
  <si>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</si>
  <si>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</si>
  <si>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</si>
  <si>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</si>
  <si>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</si>
  <si>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</si>
  <si>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</si>
  <si>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</si>
  <si>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</si>
  <si>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</si>
  <si>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</si>
  <si>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</si>
  <si>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</si>
  <si>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</si>
  <si>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</si>
  <si>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</si>
  <si>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</si>
  <si>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</si>
  <si>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</si>
  <si>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</si>
  <si>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</si>
  <si>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</si>
  <si>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</si>
  <si>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</si>
  <si>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</si>
  <si>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</si>
  <si>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Total :</t>
  </si>
  <si>
    <t>Agus Awali Ismantoro</t>
  </si>
  <si>
    <t>Ahmad Darwis</t>
  </si>
  <si>
    <t>Ahmad Fauzi Masud</t>
  </si>
  <si>
    <t>Ahmad Hilman Widiantoro</t>
  </si>
  <si>
    <t>Aman Somana</t>
  </si>
  <si>
    <t>Bani Maulana Mulia</t>
  </si>
  <si>
    <t>Bedjo Santoso</t>
  </si>
  <si>
    <t>Benny Asrul</t>
  </si>
  <si>
    <t>Cynthia Kania</t>
  </si>
  <si>
    <t>Darmawan M Sophian</t>
  </si>
  <si>
    <t>Didiek Bhudy Prabowo</t>
  </si>
  <si>
    <t>IR. Dini Amalia</t>
  </si>
  <si>
    <t>DR.IR.Dwi Sudharto,MSI</t>
  </si>
  <si>
    <t>Eva Sarah H</t>
  </si>
  <si>
    <t>H E Suherdie</t>
  </si>
  <si>
    <t>H. Yudi Djaenudin Malik</t>
  </si>
  <si>
    <t>Haminanto Adinugraha</t>
  </si>
  <si>
    <t>Harjadi Himawan</t>
  </si>
  <si>
    <t>Hendri Eka Jaya Putra</t>
  </si>
  <si>
    <t>Iding M. Padli Nurjaji, DR IR</t>
  </si>
  <si>
    <t>IR. Adriat Halim, MSSI.</t>
  </si>
  <si>
    <t>Ir. Hings Abdillah Karim</t>
  </si>
  <si>
    <t>Ir. Nunung Halimah</t>
  </si>
  <si>
    <t>IR. H. Nurhayim Mangkudisastra</t>
  </si>
  <si>
    <t>Isra M. Tahir</t>
  </si>
  <si>
    <t>Meidianie Camelia</t>
  </si>
  <si>
    <t>Mery Togi P Hutagalung</t>
  </si>
  <si>
    <t>MODELINDA ARIE ARSJAD</t>
  </si>
  <si>
    <t>Noor Chalis Fauzie</t>
  </si>
  <si>
    <t>Novi Trihastuti</t>
  </si>
  <si>
    <t>Ombo Satjapradja</t>
  </si>
  <si>
    <t>Pipin Permadi</t>
  </si>
  <si>
    <t>Priyadi Kardono</t>
  </si>
  <si>
    <t>Ria Susiana</t>
  </si>
  <si>
    <t>RIDIA AL QADDRINA</t>
  </si>
  <si>
    <t>Riko Susanto</t>
  </si>
  <si>
    <t>Rinita Kusrindarsanti</t>
  </si>
  <si>
    <t>Sihono Dwi Waluyo</t>
  </si>
  <si>
    <t>DR.IR.H.Soewarso</t>
  </si>
  <si>
    <t>Sri Marhaeni</t>
  </si>
  <si>
    <t>Sudradjat</t>
  </si>
  <si>
    <t>Syarifah Yasnina Yasin</t>
  </si>
  <si>
    <t>Tatang Solihin</t>
  </si>
  <si>
    <t>Wildan Permana Bachtiar</t>
  </si>
  <si>
    <t>Yudhiaji Cahya Kusuma</t>
  </si>
  <si>
    <t>Yunipan Y. Amri , MBA</t>
  </si>
  <si>
    <t>Dana Pensiun Pupuk Kalimantan Timur</t>
  </si>
  <si>
    <t xml:space="preserve">PT  Agri Resources Asia</t>
  </si>
  <si>
    <t>PT AJS Amanahjiwa Giri Artha - Dana Tabarru</t>
  </si>
  <si>
    <t xml:space="preserve">PT Asuransi Allianz Life Indonesia  Allisya Rupiah Tabarru Fund</t>
  </si>
  <si>
    <t xml:space="preserve">PT Asuransi Allianz Life Indonesia  Life &amp; Health Tabarru Life</t>
  </si>
  <si>
    <t>PT Asuransi Jasindo Syariah</t>
  </si>
  <si>
    <t>PT Asuransi Jiwa Sinarmas MSIG</t>
  </si>
  <si>
    <t>PT Asuransi Jiwa Sinarmas MSIG Cabang Syariah</t>
  </si>
  <si>
    <t>PT Asuransi Jiwa Sinarmas MSIG Excellink Fixed Income Syariah</t>
  </si>
  <si>
    <t>PT Asuransi Jiwa Sinarmas MSIG Excellink Stabile Fund Syariah</t>
  </si>
  <si>
    <t>PT Asuransi Jiwa Sinarmas MSIG QQ Excellink Dynamic Syariah</t>
  </si>
  <si>
    <t>PT Asuransi Staco Mandiri Cabang Syariah</t>
  </si>
  <si>
    <t>PT BNI Life Insurance Cab Syariah 03</t>
  </si>
  <si>
    <t>PT BNI Life Insurance Cab Syariah 1</t>
  </si>
  <si>
    <t>PT Bursa Efek Indonesia</t>
  </si>
  <si>
    <t>PT Insight Investments Management</t>
  </si>
  <si>
    <t>PT Senapati</t>
  </si>
  <si>
    <t>PT. Asuransi Takaful Keluarga</t>
  </si>
  <si>
    <t>PT. Asuransi Umum Bumiputeramuda 1967</t>
  </si>
  <si>
    <t>PT. Taspen (Persero) - Pensiun DAIP</t>
  </si>
  <si>
    <t>PT Trimegah Sekuritas Indonesia, Tbk - APERD</t>
  </si>
  <si>
    <t>45.454500%</t>
  </si>
  <si>
    <t>FeeShare (45.454500)</t>
  </si>
  <si>
    <t>PT Bank Negara Indonesia (Persero) Tbk - APERD</t>
  </si>
  <si>
    <t>PT. Nusantara Sejahtera Investama - APERD</t>
  </si>
  <si>
    <t>PT Bank Syariah Mandiri - APERD</t>
  </si>
  <si>
    <t>PT Indo Premier Sekuritas - APERD</t>
  </si>
  <si>
    <t>PT PHILLIP SEKURITAS INDONESIA - APERD</t>
  </si>
  <si>
    <t>PT Asuransi Jiwa Syariah Bumiputera</t>
  </si>
  <si>
    <t>PT. Mirae Asset Sekuritas Indonesia - APERD</t>
  </si>
  <si>
    <t>PT. Mandiri Sekuritas - APERD</t>
  </si>
  <si>
    <t>PT Asuransi Tri Pakarta Cabang Syariah</t>
  </si>
  <si>
    <t>REKSA DANA RADSOFT WEALTH</t>
  </si>
  <si>
    <t xml:space="preserve">Ahmad  Afif</t>
  </si>
  <si>
    <t>2.750000%</t>
  </si>
  <si>
    <t>Management Fee (2.750000)</t>
  </si>
  <si>
    <t>Dewi Diah Fakhriyyah</t>
  </si>
  <si>
    <t>Lokito</t>
  </si>
  <si>
    <t>Natasya Denaya Pasha</t>
  </si>
  <si>
    <t>Siti Syarifah Nuraeni</t>
  </si>
  <si>
    <t>PT ASABRI (Persero)</t>
  </si>
  <si>
    <t xml:space="preserve">REKSA DANA  RADSOFT MONEY</t>
  </si>
  <si>
    <t>Airin Sri Haryanti</t>
  </si>
  <si>
    <t>0.550000%</t>
  </si>
  <si>
    <t>Management Fee (0.550000)</t>
  </si>
  <si>
    <t>Ferdi Armand Hanafi</t>
  </si>
  <si>
    <t>Hendra Jaya</t>
  </si>
  <si>
    <t>LENNA SARI LUKMANTO</t>
  </si>
  <si>
    <t>NUNUNG SARI HARDATUN</t>
  </si>
  <si>
    <t>Nur Qomaria Tayibnapis</t>
  </si>
  <si>
    <t>Reni Novita</t>
  </si>
  <si>
    <t>SEKARSARI SUYONO</t>
  </si>
  <si>
    <t>Sila Satwikantyas</t>
  </si>
  <si>
    <t>Syamsuzzaman Shiddiqi</t>
  </si>
  <si>
    <t>Zavata Zuri</t>
  </si>
  <si>
    <t>Badan Pengelola Usaha Dan Dana Lestari BPUDL ITB</t>
  </si>
  <si>
    <t>Dana Pensiun BPK Penabur</t>
  </si>
  <si>
    <t>Dana Pensiun HKBP</t>
  </si>
  <si>
    <t>Dana Pensiun Pusri Dapensri</t>
  </si>
  <si>
    <t>Dana Pensiun Smart</t>
  </si>
  <si>
    <t>PT Asuransi Binagriya Upakara</t>
  </si>
  <si>
    <t>PT Asuransi BRI Life</t>
  </si>
  <si>
    <t>PT Asuransi BRI Life - AJK BRI</t>
  </si>
  <si>
    <t>PT Asuransi BRI Life - Askes</t>
  </si>
  <si>
    <t>PT Asuransi BRI Life - BKD Bondowoso</t>
  </si>
  <si>
    <t>PT Asuransi BRI Life - BKD Kediri</t>
  </si>
  <si>
    <t>PT Asuransi BRI Life - Individu</t>
  </si>
  <si>
    <t>PT Asuransi BRI Life - Korporasi</t>
  </si>
  <si>
    <t>PT Asuransi BRI Life - LBB</t>
  </si>
  <si>
    <t>PT Asuransi BRI Life - Paydi Pos</t>
  </si>
  <si>
    <t>PT Asuransi BRI Life - Rekayasa</t>
  </si>
  <si>
    <t>PT Asuransi Jiwa Adisarana Wanaartha - Wal Cash Fund</t>
  </si>
  <si>
    <t>PT Asuransi Jiwa Central Asia Raya CARLink Pro-Mixed</t>
  </si>
  <si>
    <t>PT Bank DKI</t>
  </si>
  <si>
    <t>PT Bank Ganesha Tbk</t>
  </si>
  <si>
    <t>PT Reasuransi Nasional Indonesia</t>
  </si>
  <si>
    <t>Yayasan Kesejahteraan Pekerja Bank Rakyat Indonesia</t>
  </si>
  <si>
    <t>Yayasan Purna Karyawan Bapindo</t>
  </si>
  <si>
    <t>PT Asuransi Jiwa Sinarmas MSIG Stable Fund Rupiah</t>
  </si>
  <si>
    <t>PT Asuransi BRI Life - SPJT</t>
  </si>
  <si>
    <t>BNI Life DKMP - SKK Aktif</t>
  </si>
  <si>
    <t>RDT RADSOFT TERPROTEKSI 18</t>
  </si>
  <si>
    <t>0.192500%</t>
  </si>
  <si>
    <t>Management Fee (0.192500)</t>
  </si>
  <si>
    <t>REKSADANA GURU</t>
  </si>
  <si>
    <t>1.100000%</t>
  </si>
  <si>
    <t>Management Fee (1.100000)</t>
  </si>
  <si>
    <t>PT ASABRI (Persero) Dapen Polri</t>
  </si>
  <si>
    <t>PT Asabri (Persero) Dapen TNI</t>
  </si>
  <si>
    <t>Reksa Dana RADSOFT Syariah Berimbang I SHARE</t>
  </si>
  <si>
    <t>AHMAD BADAWI, SE</t>
  </si>
  <si>
    <t>1.375000%</t>
  </si>
  <si>
    <t>Management Fee (1.375000)</t>
  </si>
  <si>
    <t>Anak Agung Gde Wisnu Wardhana</t>
  </si>
  <si>
    <t>Dian Novianti</t>
  </si>
  <si>
    <t>Indra Gunawan</t>
  </si>
  <si>
    <t>M Asrizal</t>
  </si>
  <si>
    <t>Yossa Ristamufina</t>
  </si>
  <si>
    <t>PT AJS Amanahjiwa Giri Artha</t>
  </si>
  <si>
    <t>PT BNI Life Insurance - Syariah Balanced Fund</t>
  </si>
  <si>
    <t>RDT RADSOFT TERPROTEKSI 2</t>
  </si>
  <si>
    <t>PT Tugu Reasuransi Indonesia</t>
  </si>
  <si>
    <t>0.385000%</t>
  </si>
  <si>
    <t>Management Fee (0.385000)</t>
  </si>
  <si>
    <t xml:space="preserve">REKSA DANA  RADSOFT SCHOLARSHIP FUND</t>
  </si>
  <si>
    <t>BPJS Ketenagakerjaan - JHT</t>
  </si>
  <si>
    <t xml:space="preserve">REKSA DANA  RADSOFT COMMUNITY DEVELOPMENT</t>
  </si>
  <si>
    <t>Dana Pensiun Perkebunan</t>
  </si>
  <si>
    <t>0.935000%</t>
  </si>
  <si>
    <t>Management Fee (0.935000)</t>
  </si>
  <si>
    <t>REKSA DANA RADSOFT TUNAS BANGSA</t>
  </si>
  <si>
    <t>BPJS Ketenagakerjaan - BPJS</t>
  </si>
  <si>
    <t>BPJS Ketenagakerjaan - JK</t>
  </si>
  <si>
    <t>BPJS Ketenagakerjaan - JKK</t>
  </si>
  <si>
    <t>REKSA DANA RADSOFT PEDULI I CARE</t>
  </si>
  <si>
    <t xml:space="preserve">DP  Perusahaan Pelabuhan Dan Pengerukan</t>
  </si>
  <si>
    <t>1.650000%</t>
  </si>
  <si>
    <t>Management Fee (1.650000)</t>
  </si>
  <si>
    <t>REKSA DANA RADSOFT SUPPORT</t>
  </si>
  <si>
    <t>Perum Jaminan Kredit Indonesia</t>
  </si>
  <si>
    <t>1.925000%</t>
  </si>
  <si>
    <t>Management Fee (1.925000)</t>
  </si>
  <si>
    <t>RDT RADSOFT TERPROTEKSI 3</t>
  </si>
  <si>
    <t>0.220000%</t>
  </si>
  <si>
    <t>Management Fee (0.220000)</t>
  </si>
  <si>
    <t>REKSA DANA RADSOFT INSPIRASI</t>
  </si>
  <si>
    <t>Dana Pensiun Bukit Asam</t>
  </si>
  <si>
    <t>REKSA DANA RADSOFT FELLOWSHIP</t>
  </si>
  <si>
    <t>Dana Pensiun Karyawan BPJS Ketenagakerjaan</t>
  </si>
  <si>
    <t>1.760000%</t>
  </si>
  <si>
    <t>Management Fee (1.760000)</t>
  </si>
  <si>
    <t xml:space="preserve">REKSA DANA  RADSOFT MONEY SYARIAH</t>
  </si>
  <si>
    <t>IR. ARIA ANUGRAHA</t>
  </si>
  <si>
    <t>Suharni</t>
  </si>
  <si>
    <t>Dana Pensiun Karyawan PT Coca Cola Indonesia</t>
  </si>
  <si>
    <t>PT Asuransi BRI Life - Dana Investasi</t>
  </si>
  <si>
    <t>PT Asuransi BRI Life - Dana Perusahaan</t>
  </si>
  <si>
    <t>PT Asuransi BRI Life - Dana Tabbaru</t>
  </si>
  <si>
    <t>PT Asuransi Jiwa Adisarana Wanaartha - Dana Tabarru</t>
  </si>
  <si>
    <t>PT Asuransi Jiwa Adisarana Wanaartha - Syariah</t>
  </si>
  <si>
    <t>PT Asuransi Jiwa Sinarmas MSIG Excellink Balance Fund Syariah</t>
  </si>
  <si>
    <t>PT Asuransi Jiwa Sinarmas MSIG Excellink Cash Fund Syariah</t>
  </si>
  <si>
    <t>PT Asuransi Jiwa Sinarmas MSIG Excellink Equity Fund Syariah</t>
  </si>
  <si>
    <t>PT Bank BNI Syariah</t>
  </si>
  <si>
    <t>PT BNI Life Insurance Cab Syariah 04</t>
  </si>
  <si>
    <t>Yayasan Kesejahteraan Pegawai Bank Negara Indonesia</t>
  </si>
  <si>
    <t>Yayasan Kesejahteraan Pegawai PT Coca Cola Indonesia</t>
  </si>
  <si>
    <t>PT INVESTAMART PRINCIPAL OPTIMA - APERD</t>
  </si>
  <si>
    <t>BNI Life DKMP - SKK Pensiun Syariah</t>
  </si>
  <si>
    <t>PT Bank Pembangunan Daerah Jambi Unit Usaha Syariah</t>
  </si>
  <si>
    <t>PT Nadira Investasikita Bersama - APERD</t>
  </si>
  <si>
    <t>REKSA DANA RADSOFT COMMUNITY DEVELOPMENT 2</t>
  </si>
  <si>
    <t>2.200000%</t>
  </si>
  <si>
    <t>Management Fee (2.200000)</t>
  </si>
  <si>
    <t>REKSA DANA RADSOFT PLAN</t>
  </si>
  <si>
    <t>DP. Rajawali Nusantara Indonesia</t>
  </si>
  <si>
    <t>RDT RADSOFT TERPROTEKSI 5</t>
  </si>
  <si>
    <t>0.330000%</t>
  </si>
  <si>
    <t>Management Fee (0.330000)</t>
  </si>
  <si>
    <t>REKSA DANA RADSOFT GREEN</t>
  </si>
  <si>
    <t>REKSA DANA RADSOFT INFRA DEVELOPMENT IINFRA</t>
  </si>
  <si>
    <t>PT Sarana Multi Infrastruktur</t>
  </si>
  <si>
    <t>Taspen Pusat (Persero) PT QQ THT</t>
  </si>
  <si>
    <t>REKSA DANA RADSOFT LIFE</t>
  </si>
  <si>
    <t>Handayani</t>
  </si>
  <si>
    <t>REKSA DANA RADSOFT BRIGHT</t>
  </si>
  <si>
    <t>PT Asuransi Simas Jiwa Simas Fund Rupiah</t>
  </si>
  <si>
    <t>0.082500%</t>
  </si>
  <si>
    <t>Management Fee (0.082500)</t>
  </si>
  <si>
    <t>Simas Balanced Primer Fund</t>
  </si>
  <si>
    <t>Siji Fixed Fund</t>
  </si>
  <si>
    <t>REKSA DANA RADSOFT GOVERNMENT FUND</t>
  </si>
  <si>
    <t>BPJS Kesehatan</t>
  </si>
  <si>
    <t>Dana Pensiun ASDP</t>
  </si>
  <si>
    <t>Dana Pensiun Baptis Indonesia</t>
  </si>
  <si>
    <t>Dana Pensiun Biro Klasifikasi Indonesia</t>
  </si>
  <si>
    <t>Dana Pensiun Krakatau Steel</t>
  </si>
  <si>
    <t>Dana Pensiun LEN Industri</t>
  </si>
  <si>
    <t>Dana Pensiun PT Asuransi Jasa Indonesia</t>
  </si>
  <si>
    <t>Dana Pensiun Satya Wacana</t>
  </si>
  <si>
    <t>PT Asuransi Jiwa Central Asia Raya</t>
  </si>
  <si>
    <t>Dana Pensiun INTI</t>
  </si>
  <si>
    <t>REKSA DANA RADSOFT ASA LOKA I ASA</t>
  </si>
  <si>
    <t>PT Bank Pembangunan Daerah Sumatera Selatan dan Bangka Belitung</t>
  </si>
  <si>
    <t>0.165000%</t>
  </si>
  <si>
    <t>Management Fee (0.165000)</t>
  </si>
  <si>
    <t>REKSA DANA SYARIAH RADSOFT SIMAS ASNA PENDAPATAN TETAP SYARIAH I ASNA</t>
  </si>
  <si>
    <t xml:space="preserve">PT Asuransi Simas Jiwa -  Simas Tasyakur Fixed Fund</t>
  </si>
  <si>
    <t>PT Asuransi Simas Jiwa - Syariah Pengelola</t>
  </si>
  <si>
    <t>PT Asuransi Simas Jiwa - Syariah Peserta</t>
  </si>
  <si>
    <t>PT Asuransi Simas Jiwa - Siji Fund Syariah Rupiah</t>
  </si>
  <si>
    <t>REKSA DANA RADSOFT DEDICATE MIX FUND</t>
  </si>
  <si>
    <t>RDT RADSOFT TERPROTEKSI 7</t>
  </si>
  <si>
    <t>PT. Bank Pan Indonesia Tbk - APERD</t>
  </si>
  <si>
    <t>0.440000%</t>
  </si>
  <si>
    <t>Management Fee (0.440000)</t>
  </si>
  <si>
    <t>RDT RADSOFT TERPROTEKSI 8</t>
  </si>
  <si>
    <t>Hy End Pro-5</t>
  </si>
  <si>
    <t>0.110000%</t>
  </si>
  <si>
    <t>Management Fee (0.110000)</t>
  </si>
  <si>
    <t>RDT RADSOFT TERPROTEKSI 10</t>
  </si>
  <si>
    <t>PT Bank Pembangunan Daerah Jambi</t>
  </si>
  <si>
    <t>RDT RADSOFT TERPROTEKSI 11</t>
  </si>
  <si>
    <t>REKSA DANA RADSOFT CASH FUND</t>
  </si>
  <si>
    <t>PT Bank Bukopin Tbk</t>
  </si>
  <si>
    <t>REKSA DANA RADSOFT GENERATE BALANCED FUND</t>
  </si>
  <si>
    <t>B-Life Link Dana Maksima</t>
  </si>
  <si>
    <t>B-Life Link Dana Maksima Plus</t>
  </si>
  <si>
    <t>B-Life Link Dana Selaras</t>
  </si>
  <si>
    <t>B-Life Link Dana Selaras Plus</t>
  </si>
  <si>
    <t>Didit Kalbu Adi</t>
  </si>
  <si>
    <t>REKSA DANA RADSOFT CREATE BALANCED FUND</t>
  </si>
  <si>
    <t>Dana Pensiun Pegadaian</t>
  </si>
  <si>
    <t>REKSA DANA RADSOFT GENERATE BALANCED FUND 2</t>
  </si>
  <si>
    <t>PT Asuransi ASEI Indonesia</t>
  </si>
  <si>
    <t>RDT RADSOFT TERPROTEKSI 12</t>
  </si>
  <si>
    <t>PT Asuransi Jiwa Taspen</t>
  </si>
  <si>
    <t>0.176000%</t>
  </si>
  <si>
    <t>Management Fee (0.176000)</t>
  </si>
  <si>
    <t>RDT RADSOFT TERPROTEKSI 14</t>
  </si>
  <si>
    <t>REKSA DANA RADSOFT HEALTH FIXED INCOME FUND</t>
  </si>
  <si>
    <t>0.325000%</t>
  </si>
  <si>
    <t>Management Fee (0.325000)</t>
  </si>
  <si>
    <t>Reksa Dana RADSOFT Prime Fixed Income Fund</t>
  </si>
  <si>
    <t>PT Asuransi Jiwa Adisarana Wanaartha</t>
  </si>
  <si>
    <t>0.990000%</t>
  </si>
  <si>
    <t>Management Fee (0.990000)</t>
  </si>
  <si>
    <t>RDT RADSOFT TERPROTEKSI 15</t>
  </si>
  <si>
    <t>Management Fee (0.000000)</t>
  </si>
  <si>
    <t>RDT RADSOFT TERPROTEKSI INFRASTRUKTUR</t>
  </si>
  <si>
    <t>RDST RADSOFT TERPROTEKSI SYARIAH III</t>
  </si>
  <si>
    <t>Bank Muamalat</t>
  </si>
  <si>
    <t>0.275000%</t>
  </si>
  <si>
    <t>Management Fee (0.275000)</t>
  </si>
  <si>
    <t>REKSA DANA RADSOFT GROWTH BALANCED FUND</t>
  </si>
  <si>
    <t>Dana Pensiun BRI</t>
  </si>
  <si>
    <t>0.561000%</t>
  </si>
  <si>
    <t>Management Fee (0.561000)</t>
  </si>
  <si>
    <t>RDT RADSOFT TERPROTEKSI 16</t>
  </si>
  <si>
    <t>RDT RADSOFT TERPROTEKSI 25</t>
  </si>
  <si>
    <t>PT Reasuransi Indonesia Utama Persero</t>
  </si>
  <si>
    <t>REKSA DANA RADSOFT BHINNEKA BALANCED FUND</t>
  </si>
  <si>
    <t>REKSA DANA RADSOFT INDONESIA FIXED INCOME FUND</t>
  </si>
  <si>
    <t>REKSA DANA INDEKS RADSOFT INDEKS IDX30</t>
  </si>
  <si>
    <t>Eko Juni Purwandari</t>
  </si>
  <si>
    <t>18.181800%</t>
  </si>
  <si>
    <t>FeeShare (18.181800)</t>
  </si>
  <si>
    <t>Dana Pensiun Gereja Kristen Indonesia</t>
  </si>
  <si>
    <t>Dana Pensiun Pelni</t>
  </si>
  <si>
    <t>PT Takjub Teknologi Indonesia - APERD</t>
  </si>
  <si>
    <t>RDT RADSOFT TERPROTEKSI 20</t>
  </si>
  <si>
    <t>REKSA DANA RADSOFT NUSANTARA EQUITY FUND I NUSANTARA</t>
  </si>
  <si>
    <t>Akhmad Mukhidin</t>
  </si>
  <si>
    <t>SUBARNO</t>
  </si>
  <si>
    <t>Yusuf Maulana</t>
  </si>
  <si>
    <t>RDT RADSOFT TERPROTEKSI USD</t>
  </si>
  <si>
    <t>0.055000%</t>
  </si>
  <si>
    <t>USD</t>
  </si>
  <si>
    <t>Management Fee (0.055000)</t>
  </si>
  <si>
    <t>RDT RADSOFT TERPROTEKSI 27</t>
  </si>
  <si>
    <t>0.198000%</t>
  </si>
  <si>
    <t>Management Fee (0.198000)</t>
  </si>
  <si>
    <t>PT Asuransi Jiwa Central Asia Raya CARLink Pro-Fixed</t>
  </si>
  <si>
    <t>Reksa Dana RADSOFT Retail Cash Fund</t>
  </si>
  <si>
    <t>PT Bank Victoria International Tbk</t>
  </si>
  <si>
    <t>REKSA DANA INDEKS RADSOFT SRI KEHATI LIKUID I SRI LIKUID</t>
  </si>
  <si>
    <t>Monica Ginting</t>
  </si>
  <si>
    <t>1.012000%</t>
  </si>
  <si>
    <t>Management Fee (1.012000)</t>
  </si>
  <si>
    <t>Dana Pensiun Universitas Surabaya</t>
  </si>
  <si>
    <t>RDT RADSOFT TERPROTEKSI 30</t>
  </si>
  <si>
    <t>0.907500%</t>
  </si>
  <si>
    <t>55.096500%</t>
  </si>
  <si>
    <t>Management Fee (0.907500)</t>
  </si>
  <si>
    <t>FeeShare (55.096500)</t>
  </si>
  <si>
    <t>RDT RADSOFT TERPROTEKSI 23</t>
  </si>
  <si>
    <t>0.203500%</t>
  </si>
  <si>
    <t>Management Fee (0.203500)</t>
  </si>
  <si>
    <t>RDT RADSOFT TERPROTEKSI 31</t>
  </si>
  <si>
    <t>Yayasan Kesejahteraan Karyawan Bank Indonesia</t>
  </si>
  <si>
    <t>0.154000%</t>
  </si>
  <si>
    <t>Management Fee (0.154000)</t>
  </si>
  <si>
    <t>RDT RADSOFT TERPROTEKSI 35</t>
  </si>
  <si>
    <t>Bapelkes Krakatau Steel</t>
  </si>
  <si>
    <t>RDT RADSOFT TERPROTEKSI 24</t>
  </si>
  <si>
    <t>REKSA DANA RADSOFT RENEWABLE ENERGY FUND</t>
  </si>
  <si>
    <t>B-Life Link Dana Cemerlang</t>
  </si>
  <si>
    <t>B-Life Link Dana Stabil</t>
  </si>
  <si>
    <t>B-Life Link Dana Stabil Plus</t>
  </si>
  <si>
    <t>RDST RADSOFT TERPROTEKSI SYARIAH V</t>
  </si>
  <si>
    <t>REKSA DANA RADSOFT SMART FIXED INCOME FUND I SMART</t>
  </si>
  <si>
    <t>0.770000%</t>
  </si>
  <si>
    <t>Management Fee (0.770000)</t>
  </si>
  <si>
    <t>Reksa Dana Syariah RADSOFT Amanah Pendapatan Tetap Syariah I AMANAH</t>
  </si>
  <si>
    <t xml:space="preserve">PT Asuransi Allianz Life Indonesia  Allisya Rupiah Balance Fund</t>
  </si>
  <si>
    <t>0.137500%</t>
  </si>
  <si>
    <t>Management Fee (0.137500)</t>
  </si>
  <si>
    <t xml:space="preserve">PT Asuransi Allianz Life Indonesia  Allisya Rupiah Fixed Income Fund</t>
  </si>
  <si>
    <t>REKSA DANA RADSOFT TUNAS BANGSA FUND 2</t>
  </si>
  <si>
    <t>RDT RADSOFT TERPROTEKSI 29</t>
  </si>
  <si>
    <t>0.913000%</t>
  </si>
  <si>
    <t>54.764500%</t>
  </si>
  <si>
    <t>Management Fee (0.913000)</t>
  </si>
  <si>
    <t>FeeShare (54.764500)</t>
  </si>
  <si>
    <t>RDT RADSOFT TERPROTEKSI 32</t>
  </si>
  <si>
    <t>RDT RADSOFT TERPROTEKSI 34</t>
  </si>
  <si>
    <t>RDT RADSOFT TERPROTEKSI 36</t>
  </si>
  <si>
    <t>0.528000%</t>
  </si>
  <si>
    <t>Management Fee (0.528000)</t>
  </si>
  <si>
    <t>RDT RADSOFT TERPROTEKSI 37</t>
  </si>
  <si>
    <t>PT. Bank Tabungan Negara (Persero) Tbk - APERD</t>
  </si>
  <si>
    <t>RDT RADSOFT TERPROTEKSI 43</t>
  </si>
  <si>
    <t>PT BNI Life Insurance</t>
  </si>
  <si>
    <t>RDT RADSOFT TERPROTEKSI 42</t>
  </si>
  <si>
    <t>0.066000%</t>
  </si>
  <si>
    <t>Management Fee (0.066000)</t>
  </si>
  <si>
    <t>RDT RADSOFT TERPROTEKSI 40</t>
  </si>
  <si>
    <t>0.682000%</t>
  </si>
  <si>
    <t>Management Fee (0.682000)</t>
  </si>
  <si>
    <t>Dana Pensiun Persekutuan Gereja Indonesia</t>
  </si>
  <si>
    <t>PT Asuransi Bangun Askrida</t>
  </si>
  <si>
    <t>Dana Pensiun BNI</t>
  </si>
  <si>
    <t>Yayasan Kesejahteraan Karyawan Pembangunan Perumahan YKKPP</t>
  </si>
  <si>
    <t>Pusat Koperasi Kredit Borneo</t>
  </si>
  <si>
    <t>RDT RADSOFT TERPROTEKSI GOVERNMENT FUND 3</t>
  </si>
  <si>
    <t>0.077000%</t>
  </si>
  <si>
    <t>Management Fee (0.077000)</t>
  </si>
  <si>
    <t>RDT RADSOFT TERPROTEKSI 45</t>
  </si>
  <si>
    <t>0.506000%</t>
  </si>
  <si>
    <t>Management Fee (0.506000)</t>
  </si>
  <si>
    <t>Dana Pensiun Pegawai BPD Jatim</t>
  </si>
  <si>
    <t>Dana Pensiun Karyawan PT PAL Indonesia</t>
  </si>
  <si>
    <t>RDT RADSOFT TERPROTEKSI 44</t>
  </si>
  <si>
    <t>PT Pelabuhan Indonesia Investama</t>
  </si>
  <si>
    <t>0.605000%</t>
  </si>
  <si>
    <t>Management Fee (0.605000)</t>
  </si>
  <si>
    <t>RDT RADSOFT TERPROTEKSI 46</t>
  </si>
  <si>
    <t>RDT RADSOFT TERPROTEKSI 39</t>
  </si>
  <si>
    <t>REKSA DANA RADSOFT BENEFIT BALANCED FUND</t>
  </si>
  <si>
    <t>RDT RADSOFT TERPROTEKSI 49</t>
  </si>
  <si>
    <t>RDT RADSOFT TERPROTEKSI 47</t>
  </si>
  <si>
    <t>RDT RADSOFT TERPROTEKSI 50</t>
  </si>
  <si>
    <t>REKSA DANA RADSOFT SEJAHTERA BAHAGIA BERIMBANG</t>
  </si>
  <si>
    <t>RDT RADSOFT TERPROTEKSI 48</t>
  </si>
  <si>
    <t>0.650000%</t>
  </si>
  <si>
    <t>Management Fee (0.650000)</t>
  </si>
</sst>
</file>

<file path=xl/styles.xml><?xml version="1.0" encoding="utf-8"?>
<styleSheet xmlns="http://schemas.openxmlformats.org/spreadsheetml/2006/main">
  <numFmts count="1">
    <numFmt numFmtId="164" formatCode="#,##0.0000"/>
  </numFmts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/>
      <bottom/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/>
      <diagonal/>
    </border>
  </borders>
  <cellStyleXfs count="1">
    <xf numFmtId="0" fontId="0"/>
  </cellStyleXfs>
  <cellXfs count="18">
    <xf numFmtId="0" applyNumberFormat="1" fontId="0" applyFont="1" xfId="0"/>
    <xf numFmtId="0" applyNumberFormat="1" fontId="2" applyFont="1" xfId="0"/>
    <xf numFmtId="0" applyNumberFormat="1" fontId="0" applyFont="1" xfId="0">
      <alignment horizontal="right"/>
    </xf>
    <xf numFmtId="0" applyNumberFormat="1" fontId="0" applyFont="1" xfId="0">
      <alignment horizontal="right" wrapText="1"/>
    </xf>
    <xf numFmtId="0" applyNumberFormat="1" fontId="0" applyFont="1" xfId="0">
      <alignment horizontal="left"/>
    </xf>
    <xf numFmtId="0" applyNumberFormat="1" fontId="1" applyFont="1" borderId="2" applyBorder="1" xfId="0">
      <alignment horizontal="center" vertical="center"/>
    </xf>
    <xf numFmtId="0" applyNumberFormat="1" fontId="0" applyFont="1" borderId="3" applyBorder="1" xfId="0">
      <alignment horizontal="center" vertical="center"/>
    </xf>
    <xf numFmtId="0" applyNumberFormat="1" fontId="1" applyFont="1" borderId="2" applyBorder="1" xfId="0">
      <alignment horizontal="center"/>
    </xf>
    <xf numFmtId="0" applyNumberFormat="1" fontId="1" applyFont="1" borderId="3" applyBorder="1" xfId="0">
      <alignment horizontal="center"/>
    </xf>
    <xf numFmtId="0" applyNumberFormat="1" fontId="0" applyFont="1" borderId="2" applyBorder="1" xfId="0">
      <alignment horizontal="center"/>
    </xf>
    <xf numFmtId="0" applyNumberFormat="1" fontId="1" applyFont="1" borderId="3" applyBorder="1" xfId="0">
      <alignment horizontal="center" vertical="center"/>
    </xf>
    <xf numFmtId="0" applyNumberFormat="1" fontId="0" applyFont="1" borderId="4" applyBorder="1" xfId="0"/>
    <xf numFmtId="164" applyNumberFormat="1" fontId="0" applyFont="1" borderId="4" applyBorder="1" xfId="0"/>
    <xf numFmtId="4" applyNumberFormat="1" fontId="0" applyFont="1" borderId="4" applyBorder="1" xfId="0"/>
    <xf numFmtId="3" applyNumberFormat="1" fontId="0" applyFont="1" borderId="4" applyBorder="1" xfId="0"/>
    <xf numFmtId="0" applyNumberFormat="1" fontId="0" applyFont="1" borderId="1" applyBorder="1" xfId="0"/>
    <xf numFmtId="0" applyNumberFormat="1" fontId="0" applyFont="1" borderId="1" applyBorder="1" xfId="0">
      <alignment horizontal="right"/>
    </xf>
    <xf numFmtId="3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3421"/>
  <sheetViews>
    <sheetView workbookViewId="0" showGridLines="1"/>
  </sheetViews>
  <sheetFormatPr defaultRowHeight="15"/>
  <cols>
    <col min="1" max="1" width="15" customWidth="1"/>
    <col min="2" max="2" width="15" customWidth="1"/>
    <col min="3" max="3" width="15" customWidth="1"/>
    <col min="4" max="4" width="15" customWidth="1"/>
    <col min="5" max="5" width="15" customWidth="1"/>
    <col min="6" max="6" width="15" customWidth="1"/>
    <col min="7" max="7" width="17" customWidth="1"/>
    <col min="8" max="8" width="20" customWidth="1"/>
    <col min="9" max="9" width="25" customWidth="1"/>
    <col min="10" max="10" width="20" customWidth="1"/>
  </cols>
  <sheetData>
    <row r="1">
      <c r="A1" s="1" t="s">
        <v>0</v>
      </c>
      <c r="B1" s="1"/>
      <c r="C1" s="1"/>
      <c r="D1" s="1"/>
    </row>
    <row r="2">
      <c r="A2" s="0" t="s">
        <v>1</v>
      </c>
      <c r="C2" s="0" t="s">
        <v>2</v>
      </c>
      <c r="H2" s="2" t="s">
        <v>3</v>
      </c>
    </row>
    <row r="3">
      <c r="A3" s="0" t="s">
        <v>4</v>
      </c>
      <c r="C3" s="0" t="s">
        <v>5</v>
      </c>
      <c r="H3" s="3" t="s">
        <v>6</v>
      </c>
    </row>
    <row r="4">
      <c r="A4" s="0" t="s">
        <v>7</v>
      </c>
      <c r="C4" s="4" t="s">
        <v>8</v>
      </c>
      <c r="H4" s="2" t="s">
        <v>9</v>
      </c>
    </row>
    <row r="5">
      <c r="A5" s="0" t="s">
        <v>10</v>
      </c>
      <c r="C5" s="4" t="s">
        <v>11</v>
      </c>
      <c r="H5" s="2" t="s">
        <v>12</v>
      </c>
    </row>
    <row r="6">
      <c r="A6" s="0" t="s">
        <v>13</v>
      </c>
      <c r="C6" s="0" t="s">
        <v>14</v>
      </c>
    </row>
    <row r="7">
      <c r="A7" s="0" t="s">
        <v>15</v>
      </c>
      <c r="C7" s="0" t="s">
        <v>16</v>
      </c>
    </row>
    <row r="8">
      <c r="A8" s="0" t="s">
        <v>17</v>
      </c>
      <c r="C8" s="0" t="s">
        <v>18</v>
      </c>
    </row>
    <row r="11">
      <c r="A11" s="5" t="s">
        <v>19</v>
      </c>
      <c r="B11" s="5" t="s">
        <v>20</v>
      </c>
      <c r="C11" s="7" t="s">
        <v>21</v>
      </c>
      <c r="D11" s="9"/>
      <c r="E11" s="7" t="s">
        <v>22</v>
      </c>
      <c r="F11" s="9"/>
      <c r="G11" s="5" t="s">
        <v>23</v>
      </c>
      <c r="H11" s="5" t="s">
        <v>24</v>
      </c>
      <c r="I11" s="5" t="s">
        <v>25</v>
      </c>
      <c r="J11" s="5" t="s">
        <v>26</v>
      </c>
    </row>
    <row r="12">
      <c r="A12" s="6"/>
      <c r="B12" s="6"/>
      <c r="C12" s="8" t="s">
        <v>27</v>
      </c>
      <c r="D12" s="8" t="s">
        <v>28</v>
      </c>
      <c r="E12" s="8" t="s">
        <v>27</v>
      </c>
      <c r="F12" s="8" t="s">
        <v>28</v>
      </c>
      <c r="G12" s="6"/>
      <c r="H12" s="6"/>
      <c r="I12" s="10" t="s">
        <v>29</v>
      </c>
      <c r="J12" s="6"/>
    </row>
    <row r="13">
      <c r="A13" s="11" t="s">
        <v>30</v>
      </c>
      <c r="B13" s="12">
        <v>3586.4187</v>
      </c>
      <c r="C13" s="12">
        <v>0</v>
      </c>
      <c r="D13" s="13">
        <v>0</v>
      </c>
      <c r="E13" s="12">
        <v>0</v>
      </c>
      <c r="F13" s="14">
        <v>0</v>
      </c>
      <c r="G13" s="13">
        <v>1474.5063</v>
      </c>
      <c r="H13" s="14">
        <v>5288196.967588</v>
      </c>
      <c r="I13" s="14" t="e">
        <f>=Round(119.13560000,0)</f>
        <v>#VALUE!</v>
      </c>
      <c r="J13" s="14" t="e">
        <f>=Round(0.00000000,0)</f>
        <v>#VALUE!</v>
      </c>
    </row>
    <row r="14">
      <c r="A14" s="11" t="s">
        <v>31</v>
      </c>
      <c r="B14" s="12">
        <v>3587.0477</v>
      </c>
      <c r="C14" s="12">
        <v>0</v>
      </c>
      <c r="D14" s="13">
        <v>0</v>
      </c>
      <c r="E14" s="12">
        <v>0</v>
      </c>
      <c r="F14" s="14">
        <v>0</v>
      </c>
      <c r="G14" s="13">
        <v>1474.5063</v>
      </c>
      <c r="H14" s="14">
        <v>5289124.432051</v>
      </c>
      <c r="I14" s="14" t="e">
        <f>=Round(119.20120000,0)</f>
        <v>#VALUE!</v>
      </c>
      <c r="J14" s="14" t="e">
        <f>=Round(0.00000000,0)</f>
        <v>#VALUE!</v>
      </c>
    </row>
    <row r="15">
      <c r="A15" s="11" t="s">
        <v>32</v>
      </c>
      <c r="B15" s="12">
        <v>3587.6685</v>
      </c>
      <c r="C15" s="12">
        <v>0</v>
      </c>
      <c r="D15" s="13">
        <v>0</v>
      </c>
      <c r="E15" s="12">
        <v>0</v>
      </c>
      <c r="F15" s="14">
        <v>0</v>
      </c>
      <c r="G15" s="13">
        <v>1474.5063</v>
      </c>
      <c r="H15" s="14">
        <v>5290039.805562</v>
      </c>
      <c r="I15" s="14" t="e">
        <f>=Round(119.22210000,0)</f>
        <v>#VALUE!</v>
      </c>
      <c r="J15" s="14" t="e">
        <f>=Round(0.00000000,0)</f>
        <v>#VALUE!</v>
      </c>
    </row>
    <row r="16">
      <c r="A16" s="11" t="s">
        <v>33</v>
      </c>
      <c r="B16" s="12">
        <v>3588.3573</v>
      </c>
      <c r="C16" s="12">
        <v>0</v>
      </c>
      <c r="D16" s="13">
        <v>0</v>
      </c>
      <c r="E16" s="12">
        <v>0</v>
      </c>
      <c r="F16" s="14">
        <v>0</v>
      </c>
      <c r="G16" s="13">
        <v>1474.5063</v>
      </c>
      <c r="H16" s="14">
        <v>5291055.445501</v>
      </c>
      <c r="I16" s="14" t="e">
        <f>=Round(119.24270000,0)</f>
        <v>#VALUE!</v>
      </c>
      <c r="J16" s="14" t="e">
        <f>=Round(0.00000000,0)</f>
        <v>#VALUE!</v>
      </c>
    </row>
    <row r="17">
      <c r="A17" s="11" t="s">
        <v>34</v>
      </c>
      <c r="B17" s="12">
        <v>3589.0109</v>
      </c>
      <c r="C17" s="12">
        <v>0</v>
      </c>
      <c r="D17" s="13">
        <v>0</v>
      </c>
      <c r="E17" s="12">
        <v>0</v>
      </c>
      <c r="F17" s="14">
        <v>0</v>
      </c>
      <c r="G17" s="13">
        <v>1474.5063</v>
      </c>
      <c r="H17" s="14">
        <v>5292019.182819</v>
      </c>
      <c r="I17" s="14" t="e">
        <f>=Round(119.26560000,0)</f>
        <v>#VALUE!</v>
      </c>
      <c r="J17" s="14" t="e">
        <f>=Round(0.00000000,0)</f>
        <v>#VALUE!</v>
      </c>
    </row>
    <row r="18">
      <c r="A18" s="11" t="s">
        <v>35</v>
      </c>
      <c r="B18" s="12">
        <v>3589.0109</v>
      </c>
      <c r="C18" s="12">
        <v>0</v>
      </c>
      <c r="D18" s="13">
        <v>0</v>
      </c>
      <c r="E18" s="12">
        <v>0</v>
      </c>
      <c r="F18" s="14">
        <v>0</v>
      </c>
      <c r="G18" s="13">
        <v>1474.5063</v>
      </c>
      <c r="H18" s="14">
        <v>5292019.182819</v>
      </c>
      <c r="I18" s="14" t="e">
        <f>=Round(119.28730000,0)</f>
        <v>#VALUE!</v>
      </c>
      <c r="J18" s="14" t="e">
        <f>=Round(0.00000000,0)</f>
        <v>#VALUE!</v>
      </c>
    </row>
    <row r="19">
      <c r="A19" s="11" t="s">
        <v>36</v>
      </c>
      <c r="B19" s="12">
        <v>3589.0109</v>
      </c>
      <c r="C19" s="12">
        <v>0</v>
      </c>
      <c r="D19" s="13">
        <v>0</v>
      </c>
      <c r="E19" s="12">
        <v>0</v>
      </c>
      <c r="F19" s="14">
        <v>0</v>
      </c>
      <c r="G19" s="13">
        <v>1474.5063</v>
      </c>
      <c r="H19" s="14">
        <v>5292019.182819</v>
      </c>
      <c r="I19" s="14" t="e">
        <f>=Round(119.28730000,0)</f>
        <v>#VALUE!</v>
      </c>
      <c r="J19" s="14" t="e">
        <f>=Round(0.00000000,0)</f>
        <v>#VALUE!</v>
      </c>
    </row>
    <row r="20">
      <c r="A20" s="11" t="s">
        <v>37</v>
      </c>
      <c r="B20" s="12">
        <v>3590.972</v>
      </c>
      <c r="C20" s="12">
        <v>0</v>
      </c>
      <c r="D20" s="13">
        <v>0</v>
      </c>
      <c r="E20" s="12">
        <v>0</v>
      </c>
      <c r="F20" s="14">
        <v>0</v>
      </c>
      <c r="G20" s="13">
        <v>1474.5063</v>
      </c>
      <c r="H20" s="14">
        <v>5294910.837124</v>
      </c>
      <c r="I20" s="14" t="e">
        <f>=Round(119.28730000,0)</f>
        <v>#VALUE!</v>
      </c>
      <c r="J20" s="14" t="e">
        <f>=Round(0.00000000,0)</f>
        <v>#VALUE!</v>
      </c>
    </row>
    <row r="21">
      <c r="A21" s="11" t="s">
        <v>38</v>
      </c>
      <c r="B21" s="12">
        <v>3591.6235</v>
      </c>
      <c r="C21" s="12">
        <v>0</v>
      </c>
      <c r="D21" s="13">
        <v>0</v>
      </c>
      <c r="E21" s="12">
        <v>0</v>
      </c>
      <c r="F21" s="14">
        <v>0</v>
      </c>
      <c r="G21" s="13">
        <v>1474.5063</v>
      </c>
      <c r="H21" s="14">
        <v>5295871.477978</v>
      </c>
      <c r="I21" s="14" t="e">
        <f>=Round(119.35250000,0)</f>
        <v>#VALUE!</v>
      </c>
      <c r="J21" s="14" t="e">
        <f>=Round(0.00000000,0)</f>
        <v>#VALUE!</v>
      </c>
    </row>
    <row r="22">
      <c r="A22" s="11" t="s">
        <v>39</v>
      </c>
      <c r="B22" s="12">
        <v>3592.281</v>
      </c>
      <c r="C22" s="12">
        <v>0</v>
      </c>
      <c r="D22" s="13">
        <v>0</v>
      </c>
      <c r="E22" s="12">
        <v>0</v>
      </c>
      <c r="F22" s="14">
        <v>0</v>
      </c>
      <c r="G22" s="13">
        <v>1474.5063</v>
      </c>
      <c r="H22" s="14">
        <v>5296840.96587</v>
      </c>
      <c r="I22" s="14" t="e">
        <f>=Round(119.37420000,0)</f>
        <v>#VALUE!</v>
      </c>
      <c r="J22" s="14" t="e">
        <f>=Round(0.00000000,0)</f>
        <v>#VALUE!</v>
      </c>
    </row>
    <row r="23">
      <c r="A23" s="11" t="s">
        <v>40</v>
      </c>
      <c r="B23" s="12">
        <v>3592.9125</v>
      </c>
      <c r="C23" s="12">
        <v>0</v>
      </c>
      <c r="D23" s="13">
        <v>0</v>
      </c>
      <c r="E23" s="12">
        <v>0</v>
      </c>
      <c r="F23" s="14">
        <v>0</v>
      </c>
      <c r="G23" s="13">
        <v>1474.5063</v>
      </c>
      <c r="H23" s="14">
        <v>5297772.116599</v>
      </c>
      <c r="I23" s="14" t="e">
        <f>=Round(119.39600000,0)</f>
        <v>#VALUE!</v>
      </c>
      <c r="J23" s="14" t="e">
        <f>=Round(0.00000000,0)</f>
        <v>#VALUE!</v>
      </c>
    </row>
    <row r="24">
      <c r="A24" s="11" t="s">
        <v>41</v>
      </c>
      <c r="B24" s="12">
        <v>3593.5674</v>
      </c>
      <c r="C24" s="12">
        <v>0</v>
      </c>
      <c r="D24" s="13">
        <v>0</v>
      </c>
      <c r="E24" s="12">
        <v>0</v>
      </c>
      <c r="F24" s="14">
        <v>0</v>
      </c>
      <c r="G24" s="13">
        <v>1474.5063</v>
      </c>
      <c r="H24" s="14">
        <v>5298737.770775</v>
      </c>
      <c r="I24" s="14" t="e">
        <f>=Round(119.41700000,0)</f>
        <v>#VALUE!</v>
      </c>
      <c r="J24" s="14" t="e">
        <f>=Round(0.00000000,0)</f>
        <v>#VALUE!</v>
      </c>
    </row>
    <row r="25">
      <c r="A25" s="11" t="s">
        <v>42</v>
      </c>
      <c r="B25" s="12">
        <v>3593.5674</v>
      </c>
      <c r="C25" s="12">
        <v>0</v>
      </c>
      <c r="D25" s="13">
        <v>0</v>
      </c>
      <c r="E25" s="12">
        <v>0</v>
      </c>
      <c r="F25" s="14">
        <v>0</v>
      </c>
      <c r="G25" s="13">
        <v>1474.5063</v>
      </c>
      <c r="H25" s="14">
        <v>5298737.770775</v>
      </c>
      <c r="I25" s="14" t="e">
        <f>=Round(119.43880000,0)</f>
        <v>#VALUE!</v>
      </c>
      <c r="J25" s="14" t="e">
        <f>=Round(0.00000000,0)</f>
        <v>#VALUE!</v>
      </c>
    </row>
    <row r="26">
      <c r="A26" s="11" t="s">
        <v>43</v>
      </c>
      <c r="B26" s="12">
        <v>3593.5674</v>
      </c>
      <c r="C26" s="12">
        <v>0</v>
      </c>
      <c r="D26" s="13">
        <v>0</v>
      </c>
      <c r="E26" s="12">
        <v>0</v>
      </c>
      <c r="F26" s="14">
        <v>0</v>
      </c>
      <c r="G26" s="13">
        <v>1474.5063</v>
      </c>
      <c r="H26" s="14">
        <v>5298737.770775</v>
      </c>
      <c r="I26" s="14" t="e">
        <f>=Round(119.43880000,0)</f>
        <v>#VALUE!</v>
      </c>
      <c r="J26" s="14" t="e">
        <f>=Round(0.00000000,0)</f>
        <v>#VALUE!</v>
      </c>
    </row>
    <row r="27">
      <c r="A27" s="11" t="s">
        <v>44</v>
      </c>
      <c r="B27" s="12">
        <v>3595.5366</v>
      </c>
      <c r="C27" s="12">
        <v>0</v>
      </c>
      <c r="D27" s="13">
        <v>0</v>
      </c>
      <c r="E27" s="12">
        <v>0</v>
      </c>
      <c r="F27" s="14">
        <v>0</v>
      </c>
      <c r="G27" s="13">
        <v>1474.5063</v>
      </c>
      <c r="H27" s="14">
        <v>5301641.368581</v>
      </c>
      <c r="I27" s="14" t="e">
        <f>=Round(119.43880000,0)</f>
        <v>#VALUE!</v>
      </c>
      <c r="J27" s="14" t="e">
        <f>=Round(0.00000000,0)</f>
        <v>#VALUE!</v>
      </c>
    </row>
    <row r="28">
      <c r="A28" s="11" t="s">
        <v>45</v>
      </c>
      <c r="B28" s="12">
        <v>3596.1915</v>
      </c>
      <c r="C28" s="12">
        <v>0</v>
      </c>
      <c r="D28" s="13">
        <v>0</v>
      </c>
      <c r="E28" s="12">
        <v>0</v>
      </c>
      <c r="F28" s="14">
        <v>0</v>
      </c>
      <c r="G28" s="13">
        <v>1474.5063</v>
      </c>
      <c r="H28" s="14">
        <v>5302607.022756</v>
      </c>
      <c r="I28" s="14" t="e">
        <f>=Round(119.50420000,0)</f>
        <v>#VALUE!</v>
      </c>
      <c r="J28" s="14" t="e">
        <f>=Round(0.00000000,0)</f>
        <v>#VALUE!</v>
      </c>
    </row>
    <row r="29">
      <c r="A29" s="11" t="s">
        <v>46</v>
      </c>
      <c r="B29" s="12">
        <v>3596.8461</v>
      </c>
      <c r="C29" s="12">
        <v>0</v>
      </c>
      <c r="D29" s="13">
        <v>0</v>
      </c>
      <c r="E29" s="12">
        <v>0</v>
      </c>
      <c r="F29" s="14">
        <v>0</v>
      </c>
      <c r="G29" s="13">
        <v>1474.5063</v>
      </c>
      <c r="H29" s="14">
        <v>5303572.23458</v>
      </c>
      <c r="I29" s="14" t="e">
        <f>=Round(119.52600000,0)</f>
        <v>#VALUE!</v>
      </c>
      <c r="J29" s="14" t="e">
        <f>=Round(0.00000000,0)</f>
        <v>#VALUE!</v>
      </c>
    </row>
    <row r="30">
      <c r="A30" s="11" t="s">
        <v>47</v>
      </c>
      <c r="B30" s="12">
        <v>3597.4992</v>
      </c>
      <c r="C30" s="12">
        <v>0</v>
      </c>
      <c r="D30" s="13">
        <v>0</v>
      </c>
      <c r="E30" s="12">
        <v>0</v>
      </c>
      <c r="F30" s="14">
        <v>0</v>
      </c>
      <c r="G30" s="13">
        <v>1474.5063</v>
      </c>
      <c r="H30" s="14">
        <v>5304535.234645</v>
      </c>
      <c r="I30" s="14" t="e">
        <f>=Round(119.54770000,0)</f>
        <v>#VALUE!</v>
      </c>
      <c r="J30" s="14" t="e">
        <f>=Round(0.00000000,0)</f>
        <v>#VALUE!</v>
      </c>
    </row>
    <row r="31">
      <c r="A31" s="11" t="s">
        <v>48</v>
      </c>
      <c r="B31" s="12">
        <v>3598.1558</v>
      </c>
      <c r="C31" s="12">
        <v>0</v>
      </c>
      <c r="D31" s="13">
        <v>0</v>
      </c>
      <c r="E31" s="12">
        <v>0</v>
      </c>
      <c r="F31" s="14">
        <v>0</v>
      </c>
      <c r="G31" s="13">
        <v>1474.5063</v>
      </c>
      <c r="H31" s="14">
        <v>5305503.395482</v>
      </c>
      <c r="I31" s="14" t="e">
        <f>=Round(119.56940000,0)</f>
        <v>#VALUE!</v>
      </c>
      <c r="J31" s="14" t="e">
        <f>=Round(0.00000000,0)</f>
        <v>#VALUE!</v>
      </c>
    </row>
    <row r="32">
      <c r="A32" s="11" t="s">
        <v>49</v>
      </c>
      <c r="B32" s="12">
        <v>3598.1558</v>
      </c>
      <c r="C32" s="12">
        <v>0</v>
      </c>
      <c r="D32" s="13">
        <v>0</v>
      </c>
      <c r="E32" s="12">
        <v>0</v>
      </c>
      <c r="F32" s="14">
        <v>0</v>
      </c>
      <c r="G32" s="13">
        <v>1474.5063</v>
      </c>
      <c r="H32" s="14">
        <v>5305503.395482</v>
      </c>
      <c r="I32" s="14" t="e">
        <f>=Round(119.59130000,0)</f>
        <v>#VALUE!</v>
      </c>
      <c r="J32" s="14" t="e">
        <f>=Round(0.00000000,0)</f>
        <v>#VALUE!</v>
      </c>
    </row>
    <row r="33">
      <c r="A33" s="11" t="s">
        <v>50</v>
      </c>
      <c r="B33" s="12">
        <v>3598.1558</v>
      </c>
      <c r="C33" s="12">
        <v>0</v>
      </c>
      <c r="D33" s="13">
        <v>0</v>
      </c>
      <c r="E33" s="12">
        <v>0</v>
      </c>
      <c r="F33" s="14">
        <v>0</v>
      </c>
      <c r="G33" s="13">
        <v>1474.5063</v>
      </c>
      <c r="H33" s="14">
        <v>5305503.395482</v>
      </c>
      <c r="I33" s="14" t="e">
        <f>=Round(119.59130000,0)</f>
        <v>#VALUE!</v>
      </c>
      <c r="J33" s="14" t="e">
        <f>=Round(0.00000000,0)</f>
        <v>#VALUE!</v>
      </c>
    </row>
    <row r="34">
      <c r="A34" s="11" t="s">
        <v>51</v>
      </c>
      <c r="B34" s="12">
        <v>3600.124</v>
      </c>
      <c r="C34" s="12">
        <v>0</v>
      </c>
      <c r="D34" s="13">
        <v>0</v>
      </c>
      <c r="E34" s="12">
        <v>0</v>
      </c>
      <c r="F34" s="14">
        <v>0</v>
      </c>
      <c r="G34" s="13">
        <v>1474.5063</v>
      </c>
      <c r="H34" s="14">
        <v>5308405.518781</v>
      </c>
      <c r="I34" s="14" t="e">
        <f>=Round(119.59130000,0)</f>
        <v>#VALUE!</v>
      </c>
      <c r="J34" s="14" t="e">
        <f>=Round(0.00000000,0)</f>
        <v>#VALUE!</v>
      </c>
    </row>
    <row r="35">
      <c r="A35" s="11" t="s">
        <v>52</v>
      </c>
      <c r="B35" s="12">
        <v>3600.7905</v>
      </c>
      <c r="C35" s="12">
        <v>0</v>
      </c>
      <c r="D35" s="13">
        <v>0</v>
      </c>
      <c r="E35" s="12">
        <v>0</v>
      </c>
      <c r="F35" s="14">
        <v>0</v>
      </c>
      <c r="G35" s="13">
        <v>1474.5063</v>
      </c>
      <c r="H35" s="14">
        <v>5309388.27723</v>
      </c>
      <c r="I35" s="14" t="e">
        <f>=Round(119.65670000,0)</f>
        <v>#VALUE!</v>
      </c>
      <c r="J35" s="14" t="e">
        <f>=Round(0.00000000,0)</f>
        <v>#VALUE!</v>
      </c>
    </row>
    <row r="36">
      <c r="A36" s="11" t="s">
        <v>53</v>
      </c>
      <c r="B36" s="12">
        <v>3601.445</v>
      </c>
      <c r="C36" s="12">
        <v>0</v>
      </c>
      <c r="D36" s="13">
        <v>0</v>
      </c>
      <c r="E36" s="12">
        <v>0</v>
      </c>
      <c r="F36" s="14">
        <v>0</v>
      </c>
      <c r="G36" s="13">
        <v>1474.5063</v>
      </c>
      <c r="H36" s="14">
        <v>5310353.341604</v>
      </c>
      <c r="I36" s="14" t="e">
        <f>=Round(119.67880000,0)</f>
        <v>#VALUE!</v>
      </c>
      <c r="J36" s="14" t="e">
        <f>=Round(0.00000000,0)</f>
        <v>#VALUE!</v>
      </c>
    </row>
    <row r="37">
      <c r="A37" s="11" t="s">
        <v>54</v>
      </c>
      <c r="B37" s="12">
        <v>3602.0851</v>
      </c>
      <c r="C37" s="12">
        <v>0</v>
      </c>
      <c r="D37" s="13">
        <v>0</v>
      </c>
      <c r="E37" s="12">
        <v>0</v>
      </c>
      <c r="F37" s="14">
        <v>0</v>
      </c>
      <c r="G37" s="13">
        <v>1474.5063</v>
      </c>
      <c r="H37" s="14">
        <v>5311297.173086</v>
      </c>
      <c r="I37" s="14" t="e">
        <f>=Round(119.70060000,0)</f>
        <v>#VALUE!</v>
      </c>
      <c r="J37" s="14" t="e">
        <f>=Round(0.00000000,0)</f>
        <v>#VALUE!</v>
      </c>
    </row>
    <row r="38">
      <c r="A38" s="11" t="s">
        <v>55</v>
      </c>
      <c r="B38" s="12">
        <v>3602.7417</v>
      </c>
      <c r="C38" s="12">
        <v>0</v>
      </c>
      <c r="D38" s="13">
        <v>0</v>
      </c>
      <c r="E38" s="12">
        <v>0</v>
      </c>
      <c r="F38" s="14">
        <v>0</v>
      </c>
      <c r="G38" s="13">
        <v>1474.5063</v>
      </c>
      <c r="H38" s="14">
        <v>5312265.333923</v>
      </c>
      <c r="I38" s="14" t="e">
        <f>=Round(119.72190000,0)</f>
        <v>#VALUE!</v>
      </c>
      <c r="J38" s="14" t="e">
        <f>=Round(0.00000000,0)</f>
        <v>#VALUE!</v>
      </c>
    </row>
    <row r="39" ht="-1">
      <c r="A39" s="15"/>
      <c r="B39" s="16" t="s">
        <v>56</v>
      </c>
      <c r="C39" s="15"/>
      <c r="D39" s="15"/>
      <c r="E39" s="15"/>
      <c r="F39" s="15"/>
      <c r="G39" s="15"/>
      <c r="H39" s="15"/>
      <c r="I39" s="17" t="e">
        <f>=Round(SUM(I13:I38),0)</f>
        <v>#VALUE!</v>
      </c>
      <c r="J39" s="17" t="e">
        <f>=Round(SUM(J13:J38),0)</f>
        <v>#VALUE!</v>
      </c>
    </row>
    <row r="40">
      <c r="A40" s="1" t="s">
        <v>0</v>
      </c>
      <c r="B40" s="1"/>
      <c r="C40" s="1"/>
      <c r="D40" s="1"/>
    </row>
    <row r="41">
      <c r="A41" s="0" t="s">
        <v>1</v>
      </c>
      <c r="C41" s="0" t="s">
        <v>2</v>
      </c>
      <c r="H41" s="2" t="s">
        <v>3</v>
      </c>
    </row>
    <row r="42">
      <c r="A42" s="0" t="s">
        <v>4</v>
      </c>
      <c r="C42" s="0" t="s">
        <v>57</v>
      </c>
      <c r="H42" s="3" t="s">
        <v>6</v>
      </c>
    </row>
    <row r="43">
      <c r="A43" s="0" t="s">
        <v>7</v>
      </c>
      <c r="C43" s="4" t="s">
        <v>8</v>
      </c>
      <c r="H43" s="2" t="s">
        <v>9</v>
      </c>
    </row>
    <row r="44">
      <c r="A44" s="0" t="s">
        <v>10</v>
      </c>
      <c r="C44" s="4" t="s">
        <v>11</v>
      </c>
      <c r="H44" s="2" t="s">
        <v>12</v>
      </c>
    </row>
    <row r="45">
      <c r="A45" s="0" t="s">
        <v>13</v>
      </c>
      <c r="C45" s="0" t="s">
        <v>14</v>
      </c>
    </row>
    <row r="46">
      <c r="A46" s="0" t="s">
        <v>15</v>
      </c>
      <c r="C46" s="0" t="s">
        <v>16</v>
      </c>
    </row>
    <row r="47">
      <c r="A47" s="0" t="s">
        <v>17</v>
      </c>
      <c r="C47" s="0" t="s">
        <v>18</v>
      </c>
    </row>
    <row r="50">
      <c r="A50" s="5" t="s">
        <v>19</v>
      </c>
      <c r="B50" s="5" t="s">
        <v>20</v>
      </c>
      <c r="C50" s="7" t="s">
        <v>21</v>
      </c>
      <c r="D50" s="9"/>
      <c r="E50" s="7" t="s">
        <v>22</v>
      </c>
      <c r="F50" s="9"/>
      <c r="G50" s="5" t="s">
        <v>23</v>
      </c>
      <c r="H50" s="5" t="s">
        <v>24</v>
      </c>
      <c r="I50" s="5" t="s">
        <v>25</v>
      </c>
      <c r="J50" s="5" t="s">
        <v>26</v>
      </c>
    </row>
    <row r="51">
      <c r="A51" s="6"/>
      <c r="B51" s="6"/>
      <c r="C51" s="8" t="s">
        <v>27</v>
      </c>
      <c r="D51" s="8" t="s">
        <v>28</v>
      </c>
      <c r="E51" s="8" t="s">
        <v>27</v>
      </c>
      <c r="F51" s="8" t="s">
        <v>28</v>
      </c>
      <c r="G51" s="6"/>
      <c r="H51" s="6"/>
      <c r="I51" s="10" t="s">
        <v>29</v>
      </c>
      <c r="J51" s="6"/>
    </row>
    <row r="52">
      <c r="A52" s="11" t="s">
        <v>30</v>
      </c>
      <c r="B52" s="12">
        <v>3586.4187</v>
      </c>
      <c r="C52" s="12">
        <v>0</v>
      </c>
      <c r="D52" s="13">
        <v>0</v>
      </c>
      <c r="E52" s="12">
        <v>0</v>
      </c>
      <c r="F52" s="14">
        <v>0</v>
      </c>
      <c r="G52" s="13">
        <v>1293.9232</v>
      </c>
      <c r="H52" s="14">
        <v>4640550.360844</v>
      </c>
      <c r="I52" s="14" t="e">
        <f>=Round(104.54500000,0)</f>
        <v>#VALUE!</v>
      </c>
      <c r="J52" s="14" t="e">
        <f>=Round(0.00000000,0)</f>
        <v>#VALUE!</v>
      </c>
    </row>
    <row r="53">
      <c r="A53" s="11" t="s">
        <v>31</v>
      </c>
      <c r="B53" s="12">
        <v>3587.0477</v>
      </c>
      <c r="C53" s="12">
        <v>0</v>
      </c>
      <c r="D53" s="13">
        <v>0</v>
      </c>
      <c r="E53" s="12">
        <v>0</v>
      </c>
      <c r="F53" s="14">
        <v>0</v>
      </c>
      <c r="G53" s="13">
        <v>1293.9232</v>
      </c>
      <c r="H53" s="14">
        <v>4641364.238537</v>
      </c>
      <c r="I53" s="14" t="e">
        <f>=Round(104.60260000,0)</f>
        <v>#VALUE!</v>
      </c>
      <c r="J53" s="14" t="e">
        <f>=Round(0.00000000,0)</f>
        <v>#VALUE!</v>
      </c>
    </row>
    <row r="54">
      <c r="A54" s="11" t="s">
        <v>32</v>
      </c>
      <c r="B54" s="12">
        <v>3587.6685</v>
      </c>
      <c r="C54" s="12">
        <v>0</v>
      </c>
      <c r="D54" s="13">
        <v>0</v>
      </c>
      <c r="E54" s="12">
        <v>0</v>
      </c>
      <c r="F54" s="14">
        <v>0</v>
      </c>
      <c r="G54" s="13">
        <v>1293.9232</v>
      </c>
      <c r="H54" s="14">
        <v>4642167.506059</v>
      </c>
      <c r="I54" s="14" t="e">
        <f>=Round(104.62090000,0)</f>
        <v>#VALUE!</v>
      </c>
      <c r="J54" s="14" t="e">
        <f>=Round(0.00000000,0)</f>
        <v>#VALUE!</v>
      </c>
    </row>
    <row r="55">
      <c r="A55" s="11" t="s">
        <v>33</v>
      </c>
      <c r="B55" s="12">
        <v>3588.3573</v>
      </c>
      <c r="C55" s="12">
        <v>0</v>
      </c>
      <c r="D55" s="13">
        <v>0</v>
      </c>
      <c r="E55" s="12">
        <v>0</v>
      </c>
      <c r="F55" s="14">
        <v>0</v>
      </c>
      <c r="G55" s="13">
        <v>1293.9232</v>
      </c>
      <c r="H55" s="14">
        <v>4643058.760359</v>
      </c>
      <c r="I55" s="14" t="e">
        <f>=Round(104.63900000,0)</f>
        <v>#VALUE!</v>
      </c>
      <c r="J55" s="14" t="e">
        <f>=Round(0.00000000,0)</f>
        <v>#VALUE!</v>
      </c>
    </row>
    <row r="56">
      <c r="A56" s="11" t="s">
        <v>34</v>
      </c>
      <c r="B56" s="12">
        <v>3589.0109</v>
      </c>
      <c r="C56" s="12">
        <v>0</v>
      </c>
      <c r="D56" s="13">
        <v>0</v>
      </c>
      <c r="E56" s="12">
        <v>0</v>
      </c>
      <c r="F56" s="14">
        <v>0</v>
      </c>
      <c r="G56" s="13">
        <v>1293.9232</v>
      </c>
      <c r="H56" s="14">
        <v>4643904.468563</v>
      </c>
      <c r="I56" s="14" t="e">
        <f>=Round(104.65910000,0)</f>
        <v>#VALUE!</v>
      </c>
      <c r="J56" s="14" t="e">
        <f>=Round(0.00000000,0)</f>
        <v>#VALUE!</v>
      </c>
    </row>
    <row r="57">
      <c r="A57" s="11" t="s">
        <v>35</v>
      </c>
      <c r="B57" s="12">
        <v>3589.0109</v>
      </c>
      <c r="C57" s="12">
        <v>0</v>
      </c>
      <c r="D57" s="13">
        <v>0</v>
      </c>
      <c r="E57" s="12">
        <v>0</v>
      </c>
      <c r="F57" s="14">
        <v>0</v>
      </c>
      <c r="G57" s="13">
        <v>1293.9232</v>
      </c>
      <c r="H57" s="14">
        <v>4643904.468563</v>
      </c>
      <c r="I57" s="14" t="e">
        <f>=Round(104.67820000,0)</f>
        <v>#VALUE!</v>
      </c>
      <c r="J57" s="14" t="e">
        <f>=Round(0.00000000,0)</f>
        <v>#VALUE!</v>
      </c>
    </row>
    <row r="58">
      <c r="A58" s="11" t="s">
        <v>36</v>
      </c>
      <c r="B58" s="12">
        <v>3589.0109</v>
      </c>
      <c r="C58" s="12">
        <v>0</v>
      </c>
      <c r="D58" s="13">
        <v>0</v>
      </c>
      <c r="E58" s="12">
        <v>0</v>
      </c>
      <c r="F58" s="14">
        <v>0</v>
      </c>
      <c r="G58" s="13">
        <v>1293.9232</v>
      </c>
      <c r="H58" s="14">
        <v>4643904.468563</v>
      </c>
      <c r="I58" s="14" t="e">
        <f>=Round(104.67820000,0)</f>
        <v>#VALUE!</v>
      </c>
      <c r="J58" s="14" t="e">
        <f>=Round(0.00000000,0)</f>
        <v>#VALUE!</v>
      </c>
    </row>
    <row r="59">
      <c r="A59" s="11" t="s">
        <v>37</v>
      </c>
      <c r="B59" s="12">
        <v>3590.972</v>
      </c>
      <c r="C59" s="12">
        <v>0</v>
      </c>
      <c r="D59" s="13">
        <v>0</v>
      </c>
      <c r="E59" s="12">
        <v>0</v>
      </c>
      <c r="F59" s="14">
        <v>0</v>
      </c>
      <c r="G59" s="13">
        <v>1293.9232</v>
      </c>
      <c r="H59" s="14">
        <v>4646441.98135</v>
      </c>
      <c r="I59" s="14" t="e">
        <f>=Round(104.67820000,0)</f>
        <v>#VALUE!</v>
      </c>
      <c r="J59" s="14" t="e">
        <f>=Round(0.00000000,0)</f>
        <v>#VALUE!</v>
      </c>
    </row>
    <row r="60">
      <c r="A60" s="11" t="s">
        <v>38</v>
      </c>
      <c r="B60" s="12">
        <v>3591.6235</v>
      </c>
      <c r="C60" s="12">
        <v>0</v>
      </c>
      <c r="D60" s="13">
        <v>0</v>
      </c>
      <c r="E60" s="12">
        <v>0</v>
      </c>
      <c r="F60" s="14">
        <v>0</v>
      </c>
      <c r="G60" s="13">
        <v>1293.9232</v>
      </c>
      <c r="H60" s="14">
        <v>4647284.972315</v>
      </c>
      <c r="I60" s="14" t="e">
        <f>=Round(104.73540000,0)</f>
        <v>#VALUE!</v>
      </c>
      <c r="J60" s="14" t="e">
        <f>=Round(0.00000000,0)</f>
        <v>#VALUE!</v>
      </c>
    </row>
    <row r="61">
      <c r="A61" s="11" t="s">
        <v>39</v>
      </c>
      <c r="B61" s="12">
        <v>3592.281</v>
      </c>
      <c r="C61" s="12">
        <v>0</v>
      </c>
      <c r="D61" s="13">
        <v>0</v>
      </c>
      <c r="E61" s="12">
        <v>0</v>
      </c>
      <c r="F61" s="14">
        <v>0</v>
      </c>
      <c r="G61" s="13">
        <v>1293.9232</v>
      </c>
      <c r="H61" s="14">
        <v>4648135.726819</v>
      </c>
      <c r="I61" s="14" t="e">
        <f>=Round(104.75440000,0)</f>
        <v>#VALUE!</v>
      </c>
      <c r="J61" s="14" t="e">
        <f>=Round(0.00000000,0)</f>
        <v>#VALUE!</v>
      </c>
    </row>
    <row r="62">
      <c r="A62" s="11" t="s">
        <v>40</v>
      </c>
      <c r="B62" s="12">
        <v>3592.9125</v>
      </c>
      <c r="C62" s="12">
        <v>0</v>
      </c>
      <c r="D62" s="13">
        <v>0</v>
      </c>
      <c r="E62" s="12">
        <v>0</v>
      </c>
      <c r="F62" s="14">
        <v>0</v>
      </c>
      <c r="G62" s="13">
        <v>1293.9232</v>
      </c>
      <c r="H62" s="14">
        <v>4648952.83932</v>
      </c>
      <c r="I62" s="14" t="e">
        <f>=Round(104.77360000,0)</f>
        <v>#VALUE!</v>
      </c>
      <c r="J62" s="14" t="e">
        <f>=Round(0.00000000,0)</f>
        <v>#VALUE!</v>
      </c>
    </row>
    <row r="63">
      <c r="A63" s="11" t="s">
        <v>41</v>
      </c>
      <c r="B63" s="12">
        <v>3593.5674</v>
      </c>
      <c r="C63" s="12">
        <v>0</v>
      </c>
      <c r="D63" s="13">
        <v>0</v>
      </c>
      <c r="E63" s="12">
        <v>0</v>
      </c>
      <c r="F63" s="14">
        <v>0</v>
      </c>
      <c r="G63" s="13">
        <v>1293.9232</v>
      </c>
      <c r="H63" s="14">
        <v>4649800.229624</v>
      </c>
      <c r="I63" s="14" t="e">
        <f>=Round(104.79200000,0)</f>
        <v>#VALUE!</v>
      </c>
      <c r="J63" s="14" t="e">
        <f>=Round(0.00000000,0)</f>
        <v>#VALUE!</v>
      </c>
    </row>
    <row r="64">
      <c r="A64" s="11" t="s">
        <v>42</v>
      </c>
      <c r="B64" s="12">
        <v>3593.5674</v>
      </c>
      <c r="C64" s="12">
        <v>0</v>
      </c>
      <c r="D64" s="13">
        <v>0</v>
      </c>
      <c r="E64" s="12">
        <v>0</v>
      </c>
      <c r="F64" s="14">
        <v>0</v>
      </c>
      <c r="G64" s="13">
        <v>1293.9232</v>
      </c>
      <c r="H64" s="14">
        <v>4649800.229624</v>
      </c>
      <c r="I64" s="14" t="e">
        <f>=Round(104.81110000,0)</f>
        <v>#VALUE!</v>
      </c>
      <c r="J64" s="14" t="e">
        <f>=Round(0.00000000,0)</f>
        <v>#VALUE!</v>
      </c>
    </row>
    <row r="65">
      <c r="A65" s="11" t="s">
        <v>43</v>
      </c>
      <c r="B65" s="12">
        <v>3593.5674</v>
      </c>
      <c r="C65" s="12">
        <v>0</v>
      </c>
      <c r="D65" s="13">
        <v>0</v>
      </c>
      <c r="E65" s="12">
        <v>0</v>
      </c>
      <c r="F65" s="14">
        <v>0</v>
      </c>
      <c r="G65" s="13">
        <v>1293.9232</v>
      </c>
      <c r="H65" s="14">
        <v>4649800.229624</v>
      </c>
      <c r="I65" s="14" t="e">
        <f>=Round(104.81110000,0)</f>
        <v>#VALUE!</v>
      </c>
      <c r="J65" s="14" t="e">
        <f>=Round(0.00000000,0)</f>
        <v>#VALUE!</v>
      </c>
    </row>
    <row r="66">
      <c r="A66" s="11" t="s">
        <v>44</v>
      </c>
      <c r="B66" s="12">
        <v>3595.5366</v>
      </c>
      <c r="C66" s="12">
        <v>0</v>
      </c>
      <c r="D66" s="13">
        <v>0</v>
      </c>
      <c r="E66" s="12">
        <v>0</v>
      </c>
      <c r="F66" s="14">
        <v>0</v>
      </c>
      <c r="G66" s="13">
        <v>1293.9232</v>
      </c>
      <c r="H66" s="14">
        <v>4652348.223189</v>
      </c>
      <c r="I66" s="14" t="e">
        <f>=Round(104.81110000,0)</f>
        <v>#VALUE!</v>
      </c>
      <c r="J66" s="14" t="e">
        <f>=Round(0.00000000,0)</f>
        <v>#VALUE!</v>
      </c>
    </row>
    <row r="67">
      <c r="A67" s="11" t="s">
        <v>45</v>
      </c>
      <c r="B67" s="12">
        <v>3596.1915</v>
      </c>
      <c r="C67" s="12">
        <v>0</v>
      </c>
      <c r="D67" s="13">
        <v>0</v>
      </c>
      <c r="E67" s="12">
        <v>0</v>
      </c>
      <c r="F67" s="14">
        <v>0</v>
      </c>
      <c r="G67" s="13">
        <v>1293.9232</v>
      </c>
      <c r="H67" s="14">
        <v>4653195.613493</v>
      </c>
      <c r="I67" s="14" t="e">
        <f>=Round(104.86850000,0)</f>
        <v>#VALUE!</v>
      </c>
      <c r="J67" s="14" t="e">
        <f>=Round(0.00000000,0)</f>
        <v>#VALUE!</v>
      </c>
    </row>
    <row r="68">
      <c r="A68" s="11" t="s">
        <v>46</v>
      </c>
      <c r="B68" s="12">
        <v>3596.8461</v>
      </c>
      <c r="C68" s="12">
        <v>0</v>
      </c>
      <c r="D68" s="13">
        <v>0</v>
      </c>
      <c r="E68" s="12">
        <v>0</v>
      </c>
      <c r="F68" s="14">
        <v>0</v>
      </c>
      <c r="G68" s="13">
        <v>1293.9232</v>
      </c>
      <c r="H68" s="14">
        <v>4654042.61562</v>
      </c>
      <c r="I68" s="14" t="e">
        <f>=Round(104.88760000,0)</f>
        <v>#VALUE!</v>
      </c>
      <c r="J68" s="14" t="e">
        <f>=Round(0.00000000,0)</f>
        <v>#VALUE!</v>
      </c>
    </row>
    <row r="69">
      <c r="A69" s="11" t="s">
        <v>47</v>
      </c>
      <c r="B69" s="12">
        <v>3597.4992</v>
      </c>
      <c r="C69" s="12">
        <v>0</v>
      </c>
      <c r="D69" s="13">
        <v>0</v>
      </c>
      <c r="E69" s="12">
        <v>0</v>
      </c>
      <c r="F69" s="14">
        <v>0</v>
      </c>
      <c r="G69" s="13">
        <v>1293.9232</v>
      </c>
      <c r="H69" s="14">
        <v>4654887.676861</v>
      </c>
      <c r="I69" s="14" t="e">
        <f>=Round(104.90670000,0)</f>
        <v>#VALUE!</v>
      </c>
      <c r="J69" s="14" t="e">
        <f>=Round(0.00000000,0)</f>
        <v>#VALUE!</v>
      </c>
    </row>
    <row r="70">
      <c r="A70" s="11" t="s">
        <v>48</v>
      </c>
      <c r="B70" s="12">
        <v>3598.1558</v>
      </c>
      <c r="C70" s="12">
        <v>0</v>
      </c>
      <c r="D70" s="13">
        <v>0</v>
      </c>
      <c r="E70" s="12">
        <v>0</v>
      </c>
      <c r="F70" s="14">
        <v>0</v>
      </c>
      <c r="G70" s="13">
        <v>1293.9232</v>
      </c>
      <c r="H70" s="14">
        <v>4655737.266835</v>
      </c>
      <c r="I70" s="14" t="e">
        <f>=Round(104.92570000,0)</f>
        <v>#VALUE!</v>
      </c>
      <c r="J70" s="14" t="e">
        <f>=Round(0.00000000,0)</f>
        <v>#VALUE!</v>
      </c>
    </row>
    <row r="71">
      <c r="A71" s="11" t="s">
        <v>49</v>
      </c>
      <c r="B71" s="12">
        <v>3598.1558</v>
      </c>
      <c r="C71" s="12">
        <v>0</v>
      </c>
      <c r="D71" s="13">
        <v>0</v>
      </c>
      <c r="E71" s="12">
        <v>0</v>
      </c>
      <c r="F71" s="14">
        <v>0</v>
      </c>
      <c r="G71" s="13">
        <v>1293.9232</v>
      </c>
      <c r="H71" s="14">
        <v>4655737.266835</v>
      </c>
      <c r="I71" s="14" t="e">
        <f>=Round(104.94490000,0)</f>
        <v>#VALUE!</v>
      </c>
      <c r="J71" s="14" t="e">
        <f>=Round(0.00000000,0)</f>
        <v>#VALUE!</v>
      </c>
    </row>
    <row r="72">
      <c r="A72" s="11" t="s">
        <v>50</v>
      </c>
      <c r="B72" s="12">
        <v>3598.1558</v>
      </c>
      <c r="C72" s="12">
        <v>0</v>
      </c>
      <c r="D72" s="13">
        <v>0</v>
      </c>
      <c r="E72" s="12">
        <v>0</v>
      </c>
      <c r="F72" s="14">
        <v>0</v>
      </c>
      <c r="G72" s="13">
        <v>1293.9232</v>
      </c>
      <c r="H72" s="14">
        <v>4655737.266835</v>
      </c>
      <c r="I72" s="14" t="e">
        <f>=Round(104.94490000,0)</f>
        <v>#VALUE!</v>
      </c>
      <c r="J72" s="14" t="e">
        <f>=Round(0.00000000,0)</f>
        <v>#VALUE!</v>
      </c>
    </row>
    <row r="73">
      <c r="A73" s="11" t="s">
        <v>51</v>
      </c>
      <c r="B73" s="12">
        <v>3600.124</v>
      </c>
      <c r="C73" s="12">
        <v>0</v>
      </c>
      <c r="D73" s="13">
        <v>0</v>
      </c>
      <c r="E73" s="12">
        <v>0</v>
      </c>
      <c r="F73" s="14">
        <v>0</v>
      </c>
      <c r="G73" s="13">
        <v>1293.9232</v>
      </c>
      <c r="H73" s="14">
        <v>4658283.966477</v>
      </c>
      <c r="I73" s="14" t="e">
        <f>=Round(104.94490000,0)</f>
        <v>#VALUE!</v>
      </c>
      <c r="J73" s="14" t="e">
        <f>=Round(0.00000000,0)</f>
        <v>#VALUE!</v>
      </c>
    </row>
    <row r="74">
      <c r="A74" s="11" t="s">
        <v>52</v>
      </c>
      <c r="B74" s="12">
        <v>3600.7905</v>
      </c>
      <c r="C74" s="12">
        <v>0</v>
      </c>
      <c r="D74" s="13">
        <v>0</v>
      </c>
      <c r="E74" s="12">
        <v>0</v>
      </c>
      <c r="F74" s="14">
        <v>0</v>
      </c>
      <c r="G74" s="13">
        <v>1293.9232</v>
      </c>
      <c r="H74" s="14">
        <v>4659146.36629</v>
      </c>
      <c r="I74" s="14" t="e">
        <f>=Round(105.00230000,0)</f>
        <v>#VALUE!</v>
      </c>
      <c r="J74" s="14" t="e">
        <f>=Round(0.00000000,0)</f>
        <v>#VALUE!</v>
      </c>
    </row>
    <row r="75">
      <c r="A75" s="11" t="s">
        <v>53</v>
      </c>
      <c r="B75" s="12">
        <v>3601.445</v>
      </c>
      <c r="C75" s="12">
        <v>0</v>
      </c>
      <c r="D75" s="13">
        <v>0</v>
      </c>
      <c r="E75" s="12">
        <v>0</v>
      </c>
      <c r="F75" s="14">
        <v>0</v>
      </c>
      <c r="G75" s="13">
        <v>1293.9232</v>
      </c>
      <c r="H75" s="14">
        <v>4659993.239024</v>
      </c>
      <c r="I75" s="14" t="e">
        <f>=Round(105.02170000,0)</f>
        <v>#VALUE!</v>
      </c>
      <c r="J75" s="14" t="e">
        <f>=Round(0.00000000,0)</f>
        <v>#VALUE!</v>
      </c>
    </row>
    <row r="76">
      <c r="A76" s="11" t="s">
        <v>54</v>
      </c>
      <c r="B76" s="12">
        <v>3602.0851</v>
      </c>
      <c r="C76" s="12">
        <v>0</v>
      </c>
      <c r="D76" s="13">
        <v>0</v>
      </c>
      <c r="E76" s="12">
        <v>0</v>
      </c>
      <c r="F76" s="14">
        <v>0</v>
      </c>
      <c r="G76" s="13">
        <v>1293.9232</v>
      </c>
      <c r="H76" s="14">
        <v>4660821.479264</v>
      </c>
      <c r="I76" s="14" t="e">
        <f>=Round(105.04080000,0)</f>
        <v>#VALUE!</v>
      </c>
      <c r="J76" s="14" t="e">
        <f>=Round(0.00000000,0)</f>
        <v>#VALUE!</v>
      </c>
    </row>
    <row r="77">
      <c r="A77" s="11" t="s">
        <v>55</v>
      </c>
      <c r="B77" s="12">
        <v>3602.7417</v>
      </c>
      <c r="C77" s="12">
        <v>0</v>
      </c>
      <c r="D77" s="13">
        <v>0</v>
      </c>
      <c r="E77" s="12">
        <v>0</v>
      </c>
      <c r="F77" s="14">
        <v>0</v>
      </c>
      <c r="G77" s="13">
        <v>1293.9232</v>
      </c>
      <c r="H77" s="14">
        <v>4661671.069237</v>
      </c>
      <c r="I77" s="14" t="e">
        <f>=Round(105.05950000,0)</f>
        <v>#VALUE!</v>
      </c>
      <c r="J77" s="14" t="e">
        <f>=Round(0.00000000,0)</f>
        <v>#VALUE!</v>
      </c>
    </row>
    <row r="78" ht="-1">
      <c r="A78" s="15"/>
      <c r="B78" s="16" t="s">
        <v>56</v>
      </c>
      <c r="C78" s="15"/>
      <c r="D78" s="15"/>
      <c r="E78" s="15"/>
      <c r="F78" s="15"/>
      <c r="G78" s="15"/>
      <c r="H78" s="15"/>
      <c r="I78" s="17" t="e">
        <f>=Round(SUM(I52:I77),0)</f>
        <v>#VALUE!</v>
      </c>
      <c r="J78" s="17" t="e">
        <f>=Round(SUM(J52:J77),0)</f>
        <v>#VALUE!</v>
      </c>
    </row>
    <row r="79">
      <c r="A79" s="1" t="s">
        <v>0</v>
      </c>
      <c r="B79" s="1"/>
      <c r="C79" s="1"/>
      <c r="D79" s="1"/>
    </row>
    <row r="80">
      <c r="A80" s="0" t="s">
        <v>1</v>
      </c>
      <c r="C80" s="0" t="s">
        <v>2</v>
      </c>
      <c r="H80" s="2" t="s">
        <v>3</v>
      </c>
    </row>
    <row r="81">
      <c r="A81" s="0" t="s">
        <v>4</v>
      </c>
      <c r="C81" s="0" t="s">
        <v>58</v>
      </c>
      <c r="H81" s="3" t="s">
        <v>6</v>
      </c>
    </row>
    <row r="82">
      <c r="A82" s="0" t="s">
        <v>7</v>
      </c>
      <c r="C82" s="4" t="s">
        <v>8</v>
      </c>
      <c r="H82" s="2" t="s">
        <v>9</v>
      </c>
    </row>
    <row r="83">
      <c r="A83" s="0" t="s">
        <v>10</v>
      </c>
      <c r="C83" s="4" t="s">
        <v>11</v>
      </c>
      <c r="H83" s="2" t="s">
        <v>12</v>
      </c>
    </row>
    <row r="84">
      <c r="A84" s="0" t="s">
        <v>13</v>
      </c>
      <c r="C84" s="0" t="s">
        <v>14</v>
      </c>
    </row>
    <row r="85">
      <c r="A85" s="0" t="s">
        <v>15</v>
      </c>
      <c r="C85" s="0" t="s">
        <v>16</v>
      </c>
    </row>
    <row r="86">
      <c r="A86" s="0" t="s">
        <v>17</v>
      </c>
      <c r="C86" s="0" t="s">
        <v>18</v>
      </c>
    </row>
    <row r="89">
      <c r="A89" s="5" t="s">
        <v>19</v>
      </c>
      <c r="B89" s="5" t="s">
        <v>20</v>
      </c>
      <c r="C89" s="7" t="s">
        <v>21</v>
      </c>
      <c r="D89" s="9"/>
      <c r="E89" s="7" t="s">
        <v>22</v>
      </c>
      <c r="F89" s="9"/>
      <c r="G89" s="5" t="s">
        <v>23</v>
      </c>
      <c r="H89" s="5" t="s">
        <v>24</v>
      </c>
      <c r="I89" s="5" t="s">
        <v>25</v>
      </c>
      <c r="J89" s="5" t="s">
        <v>26</v>
      </c>
    </row>
    <row r="90">
      <c r="A90" s="6"/>
      <c r="B90" s="6"/>
      <c r="C90" s="8" t="s">
        <v>27</v>
      </c>
      <c r="D90" s="8" t="s">
        <v>28</v>
      </c>
      <c r="E90" s="8" t="s">
        <v>27</v>
      </c>
      <c r="F90" s="8" t="s">
        <v>28</v>
      </c>
      <c r="G90" s="6"/>
      <c r="H90" s="6"/>
      <c r="I90" s="10" t="s">
        <v>29</v>
      </c>
      <c r="J90" s="6"/>
    </row>
    <row r="91">
      <c r="A91" s="11" t="s">
        <v>30</v>
      </c>
      <c r="B91" s="12">
        <v>3586.4187</v>
      </c>
      <c r="C91" s="12">
        <v>0</v>
      </c>
      <c r="D91" s="13">
        <v>0</v>
      </c>
      <c r="E91" s="12">
        <v>0</v>
      </c>
      <c r="F91" s="14">
        <v>0</v>
      </c>
      <c r="G91" s="13">
        <v>1190.2064</v>
      </c>
      <c r="H91" s="14">
        <v>4268578.48982</v>
      </c>
      <c r="I91" s="14" t="e">
        <f>=Round(96.16500000,0)</f>
        <v>#VALUE!</v>
      </c>
      <c r="J91" s="14" t="e">
        <f>=Round(0.00000000,0)</f>
        <v>#VALUE!</v>
      </c>
    </row>
    <row r="92">
      <c r="A92" s="11" t="s">
        <v>31</v>
      </c>
      <c r="B92" s="12">
        <v>3587.0477</v>
      </c>
      <c r="C92" s="12">
        <v>0</v>
      </c>
      <c r="D92" s="13">
        <v>0</v>
      </c>
      <c r="E92" s="12">
        <v>0</v>
      </c>
      <c r="F92" s="14">
        <v>0</v>
      </c>
      <c r="G92" s="13">
        <v>1190.2064</v>
      </c>
      <c r="H92" s="14">
        <v>4269327.129645</v>
      </c>
      <c r="I92" s="14" t="e">
        <f>=Round(96.21800000,0)</f>
        <v>#VALUE!</v>
      </c>
      <c r="J92" s="14" t="e">
        <f>=Round(0.00000000,0)</f>
        <v>#VALUE!</v>
      </c>
    </row>
    <row r="93">
      <c r="A93" s="11" t="s">
        <v>32</v>
      </c>
      <c r="B93" s="12">
        <v>3587.6685</v>
      </c>
      <c r="C93" s="12">
        <v>0</v>
      </c>
      <c r="D93" s="13">
        <v>0</v>
      </c>
      <c r="E93" s="12">
        <v>0</v>
      </c>
      <c r="F93" s="14">
        <v>0</v>
      </c>
      <c r="G93" s="13">
        <v>1190.2064</v>
      </c>
      <c r="H93" s="14">
        <v>4270066.009778</v>
      </c>
      <c r="I93" s="14" t="e">
        <f>=Round(96.23480000,0)</f>
        <v>#VALUE!</v>
      </c>
      <c r="J93" s="14" t="e">
        <f>=Round(0.00000000,0)</f>
        <v>#VALUE!</v>
      </c>
    </row>
    <row r="94">
      <c r="A94" s="11" t="s">
        <v>33</v>
      </c>
      <c r="B94" s="12">
        <v>3588.3573</v>
      </c>
      <c r="C94" s="12">
        <v>0</v>
      </c>
      <c r="D94" s="13">
        <v>0</v>
      </c>
      <c r="E94" s="12">
        <v>0</v>
      </c>
      <c r="F94" s="14">
        <v>0</v>
      </c>
      <c r="G94" s="13">
        <v>1190.2064</v>
      </c>
      <c r="H94" s="14">
        <v>4270885.823947</v>
      </c>
      <c r="I94" s="14" t="e">
        <f>=Round(96.25150000,0)</f>
        <v>#VALUE!</v>
      </c>
      <c r="J94" s="14" t="e">
        <f>=Round(0.00000000,0)</f>
        <v>#VALUE!</v>
      </c>
    </row>
    <row r="95">
      <c r="A95" s="11" t="s">
        <v>34</v>
      </c>
      <c r="B95" s="12">
        <v>3589.0109</v>
      </c>
      <c r="C95" s="12">
        <v>0</v>
      </c>
      <c r="D95" s="13">
        <v>0</v>
      </c>
      <c r="E95" s="12">
        <v>0</v>
      </c>
      <c r="F95" s="14">
        <v>0</v>
      </c>
      <c r="G95" s="13">
        <v>1190.2064</v>
      </c>
      <c r="H95" s="14">
        <v>4271663.74285</v>
      </c>
      <c r="I95" s="14" t="e">
        <f>=Round(96.27000000,0)</f>
        <v>#VALUE!</v>
      </c>
      <c r="J95" s="14" t="e">
        <f>=Round(0.00000000,0)</f>
        <v>#VALUE!</v>
      </c>
    </row>
    <row r="96">
      <c r="A96" s="11" t="s">
        <v>35</v>
      </c>
      <c r="B96" s="12">
        <v>3589.0109</v>
      </c>
      <c r="C96" s="12">
        <v>0</v>
      </c>
      <c r="D96" s="13">
        <v>0</v>
      </c>
      <c r="E96" s="12">
        <v>0</v>
      </c>
      <c r="F96" s="14">
        <v>0</v>
      </c>
      <c r="G96" s="13">
        <v>1190.2064</v>
      </c>
      <c r="H96" s="14">
        <v>4271663.74285</v>
      </c>
      <c r="I96" s="14" t="e">
        <f>=Round(96.28750000,0)</f>
        <v>#VALUE!</v>
      </c>
      <c r="J96" s="14" t="e">
        <f>=Round(0.00000000,0)</f>
        <v>#VALUE!</v>
      </c>
    </row>
    <row r="97">
      <c r="A97" s="11" t="s">
        <v>36</v>
      </c>
      <c r="B97" s="12">
        <v>3589.0109</v>
      </c>
      <c r="C97" s="12">
        <v>0</v>
      </c>
      <c r="D97" s="13">
        <v>0</v>
      </c>
      <c r="E97" s="12">
        <v>0</v>
      </c>
      <c r="F97" s="14">
        <v>0</v>
      </c>
      <c r="G97" s="13">
        <v>1190.2064</v>
      </c>
      <c r="H97" s="14">
        <v>4271663.74285</v>
      </c>
      <c r="I97" s="14" t="e">
        <f>=Round(96.28750000,0)</f>
        <v>#VALUE!</v>
      </c>
      <c r="J97" s="14" t="e">
        <f>=Round(0.00000000,0)</f>
        <v>#VALUE!</v>
      </c>
    </row>
    <row r="98">
      <c r="A98" s="11" t="s">
        <v>37</v>
      </c>
      <c r="B98" s="12">
        <v>3590.972</v>
      </c>
      <c r="C98" s="12">
        <v>0</v>
      </c>
      <c r="D98" s="13">
        <v>0</v>
      </c>
      <c r="E98" s="12">
        <v>0</v>
      </c>
      <c r="F98" s="14">
        <v>0</v>
      </c>
      <c r="G98" s="13">
        <v>1190.2064</v>
      </c>
      <c r="H98" s="14">
        <v>4273997.856621</v>
      </c>
      <c r="I98" s="14" t="e">
        <f>=Round(96.28750000,0)</f>
        <v>#VALUE!</v>
      </c>
      <c r="J98" s="14" t="e">
        <f>=Round(0.00000000,0)</f>
        <v>#VALUE!</v>
      </c>
    </row>
    <row r="99">
      <c r="A99" s="11" t="s">
        <v>38</v>
      </c>
      <c r="B99" s="12">
        <v>3591.6235</v>
      </c>
      <c r="C99" s="12">
        <v>0</v>
      </c>
      <c r="D99" s="13">
        <v>0</v>
      </c>
      <c r="E99" s="12">
        <v>0</v>
      </c>
      <c r="F99" s="14">
        <v>0</v>
      </c>
      <c r="G99" s="13">
        <v>1190.2064</v>
      </c>
      <c r="H99" s="14">
        <v>4274773.27609</v>
      </c>
      <c r="I99" s="14" t="e">
        <f>=Round(96.34010000,0)</f>
        <v>#VALUE!</v>
      </c>
      <c r="J99" s="14" t="e">
        <f>=Round(0.00000000,0)</f>
        <v>#VALUE!</v>
      </c>
    </row>
    <row r="100">
      <c r="A100" s="11" t="s">
        <v>39</v>
      </c>
      <c r="B100" s="12">
        <v>3592.281</v>
      </c>
      <c r="C100" s="12">
        <v>0</v>
      </c>
      <c r="D100" s="13">
        <v>0</v>
      </c>
      <c r="E100" s="12">
        <v>0</v>
      </c>
      <c r="F100" s="14">
        <v>0</v>
      </c>
      <c r="G100" s="13">
        <v>1190.2064</v>
      </c>
      <c r="H100" s="14">
        <v>4275555.836798</v>
      </c>
      <c r="I100" s="14" t="e">
        <f>=Round(96.35760000,0)</f>
        <v>#VALUE!</v>
      </c>
      <c r="J100" s="14" t="e">
        <f>=Round(0.00000000,0)</f>
        <v>#VALUE!</v>
      </c>
    </row>
    <row r="101">
      <c r="A101" s="11" t="s">
        <v>40</v>
      </c>
      <c r="B101" s="12">
        <v>3592.9125</v>
      </c>
      <c r="C101" s="12">
        <v>0</v>
      </c>
      <c r="D101" s="13">
        <v>0</v>
      </c>
      <c r="E101" s="12">
        <v>0</v>
      </c>
      <c r="F101" s="14">
        <v>0</v>
      </c>
      <c r="G101" s="13">
        <v>1190.2064</v>
      </c>
      <c r="H101" s="14">
        <v>4276307.45214</v>
      </c>
      <c r="I101" s="14" t="e">
        <f>=Round(96.37520000,0)</f>
        <v>#VALUE!</v>
      </c>
      <c r="J101" s="14" t="e">
        <f>=Round(0.00000000,0)</f>
        <v>#VALUE!</v>
      </c>
    </row>
    <row r="102">
      <c r="A102" s="11" t="s">
        <v>41</v>
      </c>
      <c r="B102" s="12">
        <v>3593.5674</v>
      </c>
      <c r="C102" s="12">
        <v>0</v>
      </c>
      <c r="D102" s="13">
        <v>0</v>
      </c>
      <c r="E102" s="12">
        <v>0</v>
      </c>
      <c r="F102" s="14">
        <v>0</v>
      </c>
      <c r="G102" s="13">
        <v>1190.2064</v>
      </c>
      <c r="H102" s="14">
        <v>4277086.918311</v>
      </c>
      <c r="I102" s="14" t="e">
        <f>=Round(96.39220000,0)</f>
        <v>#VALUE!</v>
      </c>
      <c r="J102" s="14" t="e">
        <f>=Round(0.00000000,0)</f>
        <v>#VALUE!</v>
      </c>
    </row>
    <row r="103">
      <c r="A103" s="11" t="s">
        <v>42</v>
      </c>
      <c r="B103" s="12">
        <v>3593.5674</v>
      </c>
      <c r="C103" s="12">
        <v>0</v>
      </c>
      <c r="D103" s="13">
        <v>0</v>
      </c>
      <c r="E103" s="12">
        <v>0</v>
      </c>
      <c r="F103" s="14">
        <v>0</v>
      </c>
      <c r="G103" s="13">
        <v>1190.2064</v>
      </c>
      <c r="H103" s="14">
        <v>4277086.918311</v>
      </c>
      <c r="I103" s="14" t="e">
        <f>=Round(96.40970000,0)</f>
        <v>#VALUE!</v>
      </c>
      <c r="J103" s="14" t="e">
        <f>=Round(0.00000000,0)</f>
        <v>#VALUE!</v>
      </c>
    </row>
    <row r="104">
      <c r="A104" s="11" t="s">
        <v>43</v>
      </c>
      <c r="B104" s="12">
        <v>3593.5674</v>
      </c>
      <c r="C104" s="12">
        <v>0</v>
      </c>
      <c r="D104" s="13">
        <v>0</v>
      </c>
      <c r="E104" s="12">
        <v>0</v>
      </c>
      <c r="F104" s="14">
        <v>0</v>
      </c>
      <c r="G104" s="13">
        <v>1190.2064</v>
      </c>
      <c r="H104" s="14">
        <v>4277086.918311</v>
      </c>
      <c r="I104" s="14" t="e">
        <f>=Round(96.40970000,0)</f>
        <v>#VALUE!</v>
      </c>
      <c r="J104" s="14" t="e">
        <f>=Round(0.00000000,0)</f>
        <v>#VALUE!</v>
      </c>
    </row>
    <row r="105">
      <c r="A105" s="11" t="s">
        <v>44</v>
      </c>
      <c r="B105" s="12">
        <v>3595.5366</v>
      </c>
      <c r="C105" s="12">
        <v>0</v>
      </c>
      <c r="D105" s="13">
        <v>0</v>
      </c>
      <c r="E105" s="12">
        <v>0</v>
      </c>
      <c r="F105" s="14">
        <v>0</v>
      </c>
      <c r="G105" s="13">
        <v>1190.2064</v>
      </c>
      <c r="H105" s="14">
        <v>4279430.672754</v>
      </c>
      <c r="I105" s="14" t="e">
        <f>=Round(96.40970000,0)</f>
        <v>#VALUE!</v>
      </c>
      <c r="J105" s="14" t="e">
        <f>=Round(0.00000000,0)</f>
        <v>#VALUE!</v>
      </c>
    </row>
    <row r="106">
      <c r="A106" s="11" t="s">
        <v>45</v>
      </c>
      <c r="B106" s="12">
        <v>3596.1915</v>
      </c>
      <c r="C106" s="12">
        <v>0</v>
      </c>
      <c r="D106" s="13">
        <v>0</v>
      </c>
      <c r="E106" s="12">
        <v>0</v>
      </c>
      <c r="F106" s="14">
        <v>0</v>
      </c>
      <c r="G106" s="13">
        <v>1190.2064</v>
      </c>
      <c r="H106" s="14">
        <v>4280210.138926</v>
      </c>
      <c r="I106" s="14" t="e">
        <f>=Round(96.46260000,0)</f>
        <v>#VALUE!</v>
      </c>
      <c r="J106" s="14" t="e">
        <f>=Round(0.00000000,0)</f>
        <v>#VALUE!</v>
      </c>
    </row>
    <row r="107">
      <c r="A107" s="11" t="s">
        <v>46</v>
      </c>
      <c r="B107" s="12">
        <v>3596.8461</v>
      </c>
      <c r="C107" s="12">
        <v>0</v>
      </c>
      <c r="D107" s="13">
        <v>0</v>
      </c>
      <c r="E107" s="12">
        <v>0</v>
      </c>
      <c r="F107" s="14">
        <v>0</v>
      </c>
      <c r="G107" s="13">
        <v>1190.2064</v>
      </c>
      <c r="H107" s="14">
        <v>4280989.248035</v>
      </c>
      <c r="I107" s="14" t="e">
        <f>=Round(96.48010000,0)</f>
        <v>#VALUE!</v>
      </c>
      <c r="J107" s="14" t="e">
        <f>=Round(0.00000000,0)</f>
        <v>#VALUE!</v>
      </c>
    </row>
    <row r="108">
      <c r="A108" s="11" t="s">
        <v>47</v>
      </c>
      <c r="B108" s="12">
        <v>3597.4992</v>
      </c>
      <c r="C108" s="12">
        <v>0</v>
      </c>
      <c r="D108" s="13">
        <v>0</v>
      </c>
      <c r="E108" s="12">
        <v>0</v>
      </c>
      <c r="F108" s="14">
        <v>0</v>
      </c>
      <c r="G108" s="13">
        <v>1190.2064</v>
      </c>
      <c r="H108" s="14">
        <v>4281766.571835</v>
      </c>
      <c r="I108" s="14" t="e">
        <f>=Round(96.49770000,0)</f>
        <v>#VALUE!</v>
      </c>
      <c r="J108" s="14" t="e">
        <f>=Round(0.00000000,0)</f>
        <v>#VALUE!</v>
      </c>
    </row>
    <row r="109">
      <c r="A109" s="11" t="s">
        <v>48</v>
      </c>
      <c r="B109" s="12">
        <v>3598.1558</v>
      </c>
      <c r="C109" s="12">
        <v>0</v>
      </c>
      <c r="D109" s="13">
        <v>0</v>
      </c>
      <c r="E109" s="12">
        <v>0</v>
      </c>
      <c r="F109" s="14">
        <v>0</v>
      </c>
      <c r="G109" s="13">
        <v>1190.2064</v>
      </c>
      <c r="H109" s="14">
        <v>4282548.061357</v>
      </c>
      <c r="I109" s="14" t="e">
        <f>=Round(96.51520000,0)</f>
        <v>#VALUE!</v>
      </c>
      <c r="J109" s="14" t="e">
        <f>=Round(0.00000000,0)</f>
        <v>#VALUE!</v>
      </c>
    </row>
    <row r="110">
      <c r="A110" s="11" t="s">
        <v>49</v>
      </c>
      <c r="B110" s="12">
        <v>3598.1558</v>
      </c>
      <c r="C110" s="12">
        <v>0</v>
      </c>
      <c r="D110" s="13">
        <v>0</v>
      </c>
      <c r="E110" s="12">
        <v>0</v>
      </c>
      <c r="F110" s="14">
        <v>0</v>
      </c>
      <c r="G110" s="13">
        <v>1190.2064</v>
      </c>
      <c r="H110" s="14">
        <v>4282548.061357</v>
      </c>
      <c r="I110" s="14" t="e">
        <f>=Round(96.53280000,0)</f>
        <v>#VALUE!</v>
      </c>
      <c r="J110" s="14" t="e">
        <f>=Round(0.00000000,0)</f>
        <v>#VALUE!</v>
      </c>
    </row>
    <row r="111">
      <c r="A111" s="11" t="s">
        <v>50</v>
      </c>
      <c r="B111" s="12">
        <v>3598.1558</v>
      </c>
      <c r="C111" s="12">
        <v>0</v>
      </c>
      <c r="D111" s="13">
        <v>0</v>
      </c>
      <c r="E111" s="12">
        <v>0</v>
      </c>
      <c r="F111" s="14">
        <v>0</v>
      </c>
      <c r="G111" s="13">
        <v>1190.2064</v>
      </c>
      <c r="H111" s="14">
        <v>4282548.061357</v>
      </c>
      <c r="I111" s="14" t="e">
        <f>=Round(96.53280000,0)</f>
        <v>#VALUE!</v>
      </c>
      <c r="J111" s="14" t="e">
        <f>=Round(0.00000000,0)</f>
        <v>#VALUE!</v>
      </c>
    </row>
    <row r="112">
      <c r="A112" s="11" t="s">
        <v>51</v>
      </c>
      <c r="B112" s="12">
        <v>3600.124</v>
      </c>
      <c r="C112" s="12">
        <v>0</v>
      </c>
      <c r="D112" s="13">
        <v>0</v>
      </c>
      <c r="E112" s="12">
        <v>0</v>
      </c>
      <c r="F112" s="14">
        <v>0</v>
      </c>
      <c r="G112" s="13">
        <v>1190.2064</v>
      </c>
      <c r="H112" s="14">
        <v>4284890.625594</v>
      </c>
      <c r="I112" s="14" t="e">
        <f>=Round(96.53280000,0)</f>
        <v>#VALUE!</v>
      </c>
      <c r="J112" s="14" t="e">
        <f>=Round(0.00000000,0)</f>
        <v>#VALUE!</v>
      </c>
    </row>
    <row r="113">
      <c r="A113" s="11" t="s">
        <v>52</v>
      </c>
      <c r="B113" s="12">
        <v>3600.7905</v>
      </c>
      <c r="C113" s="12">
        <v>0</v>
      </c>
      <c r="D113" s="13">
        <v>0</v>
      </c>
      <c r="E113" s="12">
        <v>0</v>
      </c>
      <c r="F113" s="14">
        <v>0</v>
      </c>
      <c r="G113" s="13">
        <v>1190.2064</v>
      </c>
      <c r="H113" s="14">
        <v>4285683.898159</v>
      </c>
      <c r="I113" s="14" t="e">
        <f>=Round(96.58560000,0)</f>
        <v>#VALUE!</v>
      </c>
      <c r="J113" s="14" t="e">
        <f>=Round(0.00000000,0)</f>
        <v>#VALUE!</v>
      </c>
    </row>
    <row r="114">
      <c r="A114" s="11" t="s">
        <v>53</v>
      </c>
      <c r="B114" s="12">
        <v>3601.445</v>
      </c>
      <c r="C114" s="12">
        <v>0</v>
      </c>
      <c r="D114" s="13">
        <v>0</v>
      </c>
      <c r="E114" s="12">
        <v>0</v>
      </c>
      <c r="F114" s="14">
        <v>0</v>
      </c>
      <c r="G114" s="13">
        <v>1190.2064</v>
      </c>
      <c r="H114" s="14">
        <v>4286462.888248</v>
      </c>
      <c r="I114" s="14" t="e">
        <f>=Round(96.60350000,0)</f>
        <v>#VALUE!</v>
      </c>
      <c r="J114" s="14" t="e">
        <f>=Round(0.00000000,0)</f>
        <v>#VALUE!</v>
      </c>
    </row>
    <row r="115">
      <c r="A115" s="11" t="s">
        <v>54</v>
      </c>
      <c r="B115" s="12">
        <v>3602.0851</v>
      </c>
      <c r="C115" s="12">
        <v>0</v>
      </c>
      <c r="D115" s="13">
        <v>0</v>
      </c>
      <c r="E115" s="12">
        <v>0</v>
      </c>
      <c r="F115" s="14">
        <v>0</v>
      </c>
      <c r="G115" s="13">
        <v>1190.2064</v>
      </c>
      <c r="H115" s="14">
        <v>4287224.739365</v>
      </c>
      <c r="I115" s="14" t="e">
        <f>=Round(96.62110000,0)</f>
        <v>#VALUE!</v>
      </c>
      <c r="J115" s="14" t="e">
        <f>=Round(0.00000000,0)</f>
        <v>#VALUE!</v>
      </c>
    </row>
    <row r="116">
      <c r="A116" s="11" t="s">
        <v>55</v>
      </c>
      <c r="B116" s="12">
        <v>3602.7417</v>
      </c>
      <c r="C116" s="12">
        <v>0</v>
      </c>
      <c r="D116" s="13">
        <v>0</v>
      </c>
      <c r="E116" s="12">
        <v>0</v>
      </c>
      <c r="F116" s="14">
        <v>0</v>
      </c>
      <c r="G116" s="13">
        <v>1190.2064</v>
      </c>
      <c r="H116" s="14">
        <v>4288006.228887</v>
      </c>
      <c r="I116" s="14" t="e">
        <f>=Round(96.63830000,0)</f>
        <v>#VALUE!</v>
      </c>
      <c r="J116" s="14" t="e">
        <f>=Round(0.00000000,0)</f>
        <v>#VALUE!</v>
      </c>
    </row>
    <row r="117" ht="-1">
      <c r="A117" s="15"/>
      <c r="B117" s="16" t="s">
        <v>56</v>
      </c>
      <c r="C117" s="15"/>
      <c r="D117" s="15"/>
      <c r="E117" s="15"/>
      <c r="F117" s="15"/>
      <c r="G117" s="15"/>
      <c r="H117" s="15"/>
      <c r="I117" s="17" t="e">
        <f>=Round(SUM(I91:I116),0)</f>
        <v>#VALUE!</v>
      </c>
      <c r="J117" s="17" t="e">
        <f>=Round(SUM(J91:J116),0)</f>
        <v>#VALUE!</v>
      </c>
    </row>
    <row r="118">
      <c r="A118" s="1" t="s">
        <v>0</v>
      </c>
      <c r="B118" s="1"/>
      <c r="C118" s="1"/>
      <c r="D118" s="1"/>
    </row>
    <row r="119">
      <c r="A119" s="0" t="s">
        <v>1</v>
      </c>
      <c r="C119" s="0" t="s">
        <v>2</v>
      </c>
      <c r="H119" s="2" t="s">
        <v>3</v>
      </c>
    </row>
    <row r="120">
      <c r="A120" s="0" t="s">
        <v>4</v>
      </c>
      <c r="C120" s="0" t="s">
        <v>59</v>
      </c>
      <c r="H120" s="3" t="s">
        <v>6</v>
      </c>
    </row>
    <row r="121">
      <c r="A121" s="0" t="s">
        <v>7</v>
      </c>
      <c r="C121" s="4" t="s">
        <v>8</v>
      </c>
      <c r="H121" s="2" t="s">
        <v>9</v>
      </c>
    </row>
    <row r="122">
      <c r="A122" s="0" t="s">
        <v>10</v>
      </c>
      <c r="C122" s="4" t="s">
        <v>11</v>
      </c>
      <c r="H122" s="2" t="s">
        <v>12</v>
      </c>
    </row>
    <row r="123">
      <c r="A123" s="0" t="s">
        <v>13</v>
      </c>
      <c r="C123" s="0" t="s">
        <v>14</v>
      </c>
    </row>
    <row r="124">
      <c r="A124" s="0" t="s">
        <v>15</v>
      </c>
      <c r="C124" s="0" t="s">
        <v>16</v>
      </c>
    </row>
    <row r="125">
      <c r="A125" s="0" t="s">
        <v>17</v>
      </c>
      <c r="C125" s="0" t="s">
        <v>18</v>
      </c>
    </row>
    <row r="128">
      <c r="A128" s="5" t="s">
        <v>19</v>
      </c>
      <c r="B128" s="5" t="s">
        <v>20</v>
      </c>
      <c r="C128" s="7" t="s">
        <v>21</v>
      </c>
      <c r="D128" s="9"/>
      <c r="E128" s="7" t="s">
        <v>22</v>
      </c>
      <c r="F128" s="9"/>
      <c r="G128" s="5" t="s">
        <v>23</v>
      </c>
      <c r="H128" s="5" t="s">
        <v>24</v>
      </c>
      <c r="I128" s="5" t="s">
        <v>25</v>
      </c>
      <c r="J128" s="5" t="s">
        <v>26</v>
      </c>
    </row>
    <row r="129">
      <c r="A129" s="6"/>
      <c r="B129" s="6"/>
      <c r="C129" s="8" t="s">
        <v>27</v>
      </c>
      <c r="D129" s="8" t="s">
        <v>28</v>
      </c>
      <c r="E129" s="8" t="s">
        <v>27</v>
      </c>
      <c r="F129" s="8" t="s">
        <v>28</v>
      </c>
      <c r="G129" s="6"/>
      <c r="H129" s="6"/>
      <c r="I129" s="10" t="s">
        <v>29</v>
      </c>
      <c r="J129" s="6"/>
    </row>
    <row r="130">
      <c r="A130" s="11" t="s">
        <v>30</v>
      </c>
      <c r="B130" s="12">
        <v>3586.4187</v>
      </c>
      <c r="C130" s="12">
        <v>0</v>
      </c>
      <c r="D130" s="13">
        <v>0</v>
      </c>
      <c r="E130" s="12">
        <v>0</v>
      </c>
      <c r="F130" s="14">
        <v>0</v>
      </c>
      <c r="G130" s="13">
        <v>868.0076</v>
      </c>
      <c r="H130" s="14">
        <v>3113038.688382</v>
      </c>
      <c r="I130" s="14" t="e">
        <f>=Round(70.13240000,0)</f>
        <v>#VALUE!</v>
      </c>
      <c r="J130" s="14" t="e">
        <f>=Round(0.00000000,0)</f>
        <v>#VALUE!</v>
      </c>
    </row>
    <row r="131">
      <c r="A131" s="11" t="s">
        <v>31</v>
      </c>
      <c r="B131" s="12">
        <v>3587.0477</v>
      </c>
      <c r="C131" s="12">
        <v>0</v>
      </c>
      <c r="D131" s="13">
        <v>0</v>
      </c>
      <c r="E131" s="12">
        <v>0</v>
      </c>
      <c r="F131" s="14">
        <v>0</v>
      </c>
      <c r="G131" s="13">
        <v>868.0076</v>
      </c>
      <c r="H131" s="14">
        <v>3113584.665163</v>
      </c>
      <c r="I131" s="14" t="e">
        <f>=Round(70.17100000,0)</f>
        <v>#VALUE!</v>
      </c>
      <c r="J131" s="14" t="e">
        <f>=Round(0.00000000,0)</f>
        <v>#VALUE!</v>
      </c>
    </row>
    <row r="132">
      <c r="A132" s="11" t="s">
        <v>32</v>
      </c>
      <c r="B132" s="12">
        <v>3587.6685</v>
      </c>
      <c r="C132" s="12">
        <v>0</v>
      </c>
      <c r="D132" s="13">
        <v>0</v>
      </c>
      <c r="E132" s="12">
        <v>0</v>
      </c>
      <c r="F132" s="14">
        <v>0</v>
      </c>
      <c r="G132" s="13">
        <v>868.0076</v>
      </c>
      <c r="H132" s="14">
        <v>3114123.524281</v>
      </c>
      <c r="I132" s="14" t="e">
        <f>=Round(70.18330000,0)</f>
        <v>#VALUE!</v>
      </c>
      <c r="J132" s="14" t="e">
        <f>=Round(0.00000000,0)</f>
        <v>#VALUE!</v>
      </c>
    </row>
    <row r="133">
      <c r="A133" s="11" t="s">
        <v>33</v>
      </c>
      <c r="B133" s="12">
        <v>3588.3573</v>
      </c>
      <c r="C133" s="12">
        <v>0</v>
      </c>
      <c r="D133" s="13">
        <v>0</v>
      </c>
      <c r="E133" s="12">
        <v>0</v>
      </c>
      <c r="F133" s="14">
        <v>0</v>
      </c>
      <c r="G133" s="13">
        <v>868.0076</v>
      </c>
      <c r="H133" s="14">
        <v>3114721.407915</v>
      </c>
      <c r="I133" s="14" t="e">
        <f>=Round(70.19540000,0)</f>
        <v>#VALUE!</v>
      </c>
      <c r="J133" s="14" t="e">
        <f>=Round(0.00000000,0)</f>
        <v>#VALUE!</v>
      </c>
    </row>
    <row r="134">
      <c r="A134" s="11" t="s">
        <v>34</v>
      </c>
      <c r="B134" s="12">
        <v>3589.0109</v>
      </c>
      <c r="C134" s="12">
        <v>0</v>
      </c>
      <c r="D134" s="13">
        <v>0</v>
      </c>
      <c r="E134" s="12">
        <v>0</v>
      </c>
      <c r="F134" s="14">
        <v>0</v>
      </c>
      <c r="G134" s="13">
        <v>868.0076</v>
      </c>
      <c r="H134" s="14">
        <v>3115288.737683</v>
      </c>
      <c r="I134" s="14" t="e">
        <f>=Round(70.20890000,0)</f>
        <v>#VALUE!</v>
      </c>
      <c r="J134" s="14" t="e">
        <f>=Round(0.00000000,0)</f>
        <v>#VALUE!</v>
      </c>
    </row>
    <row r="135">
      <c r="A135" s="11" t="s">
        <v>35</v>
      </c>
      <c r="B135" s="12">
        <v>3589.0109</v>
      </c>
      <c r="C135" s="12">
        <v>0</v>
      </c>
      <c r="D135" s="13">
        <v>0</v>
      </c>
      <c r="E135" s="12">
        <v>0</v>
      </c>
      <c r="F135" s="14">
        <v>0</v>
      </c>
      <c r="G135" s="13">
        <v>868.0076</v>
      </c>
      <c r="H135" s="14">
        <v>3115288.737683</v>
      </c>
      <c r="I135" s="14" t="e">
        <f>=Round(70.22170000,0)</f>
        <v>#VALUE!</v>
      </c>
      <c r="J135" s="14" t="e">
        <f>=Round(0.00000000,0)</f>
        <v>#VALUE!</v>
      </c>
    </row>
    <row r="136">
      <c r="A136" s="11" t="s">
        <v>36</v>
      </c>
      <c r="B136" s="12">
        <v>3589.0109</v>
      </c>
      <c r="C136" s="12">
        <v>0</v>
      </c>
      <c r="D136" s="13">
        <v>0</v>
      </c>
      <c r="E136" s="12">
        <v>0</v>
      </c>
      <c r="F136" s="14">
        <v>0</v>
      </c>
      <c r="G136" s="13">
        <v>868.0076</v>
      </c>
      <c r="H136" s="14">
        <v>3115288.737683</v>
      </c>
      <c r="I136" s="14" t="e">
        <f>=Round(70.22170000,0)</f>
        <v>#VALUE!</v>
      </c>
      <c r="J136" s="14" t="e">
        <f>=Round(0.00000000,0)</f>
        <v>#VALUE!</v>
      </c>
    </row>
    <row r="137">
      <c r="A137" s="11" t="s">
        <v>37</v>
      </c>
      <c r="B137" s="12">
        <v>3590.972</v>
      </c>
      <c r="C137" s="12">
        <v>0</v>
      </c>
      <c r="D137" s="13">
        <v>0</v>
      </c>
      <c r="E137" s="12">
        <v>0</v>
      </c>
      <c r="F137" s="14">
        <v>0</v>
      </c>
      <c r="G137" s="13">
        <v>868.0076</v>
      </c>
      <c r="H137" s="14">
        <v>3116990.987387</v>
      </c>
      <c r="I137" s="14" t="e">
        <f>=Round(70.22170000,0)</f>
        <v>#VALUE!</v>
      </c>
      <c r="J137" s="14" t="e">
        <f>=Round(0.00000000,0)</f>
        <v>#VALUE!</v>
      </c>
    </row>
    <row r="138">
      <c r="A138" s="11" t="s">
        <v>38</v>
      </c>
      <c r="B138" s="12">
        <v>3591.6235</v>
      </c>
      <c r="C138" s="12">
        <v>0</v>
      </c>
      <c r="D138" s="13">
        <v>0</v>
      </c>
      <c r="E138" s="12">
        <v>0</v>
      </c>
      <c r="F138" s="14">
        <v>0</v>
      </c>
      <c r="G138" s="13">
        <v>868.0076</v>
      </c>
      <c r="H138" s="14">
        <v>3117556.494339</v>
      </c>
      <c r="I138" s="14" t="e">
        <f>=Round(70.26000000,0)</f>
        <v>#VALUE!</v>
      </c>
      <c r="J138" s="14" t="e">
        <f>=Round(0.00000000,0)</f>
        <v>#VALUE!</v>
      </c>
    </row>
    <row r="139">
      <c r="A139" s="11" t="s">
        <v>39</v>
      </c>
      <c r="B139" s="12">
        <v>3592.281</v>
      </c>
      <c r="C139" s="12">
        <v>0</v>
      </c>
      <c r="D139" s="13">
        <v>0</v>
      </c>
      <c r="E139" s="12">
        <v>0</v>
      </c>
      <c r="F139" s="14">
        <v>0</v>
      </c>
      <c r="G139" s="13">
        <v>868.0076</v>
      </c>
      <c r="H139" s="14">
        <v>3118127.209336</v>
      </c>
      <c r="I139" s="14" t="e">
        <f>=Round(70.27280000,0)</f>
        <v>#VALUE!</v>
      </c>
      <c r="J139" s="14" t="e">
        <f>=Round(0.00000000,0)</f>
        <v>#VALUE!</v>
      </c>
    </row>
    <row r="140">
      <c r="A140" s="11" t="s">
        <v>40</v>
      </c>
      <c r="B140" s="12">
        <v>3592.9125</v>
      </c>
      <c r="C140" s="12">
        <v>0</v>
      </c>
      <c r="D140" s="13">
        <v>0</v>
      </c>
      <c r="E140" s="12">
        <v>0</v>
      </c>
      <c r="F140" s="14">
        <v>0</v>
      </c>
      <c r="G140" s="13">
        <v>868.0076</v>
      </c>
      <c r="H140" s="14">
        <v>3118675.356135</v>
      </c>
      <c r="I140" s="14" t="e">
        <f>=Round(70.28570000,0)</f>
        <v>#VALUE!</v>
      </c>
      <c r="J140" s="14" t="e">
        <f>=Round(0.00000000,0)</f>
        <v>#VALUE!</v>
      </c>
    </row>
    <row r="141">
      <c r="A141" s="11" t="s">
        <v>41</v>
      </c>
      <c r="B141" s="12">
        <v>3593.5674</v>
      </c>
      <c r="C141" s="12">
        <v>0</v>
      </c>
      <c r="D141" s="13">
        <v>0</v>
      </c>
      <c r="E141" s="12">
        <v>0</v>
      </c>
      <c r="F141" s="14">
        <v>0</v>
      </c>
      <c r="G141" s="13">
        <v>868.0076</v>
      </c>
      <c r="H141" s="14">
        <v>3119243.814312</v>
      </c>
      <c r="I141" s="14" t="e">
        <f>=Round(70.29800000,0)</f>
        <v>#VALUE!</v>
      </c>
      <c r="J141" s="14" t="e">
        <f>=Round(0.00000000,0)</f>
        <v>#VALUE!</v>
      </c>
    </row>
    <row r="142">
      <c r="A142" s="11" t="s">
        <v>42</v>
      </c>
      <c r="B142" s="12">
        <v>3593.5674</v>
      </c>
      <c r="C142" s="12">
        <v>0</v>
      </c>
      <c r="D142" s="13">
        <v>0</v>
      </c>
      <c r="E142" s="12">
        <v>0</v>
      </c>
      <c r="F142" s="14">
        <v>0</v>
      </c>
      <c r="G142" s="13">
        <v>868.0076</v>
      </c>
      <c r="H142" s="14">
        <v>3119243.814312</v>
      </c>
      <c r="I142" s="14" t="e">
        <f>=Round(70.31080000,0)</f>
        <v>#VALUE!</v>
      </c>
      <c r="J142" s="14" t="e">
        <f>=Round(0.00000000,0)</f>
        <v>#VALUE!</v>
      </c>
    </row>
    <row r="143">
      <c r="A143" s="11" t="s">
        <v>43</v>
      </c>
      <c r="B143" s="12">
        <v>3593.5674</v>
      </c>
      <c r="C143" s="12">
        <v>0</v>
      </c>
      <c r="D143" s="13">
        <v>0</v>
      </c>
      <c r="E143" s="12">
        <v>0</v>
      </c>
      <c r="F143" s="14">
        <v>0</v>
      </c>
      <c r="G143" s="13">
        <v>868.0076</v>
      </c>
      <c r="H143" s="14">
        <v>3119243.814312</v>
      </c>
      <c r="I143" s="14" t="e">
        <f>=Round(70.31080000,0)</f>
        <v>#VALUE!</v>
      </c>
      <c r="J143" s="14" t="e">
        <f>=Round(0.00000000,0)</f>
        <v>#VALUE!</v>
      </c>
    </row>
    <row r="144">
      <c r="A144" s="11" t="s">
        <v>44</v>
      </c>
      <c r="B144" s="12">
        <v>3595.5366</v>
      </c>
      <c r="C144" s="12">
        <v>0</v>
      </c>
      <c r="D144" s="13">
        <v>0</v>
      </c>
      <c r="E144" s="12">
        <v>0</v>
      </c>
      <c r="F144" s="14">
        <v>0</v>
      </c>
      <c r="G144" s="13">
        <v>868.0076</v>
      </c>
      <c r="H144" s="14">
        <v>3120953.094878</v>
      </c>
      <c r="I144" s="14" t="e">
        <f>=Round(70.31080000,0)</f>
        <v>#VALUE!</v>
      </c>
      <c r="J144" s="14" t="e">
        <f>=Round(0.00000000,0)</f>
        <v>#VALUE!</v>
      </c>
    </row>
    <row r="145">
      <c r="A145" s="11" t="s">
        <v>45</v>
      </c>
      <c r="B145" s="12">
        <v>3596.1915</v>
      </c>
      <c r="C145" s="12">
        <v>0</v>
      </c>
      <c r="D145" s="13">
        <v>0</v>
      </c>
      <c r="E145" s="12">
        <v>0</v>
      </c>
      <c r="F145" s="14">
        <v>0</v>
      </c>
      <c r="G145" s="13">
        <v>868.0076</v>
      </c>
      <c r="H145" s="14">
        <v>3121521.553055</v>
      </c>
      <c r="I145" s="14" t="e">
        <f>=Round(70.34940000,0)</f>
        <v>#VALUE!</v>
      </c>
      <c r="J145" s="14" t="e">
        <f>=Round(0.00000000,0)</f>
        <v>#VALUE!</v>
      </c>
    </row>
    <row r="146">
      <c r="A146" s="11" t="s">
        <v>46</v>
      </c>
      <c r="B146" s="12">
        <v>3596.8461</v>
      </c>
      <c r="C146" s="12">
        <v>0</v>
      </c>
      <c r="D146" s="13">
        <v>0</v>
      </c>
      <c r="E146" s="12">
        <v>0</v>
      </c>
      <c r="F146" s="14">
        <v>0</v>
      </c>
      <c r="G146" s="13">
        <v>868.0076</v>
      </c>
      <c r="H146" s="14">
        <v>3122089.75083</v>
      </c>
      <c r="I146" s="14" t="e">
        <f>=Round(70.36220000,0)</f>
        <v>#VALUE!</v>
      </c>
      <c r="J146" s="14" t="e">
        <f>=Round(0.00000000,0)</f>
        <v>#VALUE!</v>
      </c>
    </row>
    <row r="147">
      <c r="A147" s="11" t="s">
        <v>47</v>
      </c>
      <c r="B147" s="12">
        <v>3597.4992</v>
      </c>
      <c r="C147" s="12">
        <v>0</v>
      </c>
      <c r="D147" s="13">
        <v>0</v>
      </c>
      <c r="E147" s="12">
        <v>0</v>
      </c>
      <c r="F147" s="14">
        <v>0</v>
      </c>
      <c r="G147" s="13">
        <v>868.0076</v>
      </c>
      <c r="H147" s="14">
        <v>3122656.646594</v>
      </c>
      <c r="I147" s="14" t="e">
        <f>=Round(70.37500000,0)</f>
        <v>#VALUE!</v>
      </c>
      <c r="J147" s="14" t="e">
        <f>=Round(0.00000000,0)</f>
        <v>#VALUE!</v>
      </c>
    </row>
    <row r="148">
      <c r="A148" s="11" t="s">
        <v>48</v>
      </c>
      <c r="B148" s="12">
        <v>3598.1558</v>
      </c>
      <c r="C148" s="12">
        <v>0</v>
      </c>
      <c r="D148" s="13">
        <v>0</v>
      </c>
      <c r="E148" s="12">
        <v>0</v>
      </c>
      <c r="F148" s="14">
        <v>0</v>
      </c>
      <c r="G148" s="13">
        <v>868.0076</v>
      </c>
      <c r="H148" s="14">
        <v>3123226.580384</v>
      </c>
      <c r="I148" s="14" t="e">
        <f>=Round(70.38780000,0)</f>
        <v>#VALUE!</v>
      </c>
      <c r="J148" s="14" t="e">
        <f>=Round(0.00000000,0)</f>
        <v>#VALUE!</v>
      </c>
    </row>
    <row r="149">
      <c r="A149" s="11" t="s">
        <v>49</v>
      </c>
      <c r="B149" s="12">
        <v>3598.1558</v>
      </c>
      <c r="C149" s="12">
        <v>0</v>
      </c>
      <c r="D149" s="13">
        <v>0</v>
      </c>
      <c r="E149" s="12">
        <v>0</v>
      </c>
      <c r="F149" s="14">
        <v>0</v>
      </c>
      <c r="G149" s="13">
        <v>868.0076</v>
      </c>
      <c r="H149" s="14">
        <v>3123226.580384</v>
      </c>
      <c r="I149" s="14" t="e">
        <f>=Round(70.40060000,0)</f>
        <v>#VALUE!</v>
      </c>
      <c r="J149" s="14" t="e">
        <f>=Round(0.00000000,0)</f>
        <v>#VALUE!</v>
      </c>
    </row>
    <row r="150">
      <c r="A150" s="11" t="s">
        <v>50</v>
      </c>
      <c r="B150" s="12">
        <v>3598.1558</v>
      </c>
      <c r="C150" s="12">
        <v>0</v>
      </c>
      <c r="D150" s="13">
        <v>0</v>
      </c>
      <c r="E150" s="12">
        <v>0</v>
      </c>
      <c r="F150" s="14">
        <v>0</v>
      </c>
      <c r="G150" s="13">
        <v>868.0076</v>
      </c>
      <c r="H150" s="14">
        <v>3123226.580384</v>
      </c>
      <c r="I150" s="14" t="e">
        <f>=Round(70.40060000,0)</f>
        <v>#VALUE!</v>
      </c>
      <c r="J150" s="14" t="e">
        <f>=Round(0.00000000,0)</f>
        <v>#VALUE!</v>
      </c>
    </row>
    <row r="151">
      <c r="A151" s="11" t="s">
        <v>51</v>
      </c>
      <c r="B151" s="12">
        <v>3600.124</v>
      </c>
      <c r="C151" s="12">
        <v>0</v>
      </c>
      <c r="D151" s="13">
        <v>0</v>
      </c>
      <c r="E151" s="12">
        <v>0</v>
      </c>
      <c r="F151" s="14">
        <v>0</v>
      </c>
      <c r="G151" s="13">
        <v>868.0076</v>
      </c>
      <c r="H151" s="14">
        <v>3124934.992942</v>
      </c>
      <c r="I151" s="14" t="e">
        <f>=Round(70.40060000,0)</f>
        <v>#VALUE!</v>
      </c>
      <c r="J151" s="14" t="e">
        <f>=Round(0.00000000,0)</f>
        <v>#VALUE!</v>
      </c>
    </row>
    <row r="152">
      <c r="A152" s="11" t="s">
        <v>52</v>
      </c>
      <c r="B152" s="12">
        <v>3600.7905</v>
      </c>
      <c r="C152" s="12">
        <v>0</v>
      </c>
      <c r="D152" s="13">
        <v>0</v>
      </c>
      <c r="E152" s="12">
        <v>0</v>
      </c>
      <c r="F152" s="14">
        <v>0</v>
      </c>
      <c r="G152" s="13">
        <v>868.0076</v>
      </c>
      <c r="H152" s="14">
        <v>3125513.520008</v>
      </c>
      <c r="I152" s="14" t="e">
        <f>=Round(70.43910000,0)</f>
        <v>#VALUE!</v>
      </c>
      <c r="J152" s="14" t="e">
        <f>=Round(0.00000000,0)</f>
        <v>#VALUE!</v>
      </c>
    </row>
    <row r="153">
      <c r="A153" s="11" t="s">
        <v>53</v>
      </c>
      <c r="B153" s="12">
        <v>3601.445</v>
      </c>
      <c r="C153" s="12">
        <v>0</v>
      </c>
      <c r="D153" s="13">
        <v>0</v>
      </c>
      <c r="E153" s="12">
        <v>0</v>
      </c>
      <c r="F153" s="14">
        <v>0</v>
      </c>
      <c r="G153" s="13">
        <v>868.0076</v>
      </c>
      <c r="H153" s="14">
        <v>3126081.630982</v>
      </c>
      <c r="I153" s="14" t="e">
        <f>=Round(70.45210000,0)</f>
        <v>#VALUE!</v>
      </c>
      <c r="J153" s="14" t="e">
        <f>=Round(0.00000000,0)</f>
        <v>#VALUE!</v>
      </c>
    </row>
    <row r="154">
      <c r="A154" s="11" t="s">
        <v>54</v>
      </c>
      <c r="B154" s="12">
        <v>3602.0851</v>
      </c>
      <c r="C154" s="12">
        <v>0</v>
      </c>
      <c r="D154" s="13">
        <v>0</v>
      </c>
      <c r="E154" s="12">
        <v>0</v>
      </c>
      <c r="F154" s="14">
        <v>0</v>
      </c>
      <c r="G154" s="13">
        <v>868.0076</v>
      </c>
      <c r="H154" s="14">
        <v>3126637.242647</v>
      </c>
      <c r="I154" s="14" t="e">
        <f>=Round(70.46500000,0)</f>
        <v>#VALUE!</v>
      </c>
      <c r="J154" s="14" t="e">
        <f>=Round(0.00000000,0)</f>
        <v>#VALUE!</v>
      </c>
    </row>
    <row r="155">
      <c r="A155" s="11" t="s">
        <v>55</v>
      </c>
      <c r="B155" s="12">
        <v>3602.7417</v>
      </c>
      <c r="C155" s="12">
        <v>0</v>
      </c>
      <c r="D155" s="13">
        <v>0</v>
      </c>
      <c r="E155" s="12">
        <v>0</v>
      </c>
      <c r="F155" s="14">
        <v>0</v>
      </c>
      <c r="G155" s="13">
        <v>868.0076</v>
      </c>
      <c r="H155" s="14">
        <v>3127207.176437</v>
      </c>
      <c r="I155" s="14" t="e">
        <f>=Round(70.47750000,0)</f>
        <v>#VALUE!</v>
      </c>
      <c r="J155" s="14" t="e">
        <f>=Round(0.00000000,0)</f>
        <v>#VALUE!</v>
      </c>
    </row>
    <row r="156" ht="-1">
      <c r="A156" s="15"/>
      <c r="B156" s="16" t="s">
        <v>56</v>
      </c>
      <c r="C156" s="15"/>
      <c r="D156" s="15"/>
      <c r="E156" s="15"/>
      <c r="F156" s="15"/>
      <c r="G156" s="15"/>
      <c r="H156" s="15"/>
      <c r="I156" s="17" t="e">
        <f>=Round(SUM(I130:I155),0)</f>
        <v>#VALUE!</v>
      </c>
      <c r="J156" s="17" t="e">
        <f>=Round(SUM(J130:J155),0)</f>
        <v>#VALUE!</v>
      </c>
    </row>
    <row r="157">
      <c r="A157" s="1" t="s">
        <v>0</v>
      </c>
      <c r="B157" s="1"/>
      <c r="C157" s="1"/>
      <c r="D157" s="1"/>
    </row>
    <row r="158">
      <c r="A158" s="0" t="s">
        <v>1</v>
      </c>
      <c r="C158" s="0" t="s">
        <v>2</v>
      </c>
      <c r="H158" s="2" t="s">
        <v>3</v>
      </c>
    </row>
    <row r="159">
      <c r="A159" s="0" t="s">
        <v>4</v>
      </c>
      <c r="C159" s="0" t="s">
        <v>60</v>
      </c>
      <c r="H159" s="3" t="s">
        <v>6</v>
      </c>
    </row>
    <row r="160">
      <c r="A160" s="0" t="s">
        <v>7</v>
      </c>
      <c r="C160" s="4" t="s">
        <v>8</v>
      </c>
      <c r="H160" s="2" t="s">
        <v>9</v>
      </c>
    </row>
    <row r="161">
      <c r="A161" s="0" t="s">
        <v>10</v>
      </c>
      <c r="C161" s="4" t="s">
        <v>11</v>
      </c>
      <c r="H161" s="2" t="s">
        <v>12</v>
      </c>
    </row>
    <row r="162">
      <c r="A162" s="0" t="s">
        <v>13</v>
      </c>
      <c r="C162" s="0" t="s">
        <v>14</v>
      </c>
    </row>
    <row r="163">
      <c r="A163" s="0" t="s">
        <v>15</v>
      </c>
      <c r="C163" s="0" t="s">
        <v>16</v>
      </c>
    </row>
    <row r="164">
      <c r="A164" s="0" t="s">
        <v>17</v>
      </c>
      <c r="C164" s="0" t="s">
        <v>18</v>
      </c>
    </row>
    <row r="167">
      <c r="A167" s="5" t="s">
        <v>19</v>
      </c>
      <c r="B167" s="5" t="s">
        <v>20</v>
      </c>
      <c r="C167" s="7" t="s">
        <v>21</v>
      </c>
      <c r="D167" s="9"/>
      <c r="E167" s="7" t="s">
        <v>22</v>
      </c>
      <c r="F167" s="9"/>
      <c r="G167" s="5" t="s">
        <v>23</v>
      </c>
      <c r="H167" s="5" t="s">
        <v>24</v>
      </c>
      <c r="I167" s="5" t="s">
        <v>25</v>
      </c>
      <c r="J167" s="5" t="s">
        <v>26</v>
      </c>
    </row>
    <row r="168">
      <c r="A168" s="6"/>
      <c r="B168" s="6"/>
      <c r="C168" s="8" t="s">
        <v>27</v>
      </c>
      <c r="D168" s="8" t="s">
        <v>28</v>
      </c>
      <c r="E168" s="8" t="s">
        <v>27</v>
      </c>
      <c r="F168" s="8" t="s">
        <v>28</v>
      </c>
      <c r="G168" s="6"/>
      <c r="H168" s="6"/>
      <c r="I168" s="10" t="s">
        <v>29</v>
      </c>
      <c r="J168" s="6"/>
    </row>
    <row r="169">
      <c r="A169" s="11" t="s">
        <v>30</v>
      </c>
      <c r="B169" s="12">
        <v>3586.4187</v>
      </c>
      <c r="C169" s="12">
        <v>0</v>
      </c>
      <c r="D169" s="13">
        <v>0</v>
      </c>
      <c r="E169" s="12">
        <v>0</v>
      </c>
      <c r="F169" s="14">
        <v>0</v>
      </c>
      <c r="G169" s="13">
        <v>67.345</v>
      </c>
      <c r="H169" s="14">
        <v>241527.367352</v>
      </c>
      <c r="I169" s="14" t="e">
        <f>=Round(5.44130000,0)</f>
        <v>#VALUE!</v>
      </c>
      <c r="J169" s="14" t="e">
        <f>=Round(0.00000000,0)</f>
        <v>#VALUE!</v>
      </c>
    </row>
    <row r="170">
      <c r="A170" s="11" t="s">
        <v>31</v>
      </c>
      <c r="B170" s="12">
        <v>3587.0477</v>
      </c>
      <c r="C170" s="12">
        <v>0</v>
      </c>
      <c r="D170" s="13">
        <v>0</v>
      </c>
      <c r="E170" s="12">
        <v>0</v>
      </c>
      <c r="F170" s="14">
        <v>0</v>
      </c>
      <c r="G170" s="13">
        <v>67.345</v>
      </c>
      <c r="H170" s="14">
        <v>241569.727357</v>
      </c>
      <c r="I170" s="14" t="e">
        <f>=Round(5.44430000,0)</f>
        <v>#VALUE!</v>
      </c>
      <c r="J170" s="14" t="e">
        <f>=Round(0.00000000,0)</f>
        <v>#VALUE!</v>
      </c>
    </row>
    <row r="171">
      <c r="A171" s="11" t="s">
        <v>32</v>
      </c>
      <c r="B171" s="12">
        <v>3587.6685</v>
      </c>
      <c r="C171" s="12">
        <v>0</v>
      </c>
      <c r="D171" s="13">
        <v>0</v>
      </c>
      <c r="E171" s="12">
        <v>0</v>
      </c>
      <c r="F171" s="14">
        <v>0</v>
      </c>
      <c r="G171" s="13">
        <v>67.345</v>
      </c>
      <c r="H171" s="14">
        <v>241611.535133</v>
      </c>
      <c r="I171" s="14" t="e">
        <f>=Round(5.44520000,0)</f>
        <v>#VALUE!</v>
      </c>
      <c r="J171" s="14" t="e">
        <f>=Round(0.00000000,0)</f>
        <v>#VALUE!</v>
      </c>
    </row>
    <row r="172">
      <c r="A172" s="11" t="s">
        <v>33</v>
      </c>
      <c r="B172" s="12">
        <v>3588.3573</v>
      </c>
      <c r="C172" s="12">
        <v>0</v>
      </c>
      <c r="D172" s="13">
        <v>0</v>
      </c>
      <c r="E172" s="12">
        <v>0</v>
      </c>
      <c r="F172" s="14">
        <v>0</v>
      </c>
      <c r="G172" s="13">
        <v>67.345</v>
      </c>
      <c r="H172" s="14">
        <v>241657.922369</v>
      </c>
      <c r="I172" s="14" t="e">
        <f>=Round(5.44620000,0)</f>
        <v>#VALUE!</v>
      </c>
      <c r="J172" s="14" t="e">
        <f>=Round(0.00000000,0)</f>
        <v>#VALUE!</v>
      </c>
    </row>
    <row r="173">
      <c r="A173" s="11" t="s">
        <v>34</v>
      </c>
      <c r="B173" s="12">
        <v>3589.0109</v>
      </c>
      <c r="C173" s="12">
        <v>0</v>
      </c>
      <c r="D173" s="13">
        <v>0</v>
      </c>
      <c r="E173" s="12">
        <v>0</v>
      </c>
      <c r="F173" s="14">
        <v>0</v>
      </c>
      <c r="G173" s="13">
        <v>67.345</v>
      </c>
      <c r="H173" s="14">
        <v>241701.939061</v>
      </c>
      <c r="I173" s="14" t="e">
        <f>=Round(5.44720000,0)</f>
        <v>#VALUE!</v>
      </c>
      <c r="J173" s="14" t="e">
        <f>=Round(0.00000000,0)</f>
        <v>#VALUE!</v>
      </c>
    </row>
    <row r="174">
      <c r="A174" s="11" t="s">
        <v>35</v>
      </c>
      <c r="B174" s="12">
        <v>3589.0109</v>
      </c>
      <c r="C174" s="12">
        <v>0</v>
      </c>
      <c r="D174" s="13">
        <v>0</v>
      </c>
      <c r="E174" s="12">
        <v>0</v>
      </c>
      <c r="F174" s="14">
        <v>0</v>
      </c>
      <c r="G174" s="13">
        <v>67.345</v>
      </c>
      <c r="H174" s="14">
        <v>241701.939061</v>
      </c>
      <c r="I174" s="14" t="e">
        <f>=Round(5.44820000,0)</f>
        <v>#VALUE!</v>
      </c>
      <c r="J174" s="14" t="e">
        <f>=Round(0.00000000,0)</f>
        <v>#VALUE!</v>
      </c>
    </row>
    <row r="175">
      <c r="A175" s="11" t="s">
        <v>36</v>
      </c>
      <c r="B175" s="12">
        <v>3589.0109</v>
      </c>
      <c r="C175" s="12">
        <v>0</v>
      </c>
      <c r="D175" s="13">
        <v>0</v>
      </c>
      <c r="E175" s="12">
        <v>0</v>
      </c>
      <c r="F175" s="14">
        <v>0</v>
      </c>
      <c r="G175" s="13">
        <v>67.345</v>
      </c>
      <c r="H175" s="14">
        <v>241701.939061</v>
      </c>
      <c r="I175" s="14" t="e">
        <f>=Round(5.44820000,0)</f>
        <v>#VALUE!</v>
      </c>
      <c r="J175" s="14" t="e">
        <f>=Round(0.00000000,0)</f>
        <v>#VALUE!</v>
      </c>
    </row>
    <row r="176">
      <c r="A176" s="11" t="s">
        <v>37</v>
      </c>
      <c r="B176" s="12">
        <v>3590.972</v>
      </c>
      <c r="C176" s="12">
        <v>0</v>
      </c>
      <c r="D176" s="13">
        <v>0</v>
      </c>
      <c r="E176" s="12">
        <v>0</v>
      </c>
      <c r="F176" s="14">
        <v>0</v>
      </c>
      <c r="G176" s="13">
        <v>67.345</v>
      </c>
      <c r="H176" s="14">
        <v>241834.00934</v>
      </c>
      <c r="I176" s="14" t="e">
        <f>=Round(5.44820000,0)</f>
        <v>#VALUE!</v>
      </c>
      <c r="J176" s="14" t="e">
        <f>=Round(0.00000000,0)</f>
        <v>#VALUE!</v>
      </c>
    </row>
    <row r="177">
      <c r="A177" s="11" t="s">
        <v>38</v>
      </c>
      <c r="B177" s="12">
        <v>3591.6235</v>
      </c>
      <c r="C177" s="12">
        <v>0</v>
      </c>
      <c r="D177" s="13">
        <v>0</v>
      </c>
      <c r="E177" s="12">
        <v>0</v>
      </c>
      <c r="F177" s="14">
        <v>0</v>
      </c>
      <c r="G177" s="13">
        <v>67.345</v>
      </c>
      <c r="H177" s="14">
        <v>241877.884608</v>
      </c>
      <c r="I177" s="14" t="e">
        <f>=Round(5.45120000,0)</f>
        <v>#VALUE!</v>
      </c>
      <c r="J177" s="14" t="e">
        <f>=Round(0.00000000,0)</f>
        <v>#VALUE!</v>
      </c>
    </row>
    <row r="178">
      <c r="A178" s="11" t="s">
        <v>39</v>
      </c>
      <c r="B178" s="12">
        <v>3592.281</v>
      </c>
      <c r="C178" s="12">
        <v>0</v>
      </c>
      <c r="D178" s="13">
        <v>0</v>
      </c>
      <c r="E178" s="12">
        <v>0</v>
      </c>
      <c r="F178" s="14">
        <v>0</v>
      </c>
      <c r="G178" s="13">
        <v>67.345</v>
      </c>
      <c r="H178" s="14">
        <v>241922.163945</v>
      </c>
      <c r="I178" s="14" t="e">
        <f>=Round(5.45220000,0)</f>
        <v>#VALUE!</v>
      </c>
      <c r="J178" s="14" t="e">
        <f>=Round(0.00000000,0)</f>
        <v>#VALUE!</v>
      </c>
    </row>
    <row r="179">
      <c r="A179" s="11" t="s">
        <v>40</v>
      </c>
      <c r="B179" s="12">
        <v>3592.9125</v>
      </c>
      <c r="C179" s="12">
        <v>0</v>
      </c>
      <c r="D179" s="13">
        <v>0</v>
      </c>
      <c r="E179" s="12">
        <v>0</v>
      </c>
      <c r="F179" s="14">
        <v>0</v>
      </c>
      <c r="G179" s="13">
        <v>67.345</v>
      </c>
      <c r="H179" s="14">
        <v>241964.692313</v>
      </c>
      <c r="I179" s="14" t="e">
        <f>=Round(5.45320000,0)</f>
        <v>#VALUE!</v>
      </c>
      <c r="J179" s="14" t="e">
        <f>=Round(0.00000000,0)</f>
        <v>#VALUE!</v>
      </c>
    </row>
    <row r="180">
      <c r="A180" s="11" t="s">
        <v>41</v>
      </c>
      <c r="B180" s="12">
        <v>3593.5674</v>
      </c>
      <c r="C180" s="12">
        <v>0</v>
      </c>
      <c r="D180" s="13">
        <v>0</v>
      </c>
      <c r="E180" s="12">
        <v>0</v>
      </c>
      <c r="F180" s="14">
        <v>0</v>
      </c>
      <c r="G180" s="13">
        <v>67.345</v>
      </c>
      <c r="H180" s="14">
        <v>242008.796553</v>
      </c>
      <c r="I180" s="14" t="e">
        <f>=Round(5.45410000,0)</f>
        <v>#VALUE!</v>
      </c>
      <c r="J180" s="14" t="e">
        <f>=Round(0.00000000,0)</f>
        <v>#VALUE!</v>
      </c>
    </row>
    <row r="181">
      <c r="A181" s="11" t="s">
        <v>42</v>
      </c>
      <c r="B181" s="12">
        <v>3593.5674</v>
      </c>
      <c r="C181" s="12">
        <v>0</v>
      </c>
      <c r="D181" s="13">
        <v>0</v>
      </c>
      <c r="E181" s="12">
        <v>0</v>
      </c>
      <c r="F181" s="14">
        <v>0</v>
      </c>
      <c r="G181" s="13">
        <v>67.345</v>
      </c>
      <c r="H181" s="14">
        <v>242008.796553</v>
      </c>
      <c r="I181" s="14" t="e">
        <f>=Round(5.45510000,0)</f>
        <v>#VALUE!</v>
      </c>
      <c r="J181" s="14" t="e">
        <f>=Round(0.00000000,0)</f>
        <v>#VALUE!</v>
      </c>
    </row>
    <row r="182">
      <c r="A182" s="11" t="s">
        <v>43</v>
      </c>
      <c r="B182" s="12">
        <v>3593.5674</v>
      </c>
      <c r="C182" s="12">
        <v>0</v>
      </c>
      <c r="D182" s="13">
        <v>0</v>
      </c>
      <c r="E182" s="12">
        <v>0</v>
      </c>
      <c r="F182" s="14">
        <v>0</v>
      </c>
      <c r="G182" s="13">
        <v>67.345</v>
      </c>
      <c r="H182" s="14">
        <v>242008.796553</v>
      </c>
      <c r="I182" s="14" t="e">
        <f>=Round(5.45510000,0)</f>
        <v>#VALUE!</v>
      </c>
      <c r="J182" s="14" t="e">
        <f>=Round(0.00000000,0)</f>
        <v>#VALUE!</v>
      </c>
    </row>
    <row r="183">
      <c r="A183" s="11" t="s">
        <v>44</v>
      </c>
      <c r="B183" s="12">
        <v>3595.5366</v>
      </c>
      <c r="C183" s="12">
        <v>0</v>
      </c>
      <c r="D183" s="13">
        <v>0</v>
      </c>
      <c r="E183" s="12">
        <v>0</v>
      </c>
      <c r="F183" s="14">
        <v>0</v>
      </c>
      <c r="G183" s="13">
        <v>67.345</v>
      </c>
      <c r="H183" s="14">
        <v>242141.412327</v>
      </c>
      <c r="I183" s="14" t="e">
        <f>=Round(5.45510000,0)</f>
        <v>#VALUE!</v>
      </c>
      <c r="J183" s="14" t="e">
        <f>=Round(0.00000000,0)</f>
        <v>#VALUE!</v>
      </c>
    </row>
    <row r="184">
      <c r="A184" s="11" t="s">
        <v>45</v>
      </c>
      <c r="B184" s="12">
        <v>3596.1915</v>
      </c>
      <c r="C184" s="12">
        <v>0</v>
      </c>
      <c r="D184" s="13">
        <v>0</v>
      </c>
      <c r="E184" s="12">
        <v>0</v>
      </c>
      <c r="F184" s="14">
        <v>0</v>
      </c>
      <c r="G184" s="13">
        <v>67.345</v>
      </c>
      <c r="H184" s="14">
        <v>242185.516568</v>
      </c>
      <c r="I184" s="14" t="e">
        <f>=Round(5.45810000,0)</f>
        <v>#VALUE!</v>
      </c>
      <c r="J184" s="14" t="e">
        <f>=Round(0.00000000,0)</f>
        <v>#VALUE!</v>
      </c>
    </row>
    <row r="185">
      <c r="A185" s="11" t="s">
        <v>46</v>
      </c>
      <c r="B185" s="12">
        <v>3596.8461</v>
      </c>
      <c r="C185" s="12">
        <v>0</v>
      </c>
      <c r="D185" s="13">
        <v>0</v>
      </c>
      <c r="E185" s="12">
        <v>0</v>
      </c>
      <c r="F185" s="14">
        <v>0</v>
      </c>
      <c r="G185" s="13">
        <v>67.345</v>
      </c>
      <c r="H185" s="14">
        <v>242229.600605</v>
      </c>
      <c r="I185" s="14" t="e">
        <f>=Round(5.45910000,0)</f>
        <v>#VALUE!</v>
      </c>
      <c r="J185" s="14" t="e">
        <f>=Round(0.00000000,0)</f>
        <v>#VALUE!</v>
      </c>
    </row>
    <row r="186">
      <c r="A186" s="11" t="s">
        <v>47</v>
      </c>
      <c r="B186" s="12">
        <v>3597.4992</v>
      </c>
      <c r="C186" s="12">
        <v>0</v>
      </c>
      <c r="D186" s="13">
        <v>0</v>
      </c>
      <c r="E186" s="12">
        <v>0</v>
      </c>
      <c r="F186" s="14">
        <v>0</v>
      </c>
      <c r="G186" s="13">
        <v>67.345</v>
      </c>
      <c r="H186" s="14">
        <v>242273.583624</v>
      </c>
      <c r="I186" s="14" t="e">
        <f>=Round(5.46010000,0)</f>
        <v>#VALUE!</v>
      </c>
      <c r="J186" s="14" t="e">
        <f>=Round(0.00000000,0)</f>
        <v>#VALUE!</v>
      </c>
    </row>
    <row r="187">
      <c r="A187" s="11" t="s">
        <v>48</v>
      </c>
      <c r="B187" s="12">
        <v>3598.1558</v>
      </c>
      <c r="C187" s="12">
        <v>0</v>
      </c>
      <c r="D187" s="13">
        <v>0</v>
      </c>
      <c r="E187" s="12">
        <v>0</v>
      </c>
      <c r="F187" s="14">
        <v>0</v>
      </c>
      <c r="G187" s="13">
        <v>67.345</v>
      </c>
      <c r="H187" s="14">
        <v>242317.802351</v>
      </c>
      <c r="I187" s="14" t="e">
        <f>=Round(5.46110000,0)</f>
        <v>#VALUE!</v>
      </c>
      <c r="J187" s="14" t="e">
        <f>=Round(0.00000000,0)</f>
        <v>#VALUE!</v>
      </c>
    </row>
    <row r="188">
      <c r="A188" s="11" t="s">
        <v>49</v>
      </c>
      <c r="B188" s="12">
        <v>3598.1558</v>
      </c>
      <c r="C188" s="12">
        <v>0</v>
      </c>
      <c r="D188" s="13">
        <v>0</v>
      </c>
      <c r="E188" s="12">
        <v>0</v>
      </c>
      <c r="F188" s="14">
        <v>0</v>
      </c>
      <c r="G188" s="13">
        <v>67.345</v>
      </c>
      <c r="H188" s="14">
        <v>242317.802351</v>
      </c>
      <c r="I188" s="14" t="e">
        <f>=Round(5.46210000,0)</f>
        <v>#VALUE!</v>
      </c>
      <c r="J188" s="14" t="e">
        <f>=Round(0.00000000,0)</f>
        <v>#VALUE!</v>
      </c>
    </row>
    <row r="189">
      <c r="A189" s="11" t="s">
        <v>50</v>
      </c>
      <c r="B189" s="12">
        <v>3598.1558</v>
      </c>
      <c r="C189" s="12">
        <v>0</v>
      </c>
      <c r="D189" s="13">
        <v>0</v>
      </c>
      <c r="E189" s="12">
        <v>0</v>
      </c>
      <c r="F189" s="14">
        <v>0</v>
      </c>
      <c r="G189" s="13">
        <v>67.345</v>
      </c>
      <c r="H189" s="14">
        <v>242317.802351</v>
      </c>
      <c r="I189" s="14" t="e">
        <f>=Round(5.46210000,0)</f>
        <v>#VALUE!</v>
      </c>
      <c r="J189" s="14" t="e">
        <f>=Round(0.00000000,0)</f>
        <v>#VALUE!</v>
      </c>
    </row>
    <row r="190">
      <c r="A190" s="11" t="s">
        <v>51</v>
      </c>
      <c r="B190" s="12">
        <v>3600.124</v>
      </c>
      <c r="C190" s="12">
        <v>0</v>
      </c>
      <c r="D190" s="13">
        <v>0</v>
      </c>
      <c r="E190" s="12">
        <v>0</v>
      </c>
      <c r="F190" s="14">
        <v>0</v>
      </c>
      <c r="G190" s="13">
        <v>67.345</v>
      </c>
      <c r="H190" s="14">
        <v>242450.35078</v>
      </c>
      <c r="I190" s="14" t="e">
        <f>=Round(5.46210000,0)</f>
        <v>#VALUE!</v>
      </c>
      <c r="J190" s="14" t="e">
        <f>=Round(0.00000000,0)</f>
        <v>#VALUE!</v>
      </c>
    </row>
    <row r="191">
      <c r="A191" s="11" t="s">
        <v>52</v>
      </c>
      <c r="B191" s="12">
        <v>3600.7905</v>
      </c>
      <c r="C191" s="12">
        <v>0</v>
      </c>
      <c r="D191" s="13">
        <v>0</v>
      </c>
      <c r="E191" s="12">
        <v>0</v>
      </c>
      <c r="F191" s="14">
        <v>0</v>
      </c>
      <c r="G191" s="13">
        <v>67.345</v>
      </c>
      <c r="H191" s="14">
        <v>242495.236223</v>
      </c>
      <c r="I191" s="14" t="e">
        <f>=Round(5.46510000,0)</f>
        <v>#VALUE!</v>
      </c>
      <c r="J191" s="14" t="e">
        <f>=Round(0.00000000,0)</f>
        <v>#VALUE!</v>
      </c>
    </row>
    <row r="192">
      <c r="A192" s="11" t="s">
        <v>53</v>
      </c>
      <c r="B192" s="12">
        <v>3601.445</v>
      </c>
      <c r="C192" s="12">
        <v>0</v>
      </c>
      <c r="D192" s="13">
        <v>0</v>
      </c>
      <c r="E192" s="12">
        <v>0</v>
      </c>
      <c r="F192" s="14">
        <v>0</v>
      </c>
      <c r="G192" s="13">
        <v>67.345</v>
      </c>
      <c r="H192" s="14">
        <v>242539.313525</v>
      </c>
      <c r="I192" s="14" t="e">
        <f>=Round(5.46610000,0)</f>
        <v>#VALUE!</v>
      </c>
      <c r="J192" s="14" t="e">
        <f>=Round(0.00000000,0)</f>
        <v>#VALUE!</v>
      </c>
    </row>
    <row r="193">
      <c r="A193" s="11" t="s">
        <v>54</v>
      </c>
      <c r="B193" s="12">
        <v>3602.0851</v>
      </c>
      <c r="C193" s="12">
        <v>0</v>
      </c>
      <c r="D193" s="13">
        <v>0</v>
      </c>
      <c r="E193" s="12">
        <v>0</v>
      </c>
      <c r="F193" s="14">
        <v>0</v>
      </c>
      <c r="G193" s="13">
        <v>67.345</v>
      </c>
      <c r="H193" s="14">
        <v>242582.42106</v>
      </c>
      <c r="I193" s="14" t="e">
        <f>=Round(5.46710000,0)</f>
        <v>#VALUE!</v>
      </c>
      <c r="J193" s="14" t="e">
        <f>=Round(0.00000000,0)</f>
        <v>#VALUE!</v>
      </c>
    </row>
    <row r="194">
      <c r="A194" s="11" t="s">
        <v>55</v>
      </c>
      <c r="B194" s="12">
        <v>3602.7417</v>
      </c>
      <c r="C194" s="12">
        <v>0</v>
      </c>
      <c r="D194" s="13">
        <v>0</v>
      </c>
      <c r="E194" s="12">
        <v>0</v>
      </c>
      <c r="F194" s="14">
        <v>0</v>
      </c>
      <c r="G194" s="13">
        <v>67.345</v>
      </c>
      <c r="H194" s="14">
        <v>242626.639787</v>
      </c>
      <c r="I194" s="14" t="e">
        <f>=Round(5.46800000,0)</f>
        <v>#VALUE!</v>
      </c>
      <c r="J194" s="14" t="e">
        <f>=Round(0.00000000,0)</f>
        <v>#VALUE!</v>
      </c>
    </row>
    <row r="195" ht="-1">
      <c r="A195" s="15"/>
      <c r="B195" s="16" t="s">
        <v>56</v>
      </c>
      <c r="C195" s="15"/>
      <c r="D195" s="15"/>
      <c r="E195" s="15"/>
      <c r="F195" s="15"/>
      <c r="G195" s="15"/>
      <c r="H195" s="15"/>
      <c r="I195" s="17" t="e">
        <f>=Round(SUM(I169:I194),0)</f>
        <v>#VALUE!</v>
      </c>
      <c r="J195" s="17" t="e">
        <f>=Round(SUM(J169:J194),0)</f>
        <v>#VALUE!</v>
      </c>
    </row>
    <row r="196">
      <c r="A196" s="1" t="s">
        <v>0</v>
      </c>
      <c r="B196" s="1"/>
      <c r="C196" s="1"/>
      <c r="D196" s="1"/>
    </row>
    <row r="197">
      <c r="A197" s="0" t="s">
        <v>1</v>
      </c>
      <c r="C197" s="0" t="s">
        <v>2</v>
      </c>
      <c r="H197" s="2" t="s">
        <v>3</v>
      </c>
    </row>
    <row r="198">
      <c r="A198" s="0" t="s">
        <v>4</v>
      </c>
      <c r="C198" s="0" t="s">
        <v>61</v>
      </c>
      <c r="H198" s="3" t="s">
        <v>6</v>
      </c>
    </row>
    <row r="199">
      <c r="A199" s="0" t="s">
        <v>7</v>
      </c>
      <c r="C199" s="4" t="s">
        <v>8</v>
      </c>
      <c r="H199" s="2" t="s">
        <v>9</v>
      </c>
    </row>
    <row r="200">
      <c r="A200" s="0" t="s">
        <v>10</v>
      </c>
      <c r="C200" s="4" t="s">
        <v>11</v>
      </c>
      <c r="H200" s="2" t="s">
        <v>12</v>
      </c>
    </row>
    <row r="201">
      <c r="A201" s="0" t="s">
        <v>13</v>
      </c>
      <c r="C201" s="0" t="s">
        <v>14</v>
      </c>
    </row>
    <row r="202">
      <c r="A202" s="0" t="s">
        <v>15</v>
      </c>
      <c r="C202" s="0" t="s">
        <v>16</v>
      </c>
    </row>
    <row r="203">
      <c r="A203" s="0" t="s">
        <v>17</v>
      </c>
      <c r="C203" s="0" t="s">
        <v>18</v>
      </c>
    </row>
    <row r="206">
      <c r="A206" s="5" t="s">
        <v>19</v>
      </c>
      <c r="B206" s="5" t="s">
        <v>20</v>
      </c>
      <c r="C206" s="7" t="s">
        <v>21</v>
      </c>
      <c r="D206" s="9"/>
      <c r="E206" s="7" t="s">
        <v>22</v>
      </c>
      <c r="F206" s="9"/>
      <c r="G206" s="5" t="s">
        <v>23</v>
      </c>
      <c r="H206" s="5" t="s">
        <v>24</v>
      </c>
      <c r="I206" s="5" t="s">
        <v>25</v>
      </c>
      <c r="J206" s="5" t="s">
        <v>26</v>
      </c>
    </row>
    <row r="207">
      <c r="A207" s="6"/>
      <c r="B207" s="6"/>
      <c r="C207" s="8" t="s">
        <v>27</v>
      </c>
      <c r="D207" s="8" t="s">
        <v>28</v>
      </c>
      <c r="E207" s="8" t="s">
        <v>27</v>
      </c>
      <c r="F207" s="8" t="s">
        <v>28</v>
      </c>
      <c r="G207" s="6"/>
      <c r="H207" s="6"/>
      <c r="I207" s="10" t="s">
        <v>29</v>
      </c>
      <c r="J207" s="6"/>
    </row>
    <row r="208">
      <c r="A208" s="11" t="s">
        <v>30</v>
      </c>
      <c r="B208" s="12">
        <v>3586.4187</v>
      </c>
      <c r="C208" s="12">
        <v>0</v>
      </c>
      <c r="D208" s="13">
        <v>0</v>
      </c>
      <c r="E208" s="12">
        <v>0</v>
      </c>
      <c r="F208" s="14">
        <v>0</v>
      </c>
      <c r="G208" s="13">
        <v>2623.1639</v>
      </c>
      <c r="H208" s="14">
        <v>9407764.064125</v>
      </c>
      <c r="I208" s="14" t="e">
        <f>=Round(211.94360000,0)</f>
        <v>#VALUE!</v>
      </c>
      <c r="J208" s="14" t="e">
        <f>=Round(0.00000000,0)</f>
        <v>#VALUE!</v>
      </c>
    </row>
    <row r="209">
      <c r="A209" s="11" t="s">
        <v>31</v>
      </c>
      <c r="B209" s="12">
        <v>3587.0477</v>
      </c>
      <c r="C209" s="12">
        <v>0</v>
      </c>
      <c r="D209" s="13">
        <v>0</v>
      </c>
      <c r="E209" s="12">
        <v>0</v>
      </c>
      <c r="F209" s="14">
        <v>0</v>
      </c>
      <c r="G209" s="13">
        <v>2623.1639</v>
      </c>
      <c r="H209" s="14">
        <v>9409414.034218</v>
      </c>
      <c r="I209" s="14" t="e">
        <f>=Round(212.06030000,0)</f>
        <v>#VALUE!</v>
      </c>
      <c r="J209" s="14" t="e">
        <f>=Round(0.00000000,0)</f>
        <v>#VALUE!</v>
      </c>
    </row>
    <row r="210">
      <c r="A210" s="11" t="s">
        <v>32</v>
      </c>
      <c r="B210" s="12">
        <v>3587.6685</v>
      </c>
      <c r="C210" s="12">
        <v>0</v>
      </c>
      <c r="D210" s="13">
        <v>0</v>
      </c>
      <c r="E210" s="12">
        <v>0</v>
      </c>
      <c r="F210" s="14">
        <v>0</v>
      </c>
      <c r="G210" s="13">
        <v>2623.1639</v>
      </c>
      <c r="H210" s="14">
        <v>9411042.494367</v>
      </c>
      <c r="I210" s="14" t="e">
        <f>=Round(212.09740000,0)</f>
        <v>#VALUE!</v>
      </c>
      <c r="J210" s="14" t="e">
        <f>=Round(0.00000000,0)</f>
        <v>#VALUE!</v>
      </c>
    </row>
    <row r="211">
      <c r="A211" s="11" t="s">
        <v>33</v>
      </c>
      <c r="B211" s="12">
        <v>3588.3573</v>
      </c>
      <c r="C211" s="12">
        <v>0</v>
      </c>
      <c r="D211" s="13">
        <v>0</v>
      </c>
      <c r="E211" s="12">
        <v>0</v>
      </c>
      <c r="F211" s="14">
        <v>0</v>
      </c>
      <c r="G211" s="13">
        <v>2623.1639</v>
      </c>
      <c r="H211" s="14">
        <v>9412849.329661</v>
      </c>
      <c r="I211" s="14" t="e">
        <f>=Round(212.13420000,0)</f>
        <v>#VALUE!</v>
      </c>
      <c r="J211" s="14" t="e">
        <f>=Round(0.00000000,0)</f>
        <v>#VALUE!</v>
      </c>
    </row>
    <row r="212">
      <c r="A212" s="11" t="s">
        <v>34</v>
      </c>
      <c r="B212" s="12">
        <v>3589.0109</v>
      </c>
      <c r="C212" s="12">
        <v>0</v>
      </c>
      <c r="D212" s="13">
        <v>0</v>
      </c>
      <c r="E212" s="12">
        <v>0</v>
      </c>
      <c r="F212" s="14">
        <v>0</v>
      </c>
      <c r="G212" s="13">
        <v>2623.1639</v>
      </c>
      <c r="H212" s="14">
        <v>9414563.829587</v>
      </c>
      <c r="I212" s="14" t="e">
        <f>=Round(212.17490000,0)</f>
        <v>#VALUE!</v>
      </c>
      <c r="J212" s="14" t="e">
        <f>=Round(0.00000000,0)</f>
        <v>#VALUE!</v>
      </c>
    </row>
    <row r="213">
      <c r="A213" s="11" t="s">
        <v>35</v>
      </c>
      <c r="B213" s="12">
        <v>3589.0109</v>
      </c>
      <c r="C213" s="12">
        <v>0</v>
      </c>
      <c r="D213" s="13">
        <v>0</v>
      </c>
      <c r="E213" s="12">
        <v>0</v>
      </c>
      <c r="F213" s="14">
        <v>0</v>
      </c>
      <c r="G213" s="13">
        <v>2623.1639</v>
      </c>
      <c r="H213" s="14">
        <v>9414563.829587</v>
      </c>
      <c r="I213" s="14" t="e">
        <f>=Round(212.21350000,0)</f>
        <v>#VALUE!</v>
      </c>
      <c r="J213" s="14" t="e">
        <f>=Round(0.00000000,0)</f>
        <v>#VALUE!</v>
      </c>
    </row>
    <row r="214">
      <c r="A214" s="11" t="s">
        <v>36</v>
      </c>
      <c r="B214" s="12">
        <v>3589.0109</v>
      </c>
      <c r="C214" s="12">
        <v>0</v>
      </c>
      <c r="D214" s="13">
        <v>0</v>
      </c>
      <c r="E214" s="12">
        <v>0</v>
      </c>
      <c r="F214" s="14">
        <v>0</v>
      </c>
      <c r="G214" s="13">
        <v>2623.1639</v>
      </c>
      <c r="H214" s="14">
        <v>9414563.829587</v>
      </c>
      <c r="I214" s="14" t="e">
        <f>=Round(212.21350000,0)</f>
        <v>#VALUE!</v>
      </c>
      <c r="J214" s="14" t="e">
        <f>=Round(0.00000000,0)</f>
        <v>#VALUE!</v>
      </c>
    </row>
    <row r="215">
      <c r="A215" s="11" t="s">
        <v>37</v>
      </c>
      <c r="B215" s="12">
        <v>3590.972</v>
      </c>
      <c r="C215" s="12">
        <v>0</v>
      </c>
      <c r="D215" s="13">
        <v>0</v>
      </c>
      <c r="E215" s="12">
        <v>0</v>
      </c>
      <c r="F215" s="14">
        <v>0</v>
      </c>
      <c r="G215" s="13">
        <v>2623.1639</v>
      </c>
      <c r="H215" s="14">
        <v>9419708.116311</v>
      </c>
      <c r="I215" s="14" t="e">
        <f>=Round(212.21350000,0)</f>
        <v>#VALUE!</v>
      </c>
      <c r="J215" s="14" t="e">
        <f>=Round(0.00000000,0)</f>
        <v>#VALUE!</v>
      </c>
    </row>
    <row r="216">
      <c r="A216" s="11" t="s">
        <v>38</v>
      </c>
      <c r="B216" s="12">
        <v>3591.6235</v>
      </c>
      <c r="C216" s="12">
        <v>0</v>
      </c>
      <c r="D216" s="13">
        <v>0</v>
      </c>
      <c r="E216" s="12">
        <v>0</v>
      </c>
      <c r="F216" s="14">
        <v>0</v>
      </c>
      <c r="G216" s="13">
        <v>2623.1639</v>
      </c>
      <c r="H216" s="14">
        <v>9421417.107592</v>
      </c>
      <c r="I216" s="14" t="e">
        <f>=Round(212.32950000,0)</f>
        <v>#VALUE!</v>
      </c>
      <c r="J216" s="14" t="e">
        <f>=Round(0.00000000,0)</f>
        <v>#VALUE!</v>
      </c>
    </row>
    <row r="217">
      <c r="A217" s="11" t="s">
        <v>39</v>
      </c>
      <c r="B217" s="12">
        <v>3592.281</v>
      </c>
      <c r="C217" s="12">
        <v>0</v>
      </c>
      <c r="D217" s="13">
        <v>0</v>
      </c>
      <c r="E217" s="12">
        <v>0</v>
      </c>
      <c r="F217" s="14">
        <v>0</v>
      </c>
      <c r="G217" s="13">
        <v>2623.1639</v>
      </c>
      <c r="H217" s="14">
        <v>9423141.837856</v>
      </c>
      <c r="I217" s="14" t="e">
        <f>=Round(212.36800000,0)</f>
        <v>#VALUE!</v>
      </c>
      <c r="J217" s="14" t="e">
        <f>=Round(0.00000000,0)</f>
        <v>#VALUE!</v>
      </c>
    </row>
    <row r="218">
      <c r="A218" s="11" t="s">
        <v>40</v>
      </c>
      <c r="B218" s="12">
        <v>3592.9125</v>
      </c>
      <c r="C218" s="12">
        <v>0</v>
      </c>
      <c r="D218" s="13">
        <v>0</v>
      </c>
      <c r="E218" s="12">
        <v>0</v>
      </c>
      <c r="F218" s="14">
        <v>0</v>
      </c>
      <c r="G218" s="13">
        <v>2623.1639</v>
      </c>
      <c r="H218" s="14">
        <v>9424798.365859</v>
      </c>
      <c r="I218" s="14" t="e">
        <f>=Round(212.40690000,0)</f>
        <v>#VALUE!</v>
      </c>
      <c r="J218" s="14" t="e">
        <f>=Round(0.00000000,0)</f>
        <v>#VALUE!</v>
      </c>
    </row>
    <row r="219">
      <c r="A219" s="11" t="s">
        <v>41</v>
      </c>
      <c r="B219" s="12">
        <v>3593.5674</v>
      </c>
      <c r="C219" s="12">
        <v>0</v>
      </c>
      <c r="D219" s="13">
        <v>0</v>
      </c>
      <c r="E219" s="12">
        <v>0</v>
      </c>
      <c r="F219" s="14">
        <v>0</v>
      </c>
      <c r="G219" s="13">
        <v>2623.1639</v>
      </c>
      <c r="H219" s="14">
        <v>9426516.275897</v>
      </c>
      <c r="I219" s="14" t="e">
        <f>=Round(212.44420000,0)</f>
        <v>#VALUE!</v>
      </c>
      <c r="J219" s="14" t="e">
        <f>=Round(0.00000000,0)</f>
        <v>#VALUE!</v>
      </c>
    </row>
    <row r="220">
      <c r="A220" s="11" t="s">
        <v>42</v>
      </c>
      <c r="B220" s="12">
        <v>3593.5674</v>
      </c>
      <c r="C220" s="12">
        <v>0</v>
      </c>
      <c r="D220" s="13">
        <v>0</v>
      </c>
      <c r="E220" s="12">
        <v>0</v>
      </c>
      <c r="F220" s="14">
        <v>0</v>
      </c>
      <c r="G220" s="13">
        <v>2623.1639</v>
      </c>
      <c r="H220" s="14">
        <v>9426516.275897</v>
      </c>
      <c r="I220" s="14" t="e">
        <f>=Round(212.48290000,0)</f>
        <v>#VALUE!</v>
      </c>
      <c r="J220" s="14" t="e">
        <f>=Round(0.00000000,0)</f>
        <v>#VALUE!</v>
      </c>
    </row>
    <row r="221">
      <c r="A221" s="11" t="s">
        <v>43</v>
      </c>
      <c r="B221" s="12">
        <v>3593.5674</v>
      </c>
      <c r="C221" s="12">
        <v>0</v>
      </c>
      <c r="D221" s="13">
        <v>0</v>
      </c>
      <c r="E221" s="12">
        <v>0</v>
      </c>
      <c r="F221" s="14">
        <v>0</v>
      </c>
      <c r="G221" s="13">
        <v>2623.1639</v>
      </c>
      <c r="H221" s="14">
        <v>9426516.275897</v>
      </c>
      <c r="I221" s="14" t="e">
        <f>=Round(212.48290000,0)</f>
        <v>#VALUE!</v>
      </c>
      <c r="J221" s="14" t="e">
        <f>=Round(0.00000000,0)</f>
        <v>#VALUE!</v>
      </c>
    </row>
    <row r="222">
      <c r="A222" s="11" t="s">
        <v>44</v>
      </c>
      <c r="B222" s="12">
        <v>3595.5366</v>
      </c>
      <c r="C222" s="12">
        <v>0</v>
      </c>
      <c r="D222" s="13">
        <v>0</v>
      </c>
      <c r="E222" s="12">
        <v>0</v>
      </c>
      <c r="F222" s="14">
        <v>0</v>
      </c>
      <c r="G222" s="13">
        <v>2623.1639</v>
      </c>
      <c r="H222" s="14">
        <v>9431681.810249</v>
      </c>
      <c r="I222" s="14" t="e">
        <f>=Round(212.48290000,0)</f>
        <v>#VALUE!</v>
      </c>
      <c r="J222" s="14" t="e">
        <f>=Round(0.00000000,0)</f>
        <v>#VALUE!</v>
      </c>
    </row>
    <row r="223">
      <c r="A223" s="11" t="s">
        <v>45</v>
      </c>
      <c r="B223" s="12">
        <v>3596.1915</v>
      </c>
      <c r="C223" s="12">
        <v>0</v>
      </c>
      <c r="D223" s="13">
        <v>0</v>
      </c>
      <c r="E223" s="12">
        <v>0</v>
      </c>
      <c r="F223" s="14">
        <v>0</v>
      </c>
      <c r="G223" s="13">
        <v>2623.1639</v>
      </c>
      <c r="H223" s="14">
        <v>9433399.720287</v>
      </c>
      <c r="I223" s="14" t="e">
        <f>=Round(212.59940000,0)</f>
        <v>#VALUE!</v>
      </c>
      <c r="J223" s="14" t="e">
        <f>=Round(0.00000000,0)</f>
        <v>#VALUE!</v>
      </c>
    </row>
    <row r="224">
      <c r="A224" s="11" t="s">
        <v>46</v>
      </c>
      <c r="B224" s="12">
        <v>3596.8461</v>
      </c>
      <c r="C224" s="12">
        <v>0</v>
      </c>
      <c r="D224" s="13">
        <v>0</v>
      </c>
      <c r="E224" s="12">
        <v>0</v>
      </c>
      <c r="F224" s="14">
        <v>0</v>
      </c>
      <c r="G224" s="13">
        <v>2623.1639</v>
      </c>
      <c r="H224" s="14">
        <v>9435116.843376</v>
      </c>
      <c r="I224" s="14" t="e">
        <f>=Round(212.63810000,0)</f>
        <v>#VALUE!</v>
      </c>
      <c r="J224" s="14" t="e">
        <f>=Round(0.00000000,0)</f>
        <v>#VALUE!</v>
      </c>
    </row>
    <row r="225">
      <c r="A225" s="11" t="s">
        <v>47</v>
      </c>
      <c r="B225" s="12">
        <v>3597.4992</v>
      </c>
      <c r="C225" s="12">
        <v>0</v>
      </c>
      <c r="D225" s="13">
        <v>0</v>
      </c>
      <c r="E225" s="12">
        <v>0</v>
      </c>
      <c r="F225" s="14">
        <v>0</v>
      </c>
      <c r="G225" s="13">
        <v>2623.1639</v>
      </c>
      <c r="H225" s="14">
        <v>9436830.031719</v>
      </c>
      <c r="I225" s="14" t="e">
        <f>=Round(212.67680000,0)</f>
        <v>#VALUE!</v>
      </c>
      <c r="J225" s="14" t="e">
        <f>=Round(0.00000000,0)</f>
        <v>#VALUE!</v>
      </c>
    </row>
    <row r="226">
      <c r="A226" s="11" t="s">
        <v>48</v>
      </c>
      <c r="B226" s="12">
        <v>3598.1558</v>
      </c>
      <c r="C226" s="12">
        <v>0</v>
      </c>
      <c r="D226" s="13">
        <v>0</v>
      </c>
      <c r="E226" s="12">
        <v>0</v>
      </c>
      <c r="F226" s="14">
        <v>0</v>
      </c>
      <c r="G226" s="13">
        <v>2623.1639</v>
      </c>
      <c r="H226" s="14">
        <v>9438552.401136</v>
      </c>
      <c r="I226" s="14" t="e">
        <f>=Round(212.71540000,0)</f>
        <v>#VALUE!</v>
      </c>
      <c r="J226" s="14" t="e">
        <f>=Round(0.00000000,0)</f>
        <v>#VALUE!</v>
      </c>
    </row>
    <row r="227">
      <c r="A227" s="11" t="s">
        <v>49</v>
      </c>
      <c r="B227" s="12">
        <v>3598.1558</v>
      </c>
      <c r="C227" s="12">
        <v>0</v>
      </c>
      <c r="D227" s="13">
        <v>0</v>
      </c>
      <c r="E227" s="12">
        <v>0</v>
      </c>
      <c r="F227" s="14">
        <v>0</v>
      </c>
      <c r="G227" s="13">
        <v>2623.1639</v>
      </c>
      <c r="H227" s="14">
        <v>9438552.401136</v>
      </c>
      <c r="I227" s="14" t="e">
        <f>=Round(212.75430000,0)</f>
        <v>#VALUE!</v>
      </c>
      <c r="J227" s="14" t="e">
        <f>=Round(0.00000000,0)</f>
        <v>#VALUE!</v>
      </c>
    </row>
    <row r="228">
      <c r="A228" s="11" t="s">
        <v>50</v>
      </c>
      <c r="B228" s="12">
        <v>3598.1558</v>
      </c>
      <c r="C228" s="12">
        <v>0</v>
      </c>
      <c r="D228" s="13">
        <v>0</v>
      </c>
      <c r="E228" s="12">
        <v>0</v>
      </c>
      <c r="F228" s="14">
        <v>0</v>
      </c>
      <c r="G228" s="13">
        <v>2623.1639</v>
      </c>
      <c r="H228" s="14">
        <v>9438552.401136</v>
      </c>
      <c r="I228" s="14" t="e">
        <f>=Round(212.75430000,0)</f>
        <v>#VALUE!</v>
      </c>
      <c r="J228" s="14" t="e">
        <f>=Round(0.00000000,0)</f>
        <v>#VALUE!</v>
      </c>
    </row>
    <row r="229">
      <c r="A229" s="11" t="s">
        <v>51</v>
      </c>
      <c r="B229" s="12">
        <v>3600.124</v>
      </c>
      <c r="C229" s="12">
        <v>0</v>
      </c>
      <c r="D229" s="13">
        <v>0</v>
      </c>
      <c r="E229" s="12">
        <v>0</v>
      </c>
      <c r="F229" s="14">
        <v>0</v>
      </c>
      <c r="G229" s="13">
        <v>2623.1639</v>
      </c>
      <c r="H229" s="14">
        <v>9443715.312324</v>
      </c>
      <c r="I229" s="14" t="e">
        <f>=Round(212.75430000,0)</f>
        <v>#VALUE!</v>
      </c>
      <c r="J229" s="14" t="e">
        <f>=Round(0.00000000,0)</f>
        <v>#VALUE!</v>
      </c>
    </row>
    <row r="230">
      <c r="A230" s="11" t="s">
        <v>52</v>
      </c>
      <c r="B230" s="12">
        <v>3600.7905</v>
      </c>
      <c r="C230" s="12">
        <v>0</v>
      </c>
      <c r="D230" s="13">
        <v>0</v>
      </c>
      <c r="E230" s="12">
        <v>0</v>
      </c>
      <c r="F230" s="14">
        <v>0</v>
      </c>
      <c r="G230" s="13">
        <v>2623.1639</v>
      </c>
      <c r="H230" s="14">
        <v>9445463.651063</v>
      </c>
      <c r="I230" s="14" t="e">
        <f>=Round(212.87060000,0)</f>
        <v>#VALUE!</v>
      </c>
      <c r="J230" s="14" t="e">
        <f>=Round(0.00000000,0)</f>
        <v>#VALUE!</v>
      </c>
    </row>
    <row r="231">
      <c r="A231" s="11" t="s">
        <v>53</v>
      </c>
      <c r="B231" s="12">
        <v>3601.445</v>
      </c>
      <c r="C231" s="12">
        <v>0</v>
      </c>
      <c r="D231" s="13">
        <v>0</v>
      </c>
      <c r="E231" s="12">
        <v>0</v>
      </c>
      <c r="F231" s="14">
        <v>0</v>
      </c>
      <c r="G231" s="13">
        <v>2623.1639</v>
      </c>
      <c r="H231" s="14">
        <v>9447180.511836</v>
      </c>
      <c r="I231" s="14" t="e">
        <f>=Round(212.91000000,0)</f>
        <v>#VALUE!</v>
      </c>
      <c r="J231" s="14" t="e">
        <f>=Round(0.00000000,0)</f>
        <v>#VALUE!</v>
      </c>
    </row>
    <row r="232">
      <c r="A232" s="11" t="s">
        <v>54</v>
      </c>
      <c r="B232" s="12">
        <v>3602.0851</v>
      </c>
      <c r="C232" s="12">
        <v>0</v>
      </c>
      <c r="D232" s="13">
        <v>0</v>
      </c>
      <c r="E232" s="12">
        <v>0</v>
      </c>
      <c r="F232" s="14">
        <v>0</v>
      </c>
      <c r="G232" s="13">
        <v>2623.1639</v>
      </c>
      <c r="H232" s="14">
        <v>9448859.599048</v>
      </c>
      <c r="I232" s="14" t="e">
        <f>=Round(212.94870000,0)</f>
        <v>#VALUE!</v>
      </c>
      <c r="J232" s="14" t="e">
        <f>=Round(0.00000000,0)</f>
        <v>#VALUE!</v>
      </c>
    </row>
    <row r="233">
      <c r="A233" s="11" t="s">
        <v>55</v>
      </c>
      <c r="B233" s="12">
        <v>3602.7417</v>
      </c>
      <c r="C233" s="12">
        <v>0</v>
      </c>
      <c r="D233" s="13">
        <v>0</v>
      </c>
      <c r="E233" s="12">
        <v>0</v>
      </c>
      <c r="F233" s="14">
        <v>0</v>
      </c>
      <c r="G233" s="13">
        <v>2623.1639</v>
      </c>
      <c r="H233" s="14">
        <v>9450581.968465</v>
      </c>
      <c r="I233" s="14" t="e">
        <f>=Round(212.98660000,0)</f>
        <v>#VALUE!</v>
      </c>
      <c r="J233" s="14" t="e">
        <f>=Round(0.00000000,0)</f>
        <v>#VALUE!</v>
      </c>
    </row>
    <row r="234" ht="-1">
      <c r="A234" s="15"/>
      <c r="B234" s="16" t="s">
        <v>56</v>
      </c>
      <c r="C234" s="15"/>
      <c r="D234" s="15"/>
      <c r="E234" s="15"/>
      <c r="F234" s="15"/>
      <c r="G234" s="15"/>
      <c r="H234" s="15"/>
      <c r="I234" s="17" t="e">
        <f>=Round(SUM(I208:I233),0)</f>
        <v>#VALUE!</v>
      </c>
      <c r="J234" s="17" t="e">
        <f>=Round(SUM(J208:J233),0)</f>
        <v>#VALUE!</v>
      </c>
    </row>
    <row r="235">
      <c r="A235" s="1" t="s">
        <v>0</v>
      </c>
      <c r="B235" s="1"/>
      <c r="C235" s="1"/>
      <c r="D235" s="1"/>
    </row>
    <row r="236">
      <c r="A236" s="0" t="s">
        <v>1</v>
      </c>
      <c r="C236" s="0" t="s">
        <v>2</v>
      </c>
      <c r="H236" s="2" t="s">
        <v>3</v>
      </c>
    </row>
    <row r="237">
      <c r="A237" s="0" t="s">
        <v>4</v>
      </c>
      <c r="C237" s="0" t="s">
        <v>62</v>
      </c>
      <c r="H237" s="3" t="s">
        <v>6</v>
      </c>
    </row>
    <row r="238">
      <c r="A238" s="0" t="s">
        <v>7</v>
      </c>
      <c r="C238" s="4" t="s">
        <v>8</v>
      </c>
      <c r="H238" s="2" t="s">
        <v>9</v>
      </c>
    </row>
    <row r="239">
      <c r="A239" s="0" t="s">
        <v>10</v>
      </c>
      <c r="C239" s="4" t="s">
        <v>11</v>
      </c>
      <c r="H239" s="2" t="s">
        <v>12</v>
      </c>
    </row>
    <row r="240">
      <c r="A240" s="0" t="s">
        <v>13</v>
      </c>
      <c r="C240" s="0" t="s">
        <v>14</v>
      </c>
    </row>
    <row r="241">
      <c r="A241" s="0" t="s">
        <v>15</v>
      </c>
      <c r="C241" s="0" t="s">
        <v>16</v>
      </c>
    </row>
    <row r="242">
      <c r="A242" s="0" t="s">
        <v>17</v>
      </c>
      <c r="C242" s="0" t="s">
        <v>18</v>
      </c>
    </row>
    <row r="245">
      <c r="A245" s="5" t="s">
        <v>19</v>
      </c>
      <c r="B245" s="5" t="s">
        <v>20</v>
      </c>
      <c r="C245" s="7" t="s">
        <v>21</v>
      </c>
      <c r="D245" s="9"/>
      <c r="E245" s="7" t="s">
        <v>22</v>
      </c>
      <c r="F245" s="9"/>
      <c r="G245" s="5" t="s">
        <v>23</v>
      </c>
      <c r="H245" s="5" t="s">
        <v>24</v>
      </c>
      <c r="I245" s="5" t="s">
        <v>25</v>
      </c>
      <c r="J245" s="5" t="s">
        <v>26</v>
      </c>
    </row>
    <row r="246">
      <c r="A246" s="6"/>
      <c r="B246" s="6"/>
      <c r="C246" s="8" t="s">
        <v>27</v>
      </c>
      <c r="D246" s="8" t="s">
        <v>28</v>
      </c>
      <c r="E246" s="8" t="s">
        <v>27</v>
      </c>
      <c r="F246" s="8" t="s">
        <v>28</v>
      </c>
      <c r="G246" s="6"/>
      <c r="H246" s="6"/>
      <c r="I246" s="10" t="s">
        <v>29</v>
      </c>
      <c r="J246" s="6"/>
    </row>
    <row r="247">
      <c r="A247" s="11" t="s">
        <v>30</v>
      </c>
      <c r="B247" s="12">
        <v>3586.4187</v>
      </c>
      <c r="C247" s="12">
        <v>0</v>
      </c>
      <c r="D247" s="13">
        <v>0</v>
      </c>
      <c r="E247" s="12">
        <v>0</v>
      </c>
      <c r="F247" s="14">
        <v>0</v>
      </c>
      <c r="G247" s="13">
        <v>9854.6774</v>
      </c>
      <c r="H247" s="14">
        <v>35342999.309827</v>
      </c>
      <c r="I247" s="14" t="e">
        <f>=Round(796.22790000,0)</f>
        <v>#VALUE!</v>
      </c>
      <c r="J247" s="14" t="e">
        <f>=Round(0.00000000,0)</f>
        <v>#VALUE!</v>
      </c>
    </row>
    <row r="248">
      <c r="A248" s="11" t="s">
        <v>31</v>
      </c>
      <c r="B248" s="12">
        <v>3587.0477</v>
      </c>
      <c r="C248" s="12">
        <v>0</v>
      </c>
      <c r="D248" s="13">
        <v>0</v>
      </c>
      <c r="E248" s="12">
        <v>0</v>
      </c>
      <c r="F248" s="14">
        <v>0</v>
      </c>
      <c r="G248" s="13">
        <v>9854.6774</v>
      </c>
      <c r="H248" s="14">
        <v>35349197.901912</v>
      </c>
      <c r="I248" s="14" t="e">
        <f>=Round(796.66600000,0)</f>
        <v>#VALUE!</v>
      </c>
      <c r="J248" s="14" t="e">
        <f>=Round(0.00000000,0)</f>
        <v>#VALUE!</v>
      </c>
    </row>
    <row r="249">
      <c r="A249" s="11" t="s">
        <v>32</v>
      </c>
      <c r="B249" s="12">
        <v>3587.6685</v>
      </c>
      <c r="C249" s="12">
        <v>0</v>
      </c>
      <c r="D249" s="13">
        <v>0</v>
      </c>
      <c r="E249" s="12">
        <v>0</v>
      </c>
      <c r="F249" s="14">
        <v>0</v>
      </c>
      <c r="G249" s="13">
        <v>9854.6774</v>
      </c>
      <c r="H249" s="14">
        <v>35355315.685642</v>
      </c>
      <c r="I249" s="14" t="e">
        <f>=Round(796.80570000,0)</f>
        <v>#VALUE!</v>
      </c>
      <c r="J249" s="14" t="e">
        <f>=Round(0.00000000,0)</f>
        <v>#VALUE!</v>
      </c>
    </row>
    <row r="250">
      <c r="A250" s="11" t="s">
        <v>33</v>
      </c>
      <c r="B250" s="12">
        <v>3588.3573</v>
      </c>
      <c r="C250" s="12">
        <v>0</v>
      </c>
      <c r="D250" s="13">
        <v>0</v>
      </c>
      <c r="E250" s="12">
        <v>0</v>
      </c>
      <c r="F250" s="14">
        <v>0</v>
      </c>
      <c r="G250" s="13">
        <v>9854.6774</v>
      </c>
      <c r="H250" s="14">
        <v>35362103.587435</v>
      </c>
      <c r="I250" s="14" t="e">
        <f>=Round(796.94360000,0)</f>
        <v>#VALUE!</v>
      </c>
      <c r="J250" s="14" t="e">
        <f>=Round(0.00000000,0)</f>
        <v>#VALUE!</v>
      </c>
    </row>
    <row r="251">
      <c r="A251" s="11" t="s">
        <v>34</v>
      </c>
      <c r="B251" s="12">
        <v>3589.0109</v>
      </c>
      <c r="C251" s="12">
        <v>0</v>
      </c>
      <c r="D251" s="13">
        <v>0</v>
      </c>
      <c r="E251" s="12">
        <v>0</v>
      </c>
      <c r="F251" s="14">
        <v>0</v>
      </c>
      <c r="G251" s="13">
        <v>9854.6774</v>
      </c>
      <c r="H251" s="14">
        <v>35368544.604584</v>
      </c>
      <c r="I251" s="14" t="e">
        <f>=Round(797.09660000,0)</f>
        <v>#VALUE!</v>
      </c>
      <c r="J251" s="14" t="e">
        <f>=Round(0.00000000,0)</f>
        <v>#VALUE!</v>
      </c>
    </row>
    <row r="252">
      <c r="A252" s="11" t="s">
        <v>35</v>
      </c>
      <c r="B252" s="12">
        <v>3589.0109</v>
      </c>
      <c r="C252" s="12">
        <v>0</v>
      </c>
      <c r="D252" s="13">
        <v>0</v>
      </c>
      <c r="E252" s="12">
        <v>0</v>
      </c>
      <c r="F252" s="14">
        <v>0</v>
      </c>
      <c r="G252" s="13">
        <v>9854.6774</v>
      </c>
      <c r="H252" s="14">
        <v>35368544.604584</v>
      </c>
      <c r="I252" s="14" t="e">
        <f>=Round(797.24180000,0)</f>
        <v>#VALUE!</v>
      </c>
      <c r="J252" s="14" t="e">
        <f>=Round(0.00000000,0)</f>
        <v>#VALUE!</v>
      </c>
    </row>
    <row r="253">
      <c r="A253" s="11" t="s">
        <v>36</v>
      </c>
      <c r="B253" s="12">
        <v>3589.0109</v>
      </c>
      <c r="C253" s="12">
        <v>0</v>
      </c>
      <c r="D253" s="13">
        <v>0</v>
      </c>
      <c r="E253" s="12">
        <v>0</v>
      </c>
      <c r="F253" s="14">
        <v>0</v>
      </c>
      <c r="G253" s="13">
        <v>9854.6774</v>
      </c>
      <c r="H253" s="14">
        <v>35368544.604584</v>
      </c>
      <c r="I253" s="14" t="e">
        <f>=Round(797.24180000,0)</f>
        <v>#VALUE!</v>
      </c>
      <c r="J253" s="14" t="e">
        <f>=Round(0.00000000,0)</f>
        <v>#VALUE!</v>
      </c>
    </row>
    <row r="254">
      <c r="A254" s="11" t="s">
        <v>37</v>
      </c>
      <c r="B254" s="12">
        <v>3590.972</v>
      </c>
      <c r="C254" s="12">
        <v>0</v>
      </c>
      <c r="D254" s="13">
        <v>0</v>
      </c>
      <c r="E254" s="12">
        <v>0</v>
      </c>
      <c r="F254" s="14">
        <v>0</v>
      </c>
      <c r="G254" s="13">
        <v>9854.6774</v>
      </c>
      <c r="H254" s="14">
        <v>35387870.612433</v>
      </c>
      <c r="I254" s="14" t="e">
        <f>=Round(797.24180000,0)</f>
        <v>#VALUE!</v>
      </c>
      <c r="J254" s="14" t="e">
        <f>=Round(0.00000000,0)</f>
        <v>#VALUE!</v>
      </c>
    </row>
    <row r="255">
      <c r="A255" s="11" t="s">
        <v>38</v>
      </c>
      <c r="B255" s="12">
        <v>3591.6235</v>
      </c>
      <c r="C255" s="12">
        <v>0</v>
      </c>
      <c r="D255" s="13">
        <v>0</v>
      </c>
      <c r="E255" s="12">
        <v>0</v>
      </c>
      <c r="F255" s="14">
        <v>0</v>
      </c>
      <c r="G255" s="13">
        <v>9854.6774</v>
      </c>
      <c r="H255" s="14">
        <v>35394290.934759</v>
      </c>
      <c r="I255" s="14" t="e">
        <f>=Round(797.67740000,0)</f>
        <v>#VALUE!</v>
      </c>
      <c r="J255" s="14" t="e">
        <f>=Round(0.00000000,0)</f>
        <v>#VALUE!</v>
      </c>
    </row>
    <row r="256">
      <c r="A256" s="11" t="s">
        <v>39</v>
      </c>
      <c r="B256" s="12">
        <v>3592.281</v>
      </c>
      <c r="C256" s="12">
        <v>0</v>
      </c>
      <c r="D256" s="13">
        <v>0</v>
      </c>
      <c r="E256" s="12">
        <v>0</v>
      </c>
      <c r="F256" s="14">
        <v>0</v>
      </c>
      <c r="G256" s="13">
        <v>9854.6774</v>
      </c>
      <c r="H256" s="14">
        <v>35400770.385149</v>
      </c>
      <c r="I256" s="14" t="e">
        <f>=Round(797.82210000,0)</f>
        <v>#VALUE!</v>
      </c>
      <c r="J256" s="14" t="e">
        <f>=Round(0.00000000,0)</f>
        <v>#VALUE!</v>
      </c>
    </row>
    <row r="257">
      <c r="A257" s="11" t="s">
        <v>40</v>
      </c>
      <c r="B257" s="12">
        <v>3592.9125</v>
      </c>
      <c r="C257" s="12">
        <v>0</v>
      </c>
      <c r="D257" s="13">
        <v>0</v>
      </c>
      <c r="E257" s="12">
        <v>0</v>
      </c>
      <c r="F257" s="14">
        <v>0</v>
      </c>
      <c r="G257" s="13">
        <v>9854.6774</v>
      </c>
      <c r="H257" s="14">
        <v>35406993.613928</v>
      </c>
      <c r="I257" s="14" t="e">
        <f>=Round(797.96820000,0)</f>
        <v>#VALUE!</v>
      </c>
      <c r="J257" s="14" t="e">
        <f>=Round(0.00000000,0)</f>
        <v>#VALUE!</v>
      </c>
    </row>
    <row r="258">
      <c r="A258" s="11" t="s">
        <v>41</v>
      </c>
      <c r="B258" s="12">
        <v>3593.5674</v>
      </c>
      <c r="C258" s="12">
        <v>0</v>
      </c>
      <c r="D258" s="13">
        <v>0</v>
      </c>
      <c r="E258" s="12">
        <v>0</v>
      </c>
      <c r="F258" s="14">
        <v>0</v>
      </c>
      <c r="G258" s="13">
        <v>9854.6774</v>
      </c>
      <c r="H258" s="14">
        <v>35413447.442157</v>
      </c>
      <c r="I258" s="14" t="e">
        <f>=Round(798.10850000,0)</f>
        <v>#VALUE!</v>
      </c>
      <c r="J258" s="14" t="e">
        <f>=Round(0.00000000,0)</f>
        <v>#VALUE!</v>
      </c>
    </row>
    <row r="259">
      <c r="A259" s="11" t="s">
        <v>42</v>
      </c>
      <c r="B259" s="12">
        <v>3593.5674</v>
      </c>
      <c r="C259" s="12">
        <v>0</v>
      </c>
      <c r="D259" s="13">
        <v>0</v>
      </c>
      <c r="E259" s="12">
        <v>0</v>
      </c>
      <c r="F259" s="14">
        <v>0</v>
      </c>
      <c r="G259" s="13">
        <v>9854.6774</v>
      </c>
      <c r="H259" s="14">
        <v>35413447.442157</v>
      </c>
      <c r="I259" s="14" t="e">
        <f>=Round(798.25390000,0)</f>
        <v>#VALUE!</v>
      </c>
      <c r="J259" s="14" t="e">
        <f>=Round(0.00000000,0)</f>
        <v>#VALUE!</v>
      </c>
    </row>
    <row r="260">
      <c r="A260" s="11" t="s">
        <v>43</v>
      </c>
      <c r="B260" s="12">
        <v>3593.5674</v>
      </c>
      <c r="C260" s="12">
        <v>0</v>
      </c>
      <c r="D260" s="13">
        <v>0</v>
      </c>
      <c r="E260" s="12">
        <v>0</v>
      </c>
      <c r="F260" s="14">
        <v>0</v>
      </c>
      <c r="G260" s="13">
        <v>9854.6774</v>
      </c>
      <c r="H260" s="14">
        <v>35413447.442157</v>
      </c>
      <c r="I260" s="14" t="e">
        <f>=Round(798.25390000,0)</f>
        <v>#VALUE!</v>
      </c>
      <c r="J260" s="14" t="e">
        <f>=Round(0.00000000,0)</f>
        <v>#VALUE!</v>
      </c>
    </row>
    <row r="261">
      <c r="A261" s="11" t="s">
        <v>44</v>
      </c>
      <c r="B261" s="12">
        <v>3595.5366</v>
      </c>
      <c r="C261" s="12">
        <v>0</v>
      </c>
      <c r="D261" s="13">
        <v>0</v>
      </c>
      <c r="E261" s="12">
        <v>0</v>
      </c>
      <c r="F261" s="14">
        <v>0</v>
      </c>
      <c r="G261" s="13">
        <v>9854.6774</v>
      </c>
      <c r="H261" s="14">
        <v>35432853.272893</v>
      </c>
      <c r="I261" s="14" t="e">
        <f>=Round(798.25390000,0)</f>
        <v>#VALUE!</v>
      </c>
      <c r="J261" s="14" t="e">
        <f>=Round(0.00000000,0)</f>
        <v>#VALUE!</v>
      </c>
    </row>
    <row r="262">
      <c r="A262" s="11" t="s">
        <v>45</v>
      </c>
      <c r="B262" s="12">
        <v>3596.1915</v>
      </c>
      <c r="C262" s="12">
        <v>0</v>
      </c>
      <c r="D262" s="13">
        <v>0</v>
      </c>
      <c r="E262" s="12">
        <v>0</v>
      </c>
      <c r="F262" s="14">
        <v>0</v>
      </c>
      <c r="G262" s="13">
        <v>9854.6774</v>
      </c>
      <c r="H262" s="14">
        <v>35439307.101122</v>
      </c>
      <c r="I262" s="14" t="e">
        <f>=Round(798.69140000,0)</f>
        <v>#VALUE!</v>
      </c>
      <c r="J262" s="14" t="e">
        <f>=Round(0.00000000,0)</f>
        <v>#VALUE!</v>
      </c>
    </row>
    <row r="263">
      <c r="A263" s="11" t="s">
        <v>46</v>
      </c>
      <c r="B263" s="12">
        <v>3596.8461</v>
      </c>
      <c r="C263" s="12">
        <v>0</v>
      </c>
      <c r="D263" s="13">
        <v>0</v>
      </c>
      <c r="E263" s="12">
        <v>0</v>
      </c>
      <c r="F263" s="14">
        <v>0</v>
      </c>
      <c r="G263" s="13">
        <v>9854.6774</v>
      </c>
      <c r="H263" s="14">
        <v>35445757.972948</v>
      </c>
      <c r="I263" s="14" t="e">
        <f>=Round(798.83680000,0)</f>
        <v>#VALUE!</v>
      </c>
      <c r="J263" s="14" t="e">
        <f>=Round(0.00000000,0)</f>
        <v>#VALUE!</v>
      </c>
    </row>
    <row r="264">
      <c r="A264" s="11" t="s">
        <v>47</v>
      </c>
      <c r="B264" s="12">
        <v>3597.4992</v>
      </c>
      <c r="C264" s="12">
        <v>0</v>
      </c>
      <c r="D264" s="13">
        <v>0</v>
      </c>
      <c r="E264" s="12">
        <v>0</v>
      </c>
      <c r="F264" s="14">
        <v>0</v>
      </c>
      <c r="G264" s="13">
        <v>9854.6774</v>
      </c>
      <c r="H264" s="14">
        <v>35452194.062758</v>
      </c>
      <c r="I264" s="14" t="e">
        <f>=Round(798.98220000,0)</f>
        <v>#VALUE!</v>
      </c>
      <c r="J264" s="14" t="e">
        <f>=Round(0.00000000,0)</f>
        <v>#VALUE!</v>
      </c>
    </row>
    <row r="265">
      <c r="A265" s="11" t="s">
        <v>48</v>
      </c>
      <c r="B265" s="12">
        <v>3598.1558</v>
      </c>
      <c r="C265" s="12">
        <v>0</v>
      </c>
      <c r="D265" s="13">
        <v>0</v>
      </c>
      <c r="E265" s="12">
        <v>0</v>
      </c>
      <c r="F265" s="14">
        <v>0</v>
      </c>
      <c r="G265" s="13">
        <v>9854.6774</v>
      </c>
      <c r="H265" s="14">
        <v>35458664.643939</v>
      </c>
      <c r="I265" s="14" t="e">
        <f>=Round(799.12730000,0)</f>
        <v>#VALUE!</v>
      </c>
      <c r="J265" s="14" t="e">
        <f>=Round(0.00000000,0)</f>
        <v>#VALUE!</v>
      </c>
    </row>
    <row r="266">
      <c r="A266" s="11" t="s">
        <v>49</v>
      </c>
      <c r="B266" s="12">
        <v>3598.1558</v>
      </c>
      <c r="C266" s="12">
        <v>0</v>
      </c>
      <c r="D266" s="13">
        <v>0</v>
      </c>
      <c r="E266" s="12">
        <v>0</v>
      </c>
      <c r="F266" s="14">
        <v>0</v>
      </c>
      <c r="G266" s="13">
        <v>9854.6774</v>
      </c>
      <c r="H266" s="14">
        <v>35458664.643939</v>
      </c>
      <c r="I266" s="14" t="e">
        <f>=Round(799.27320000,0)</f>
        <v>#VALUE!</v>
      </c>
      <c r="J266" s="14" t="e">
        <f>=Round(0.00000000,0)</f>
        <v>#VALUE!</v>
      </c>
    </row>
    <row r="267">
      <c r="A267" s="11" t="s">
        <v>50</v>
      </c>
      <c r="B267" s="12">
        <v>3598.1558</v>
      </c>
      <c r="C267" s="12">
        <v>0</v>
      </c>
      <c r="D267" s="13">
        <v>0</v>
      </c>
      <c r="E267" s="12">
        <v>0</v>
      </c>
      <c r="F267" s="14">
        <v>0</v>
      </c>
      <c r="G267" s="13">
        <v>9854.6774</v>
      </c>
      <c r="H267" s="14">
        <v>35458664.643939</v>
      </c>
      <c r="I267" s="14" t="e">
        <f>=Round(799.27320000,0)</f>
        <v>#VALUE!</v>
      </c>
      <c r="J267" s="14" t="e">
        <f>=Round(0.00000000,0)</f>
        <v>#VALUE!</v>
      </c>
    </row>
    <row r="268">
      <c r="A268" s="11" t="s">
        <v>51</v>
      </c>
      <c r="B268" s="12">
        <v>3600.124</v>
      </c>
      <c r="C268" s="12">
        <v>0</v>
      </c>
      <c r="D268" s="13">
        <v>0</v>
      </c>
      <c r="E268" s="12">
        <v>0</v>
      </c>
      <c r="F268" s="14">
        <v>0</v>
      </c>
      <c r="G268" s="13">
        <v>9854.6774</v>
      </c>
      <c r="H268" s="14">
        <v>35478060.619998</v>
      </c>
      <c r="I268" s="14" t="e">
        <f>=Round(799.27320000,0)</f>
        <v>#VALUE!</v>
      </c>
      <c r="J268" s="14" t="e">
        <f>=Round(0.00000000,0)</f>
        <v>#VALUE!</v>
      </c>
    </row>
    <row r="269">
      <c r="A269" s="11" t="s">
        <v>52</v>
      </c>
      <c r="B269" s="12">
        <v>3600.7905</v>
      </c>
      <c r="C269" s="12">
        <v>0</v>
      </c>
      <c r="D269" s="13">
        <v>0</v>
      </c>
      <c r="E269" s="12">
        <v>0</v>
      </c>
      <c r="F269" s="14">
        <v>0</v>
      </c>
      <c r="G269" s="13">
        <v>9854.6774</v>
      </c>
      <c r="H269" s="14">
        <v>35484628.762485</v>
      </c>
      <c r="I269" s="14" t="e">
        <f>=Round(799.71040000,0)</f>
        <v>#VALUE!</v>
      </c>
      <c r="J269" s="14" t="e">
        <f>=Round(0.00000000,0)</f>
        <v>#VALUE!</v>
      </c>
    </row>
    <row r="270">
      <c r="A270" s="11" t="s">
        <v>53</v>
      </c>
      <c r="B270" s="12">
        <v>3601.445</v>
      </c>
      <c r="C270" s="12">
        <v>0</v>
      </c>
      <c r="D270" s="13">
        <v>0</v>
      </c>
      <c r="E270" s="12">
        <v>0</v>
      </c>
      <c r="F270" s="14">
        <v>0</v>
      </c>
      <c r="G270" s="13">
        <v>9854.6774</v>
      </c>
      <c r="H270" s="14">
        <v>35491078.648843</v>
      </c>
      <c r="I270" s="14" t="e">
        <f>=Round(799.85840000,0)</f>
        <v>#VALUE!</v>
      </c>
      <c r="J270" s="14" t="e">
        <f>=Round(0.00000000,0)</f>
        <v>#VALUE!</v>
      </c>
    </row>
    <row r="271">
      <c r="A271" s="11" t="s">
        <v>54</v>
      </c>
      <c r="B271" s="12">
        <v>3602.0851</v>
      </c>
      <c r="C271" s="12">
        <v>0</v>
      </c>
      <c r="D271" s="13">
        <v>0</v>
      </c>
      <c r="E271" s="12">
        <v>0</v>
      </c>
      <c r="F271" s="14">
        <v>0</v>
      </c>
      <c r="G271" s="13">
        <v>9854.6774</v>
      </c>
      <c r="H271" s="14">
        <v>35497386.627847</v>
      </c>
      <c r="I271" s="14" t="e">
        <f>=Round(800.00380000,0)</f>
        <v>#VALUE!</v>
      </c>
      <c r="J271" s="14" t="e">
        <f>=Round(0.00000000,0)</f>
        <v>#VALUE!</v>
      </c>
    </row>
    <row r="272">
      <c r="A272" s="11" t="s">
        <v>55</v>
      </c>
      <c r="B272" s="12">
        <v>3602.7417</v>
      </c>
      <c r="C272" s="12">
        <v>0</v>
      </c>
      <c r="D272" s="13">
        <v>0</v>
      </c>
      <c r="E272" s="12">
        <v>0</v>
      </c>
      <c r="F272" s="14">
        <v>0</v>
      </c>
      <c r="G272" s="13">
        <v>9854.6774</v>
      </c>
      <c r="H272" s="14">
        <v>35503857.209028</v>
      </c>
      <c r="I272" s="14" t="e">
        <f>=Round(800.14600000,0)</f>
        <v>#VALUE!</v>
      </c>
      <c r="J272" s="14" t="e">
        <f>=Round(0.00000000,0)</f>
        <v>#VALUE!</v>
      </c>
    </row>
    <row r="273" ht="-1">
      <c r="A273" s="15"/>
      <c r="B273" s="16" t="s">
        <v>56</v>
      </c>
      <c r="C273" s="15"/>
      <c r="D273" s="15"/>
      <c r="E273" s="15"/>
      <c r="F273" s="15"/>
      <c r="G273" s="15"/>
      <c r="H273" s="15"/>
      <c r="I273" s="17" t="e">
        <f>=Round(SUM(I247:I272),0)</f>
        <v>#VALUE!</v>
      </c>
      <c r="J273" s="17" t="e">
        <f>=Round(SUM(J247:J272),0)</f>
        <v>#VALUE!</v>
      </c>
    </row>
    <row r="274">
      <c r="A274" s="1" t="s">
        <v>0</v>
      </c>
      <c r="B274" s="1"/>
      <c r="C274" s="1"/>
      <c r="D274" s="1"/>
    </row>
    <row r="275">
      <c r="A275" s="0" t="s">
        <v>1</v>
      </c>
      <c r="C275" s="0" t="s">
        <v>2</v>
      </c>
      <c r="H275" s="2" t="s">
        <v>3</v>
      </c>
    </row>
    <row r="276">
      <c r="A276" s="0" t="s">
        <v>4</v>
      </c>
      <c r="C276" s="0" t="s">
        <v>63</v>
      </c>
      <c r="H276" s="3" t="s">
        <v>6</v>
      </c>
    </row>
    <row r="277">
      <c r="A277" s="0" t="s">
        <v>7</v>
      </c>
      <c r="C277" s="4" t="s">
        <v>8</v>
      </c>
      <c r="H277" s="2" t="s">
        <v>9</v>
      </c>
    </row>
    <row r="278">
      <c r="A278" s="0" t="s">
        <v>10</v>
      </c>
      <c r="C278" s="4" t="s">
        <v>11</v>
      </c>
      <c r="H278" s="2" t="s">
        <v>12</v>
      </c>
    </row>
    <row r="279">
      <c r="A279" s="0" t="s">
        <v>13</v>
      </c>
      <c r="C279" s="0" t="s">
        <v>14</v>
      </c>
    </row>
    <row r="280">
      <c r="A280" s="0" t="s">
        <v>15</v>
      </c>
      <c r="C280" s="0" t="s">
        <v>16</v>
      </c>
    </row>
    <row r="281">
      <c r="A281" s="0" t="s">
        <v>17</v>
      </c>
      <c r="C281" s="0" t="s">
        <v>18</v>
      </c>
    </row>
    <row r="284">
      <c r="A284" s="5" t="s">
        <v>19</v>
      </c>
      <c r="B284" s="5" t="s">
        <v>20</v>
      </c>
      <c r="C284" s="7" t="s">
        <v>21</v>
      </c>
      <c r="D284" s="9"/>
      <c r="E284" s="7" t="s">
        <v>22</v>
      </c>
      <c r="F284" s="9"/>
      <c r="G284" s="5" t="s">
        <v>23</v>
      </c>
      <c r="H284" s="5" t="s">
        <v>24</v>
      </c>
      <c r="I284" s="5" t="s">
        <v>25</v>
      </c>
      <c r="J284" s="5" t="s">
        <v>26</v>
      </c>
    </row>
    <row r="285">
      <c r="A285" s="6"/>
      <c r="B285" s="6"/>
      <c r="C285" s="8" t="s">
        <v>27</v>
      </c>
      <c r="D285" s="8" t="s">
        <v>28</v>
      </c>
      <c r="E285" s="8" t="s">
        <v>27</v>
      </c>
      <c r="F285" s="8" t="s">
        <v>28</v>
      </c>
      <c r="G285" s="6"/>
      <c r="H285" s="6"/>
      <c r="I285" s="10" t="s">
        <v>29</v>
      </c>
      <c r="J285" s="6"/>
    </row>
    <row r="286">
      <c r="A286" s="11" t="s">
        <v>30</v>
      </c>
      <c r="B286" s="12">
        <v>3586.4187</v>
      </c>
      <c r="C286" s="12">
        <v>0</v>
      </c>
      <c r="D286" s="13">
        <v>0</v>
      </c>
      <c r="E286" s="12">
        <v>0</v>
      </c>
      <c r="F286" s="14">
        <v>0</v>
      </c>
      <c r="G286" s="13">
        <v>13934.0152</v>
      </c>
      <c r="H286" s="14">
        <v>49973212.679364</v>
      </c>
      <c r="I286" s="14" t="e">
        <f>=Round(1125.82590000,0)</f>
        <v>#VALUE!</v>
      </c>
      <c r="J286" s="14" t="e">
        <f>=Round(0.00000000,0)</f>
        <v>#VALUE!</v>
      </c>
    </row>
    <row r="287">
      <c r="A287" s="11" t="s">
        <v>31</v>
      </c>
      <c r="B287" s="12">
        <v>3587.0477</v>
      </c>
      <c r="C287" s="12">
        <v>0</v>
      </c>
      <c r="D287" s="13">
        <v>0</v>
      </c>
      <c r="E287" s="12">
        <v>0</v>
      </c>
      <c r="F287" s="14">
        <v>0</v>
      </c>
      <c r="G287" s="13">
        <v>13934.0152</v>
      </c>
      <c r="H287" s="14">
        <v>49981977.174925</v>
      </c>
      <c r="I287" s="14" t="e">
        <f>=Round(1126.44540000,0)</f>
        <v>#VALUE!</v>
      </c>
      <c r="J287" s="14" t="e">
        <f>=Round(0.00000000,0)</f>
        <v>#VALUE!</v>
      </c>
    </row>
    <row r="288">
      <c r="A288" s="11" t="s">
        <v>32</v>
      </c>
      <c r="B288" s="12">
        <v>3587.6685</v>
      </c>
      <c r="C288" s="12">
        <v>0</v>
      </c>
      <c r="D288" s="13">
        <v>0</v>
      </c>
      <c r="E288" s="12">
        <v>0</v>
      </c>
      <c r="F288" s="14">
        <v>0</v>
      </c>
      <c r="G288" s="13">
        <v>13934.0152</v>
      </c>
      <c r="H288" s="14">
        <v>49990627.411561</v>
      </c>
      <c r="I288" s="14" t="e">
        <f>=Round(1126.64290000,0)</f>
        <v>#VALUE!</v>
      </c>
      <c r="J288" s="14" t="e">
        <f>=Round(0.00000000,0)</f>
        <v>#VALUE!</v>
      </c>
    </row>
    <row r="289">
      <c r="A289" s="11" t="s">
        <v>33</v>
      </c>
      <c r="B289" s="12">
        <v>3588.3573</v>
      </c>
      <c r="C289" s="12">
        <v>0</v>
      </c>
      <c r="D289" s="13">
        <v>0</v>
      </c>
      <c r="E289" s="12">
        <v>0</v>
      </c>
      <c r="F289" s="14">
        <v>0</v>
      </c>
      <c r="G289" s="13">
        <v>13934.0152</v>
      </c>
      <c r="H289" s="14">
        <v>50000225.161231</v>
      </c>
      <c r="I289" s="14" t="e">
        <f>=Round(1126.83790000,0)</f>
        <v>#VALUE!</v>
      </c>
      <c r="J289" s="14" t="e">
        <f>=Round(0.00000000,0)</f>
        <v>#VALUE!</v>
      </c>
    </row>
    <row r="290">
      <c r="A290" s="11" t="s">
        <v>34</v>
      </c>
      <c r="B290" s="12">
        <v>3589.0109</v>
      </c>
      <c r="C290" s="12">
        <v>0</v>
      </c>
      <c r="D290" s="13">
        <v>0</v>
      </c>
      <c r="E290" s="12">
        <v>0</v>
      </c>
      <c r="F290" s="14">
        <v>0</v>
      </c>
      <c r="G290" s="13">
        <v>13934.0152</v>
      </c>
      <c r="H290" s="14">
        <v>50009332.433566</v>
      </c>
      <c r="I290" s="14" t="e">
        <f>=Round(1127.05430000,0)</f>
        <v>#VALUE!</v>
      </c>
      <c r="J290" s="14" t="e">
        <f>=Round(0.00000000,0)</f>
        <v>#VALUE!</v>
      </c>
    </row>
    <row r="291">
      <c r="A291" s="11" t="s">
        <v>35</v>
      </c>
      <c r="B291" s="12">
        <v>3589.0109</v>
      </c>
      <c r="C291" s="12">
        <v>0</v>
      </c>
      <c r="D291" s="13">
        <v>0</v>
      </c>
      <c r="E291" s="12">
        <v>0</v>
      </c>
      <c r="F291" s="14">
        <v>0</v>
      </c>
      <c r="G291" s="13">
        <v>13934.0152</v>
      </c>
      <c r="H291" s="14">
        <v>50009332.433566</v>
      </c>
      <c r="I291" s="14" t="e">
        <f>=Round(1127.25950000,0)</f>
        <v>#VALUE!</v>
      </c>
      <c r="J291" s="14" t="e">
        <f>=Round(0.00000000,0)</f>
        <v>#VALUE!</v>
      </c>
    </row>
    <row r="292">
      <c r="A292" s="11" t="s">
        <v>36</v>
      </c>
      <c r="B292" s="12">
        <v>3589.0109</v>
      </c>
      <c r="C292" s="12">
        <v>0</v>
      </c>
      <c r="D292" s="13">
        <v>0</v>
      </c>
      <c r="E292" s="12">
        <v>0</v>
      </c>
      <c r="F292" s="14">
        <v>0</v>
      </c>
      <c r="G292" s="13">
        <v>13934.0152</v>
      </c>
      <c r="H292" s="14">
        <v>50009332.433566</v>
      </c>
      <c r="I292" s="14" t="e">
        <f>=Round(1127.25950000,0)</f>
        <v>#VALUE!</v>
      </c>
      <c r="J292" s="14" t="e">
        <f>=Round(0.00000000,0)</f>
        <v>#VALUE!</v>
      </c>
    </row>
    <row r="293">
      <c r="A293" s="11" t="s">
        <v>37</v>
      </c>
      <c r="B293" s="12">
        <v>3590.972</v>
      </c>
      <c r="C293" s="12">
        <v>0</v>
      </c>
      <c r="D293" s="13">
        <v>0</v>
      </c>
      <c r="E293" s="12">
        <v>0</v>
      </c>
      <c r="F293" s="14">
        <v>0</v>
      </c>
      <c r="G293" s="13">
        <v>13934.0152</v>
      </c>
      <c r="H293" s="14">
        <v>50036658.430774</v>
      </c>
      <c r="I293" s="14" t="e">
        <f>=Round(1127.25950000,0)</f>
        <v>#VALUE!</v>
      </c>
      <c r="J293" s="14" t="e">
        <f>=Round(0.00000000,0)</f>
        <v>#VALUE!</v>
      </c>
    </row>
    <row r="294">
      <c r="A294" s="11" t="s">
        <v>38</v>
      </c>
      <c r="B294" s="12">
        <v>3591.6235</v>
      </c>
      <c r="C294" s="12">
        <v>0</v>
      </c>
      <c r="D294" s="13">
        <v>0</v>
      </c>
      <c r="E294" s="12">
        <v>0</v>
      </c>
      <c r="F294" s="14">
        <v>0</v>
      </c>
      <c r="G294" s="13">
        <v>13934.0152</v>
      </c>
      <c r="H294" s="14">
        <v>50045736.441677</v>
      </c>
      <c r="I294" s="14" t="e">
        <f>=Round(1127.87550000,0)</f>
        <v>#VALUE!</v>
      </c>
      <c r="J294" s="14" t="e">
        <f>=Round(0.00000000,0)</f>
        <v>#VALUE!</v>
      </c>
    </row>
    <row r="295">
      <c r="A295" s="11" t="s">
        <v>39</v>
      </c>
      <c r="B295" s="12">
        <v>3592.281</v>
      </c>
      <c r="C295" s="12">
        <v>0</v>
      </c>
      <c r="D295" s="13">
        <v>0</v>
      </c>
      <c r="E295" s="12">
        <v>0</v>
      </c>
      <c r="F295" s="14">
        <v>0</v>
      </c>
      <c r="G295" s="13">
        <v>13934.0152</v>
      </c>
      <c r="H295" s="14">
        <v>50054898.056671</v>
      </c>
      <c r="I295" s="14" t="e">
        <f>=Round(1128.08010000,0)</f>
        <v>#VALUE!</v>
      </c>
      <c r="J295" s="14" t="e">
        <f>=Round(0.00000000,0)</f>
        <v>#VALUE!</v>
      </c>
    </row>
    <row r="296">
      <c r="A296" s="11" t="s">
        <v>40</v>
      </c>
      <c r="B296" s="12">
        <v>3592.9125</v>
      </c>
      <c r="C296" s="12">
        <v>0</v>
      </c>
      <c r="D296" s="13">
        <v>0</v>
      </c>
      <c r="E296" s="12">
        <v>0</v>
      </c>
      <c r="F296" s="14">
        <v>0</v>
      </c>
      <c r="G296" s="13">
        <v>13934.0152</v>
      </c>
      <c r="H296" s="14">
        <v>50063697.38727</v>
      </c>
      <c r="I296" s="14" t="e">
        <f>=Round(1128.28660000,0)</f>
        <v>#VALUE!</v>
      </c>
      <c r="J296" s="14" t="e">
        <f>=Round(0.00000000,0)</f>
        <v>#VALUE!</v>
      </c>
    </row>
    <row r="297">
      <c r="A297" s="11" t="s">
        <v>41</v>
      </c>
      <c r="B297" s="12">
        <v>3593.5674</v>
      </c>
      <c r="C297" s="12">
        <v>0</v>
      </c>
      <c r="D297" s="13">
        <v>0</v>
      </c>
      <c r="E297" s="12">
        <v>0</v>
      </c>
      <c r="F297" s="14">
        <v>0</v>
      </c>
      <c r="G297" s="13">
        <v>13934.0152</v>
      </c>
      <c r="H297" s="14">
        <v>50072822.773824</v>
      </c>
      <c r="I297" s="14" t="e">
        <f>=Round(1128.48500000,0)</f>
        <v>#VALUE!</v>
      </c>
      <c r="J297" s="14" t="e">
        <f>=Round(0.00000000,0)</f>
        <v>#VALUE!</v>
      </c>
    </row>
    <row r="298">
      <c r="A298" s="11" t="s">
        <v>42</v>
      </c>
      <c r="B298" s="12">
        <v>3593.5674</v>
      </c>
      <c r="C298" s="12">
        <v>0</v>
      </c>
      <c r="D298" s="13">
        <v>0</v>
      </c>
      <c r="E298" s="12">
        <v>0</v>
      </c>
      <c r="F298" s="14">
        <v>0</v>
      </c>
      <c r="G298" s="13">
        <v>13934.0152</v>
      </c>
      <c r="H298" s="14">
        <v>50072822.773824</v>
      </c>
      <c r="I298" s="14" t="e">
        <f>=Round(1128.69070000,0)</f>
        <v>#VALUE!</v>
      </c>
      <c r="J298" s="14" t="e">
        <f>=Round(0.00000000,0)</f>
        <v>#VALUE!</v>
      </c>
    </row>
    <row r="299">
      <c r="A299" s="11" t="s">
        <v>43</v>
      </c>
      <c r="B299" s="12">
        <v>3593.5674</v>
      </c>
      <c r="C299" s="12">
        <v>0</v>
      </c>
      <c r="D299" s="13">
        <v>0</v>
      </c>
      <c r="E299" s="12">
        <v>0</v>
      </c>
      <c r="F299" s="14">
        <v>0</v>
      </c>
      <c r="G299" s="13">
        <v>13934.0152</v>
      </c>
      <c r="H299" s="14">
        <v>50072822.773824</v>
      </c>
      <c r="I299" s="14" t="e">
        <f>=Round(1128.69070000,0)</f>
        <v>#VALUE!</v>
      </c>
      <c r="J299" s="14" t="e">
        <f>=Round(0.00000000,0)</f>
        <v>#VALUE!</v>
      </c>
    </row>
    <row r="300">
      <c r="A300" s="11" t="s">
        <v>44</v>
      </c>
      <c r="B300" s="12">
        <v>3595.5366</v>
      </c>
      <c r="C300" s="12">
        <v>0</v>
      </c>
      <c r="D300" s="13">
        <v>0</v>
      </c>
      <c r="E300" s="12">
        <v>0</v>
      </c>
      <c r="F300" s="14">
        <v>0</v>
      </c>
      <c r="G300" s="13">
        <v>13934.0152</v>
      </c>
      <c r="H300" s="14">
        <v>50100261.636556</v>
      </c>
      <c r="I300" s="14" t="e">
        <f>=Round(1128.69070000,0)</f>
        <v>#VALUE!</v>
      </c>
      <c r="J300" s="14" t="e">
        <f>=Round(0.00000000,0)</f>
        <v>#VALUE!</v>
      </c>
    </row>
    <row r="301">
      <c r="A301" s="11" t="s">
        <v>45</v>
      </c>
      <c r="B301" s="12">
        <v>3596.1915</v>
      </c>
      <c r="C301" s="12">
        <v>0</v>
      </c>
      <c r="D301" s="13">
        <v>0</v>
      </c>
      <c r="E301" s="12">
        <v>0</v>
      </c>
      <c r="F301" s="14">
        <v>0</v>
      </c>
      <c r="G301" s="13">
        <v>13934.0152</v>
      </c>
      <c r="H301" s="14">
        <v>50109387.023111</v>
      </c>
      <c r="I301" s="14" t="e">
        <f>=Round(1129.30920000,0)</f>
        <v>#VALUE!</v>
      </c>
      <c r="J301" s="14" t="e">
        <f>=Round(0.00000000,0)</f>
        <v>#VALUE!</v>
      </c>
    </row>
    <row r="302">
      <c r="A302" s="11" t="s">
        <v>46</v>
      </c>
      <c r="B302" s="12">
        <v>3596.8461</v>
      </c>
      <c r="C302" s="12">
        <v>0</v>
      </c>
      <c r="D302" s="13">
        <v>0</v>
      </c>
      <c r="E302" s="12">
        <v>0</v>
      </c>
      <c r="F302" s="14">
        <v>0</v>
      </c>
      <c r="G302" s="13">
        <v>13934.0152</v>
      </c>
      <c r="H302" s="14">
        <v>50118508.229461</v>
      </c>
      <c r="I302" s="14" t="e">
        <f>=Round(1129.51490000,0)</f>
        <v>#VALUE!</v>
      </c>
      <c r="J302" s="14" t="e">
        <f>=Round(0.00000000,0)</f>
        <v>#VALUE!</v>
      </c>
    </row>
    <row r="303">
      <c r="A303" s="11" t="s">
        <v>47</v>
      </c>
      <c r="B303" s="12">
        <v>3597.4992</v>
      </c>
      <c r="C303" s="12">
        <v>0</v>
      </c>
      <c r="D303" s="13">
        <v>0</v>
      </c>
      <c r="E303" s="12">
        <v>0</v>
      </c>
      <c r="F303" s="14">
        <v>0</v>
      </c>
      <c r="G303" s="13">
        <v>13934.0152</v>
      </c>
      <c r="H303" s="14">
        <v>50127608.534788</v>
      </c>
      <c r="I303" s="14" t="e">
        <f>=Round(1129.72050000,0)</f>
        <v>#VALUE!</v>
      </c>
      <c r="J303" s="14" t="e">
        <f>=Round(0.00000000,0)</f>
        <v>#VALUE!</v>
      </c>
    </row>
    <row r="304">
      <c r="A304" s="11" t="s">
        <v>48</v>
      </c>
      <c r="B304" s="12">
        <v>3598.1558</v>
      </c>
      <c r="C304" s="12">
        <v>0</v>
      </c>
      <c r="D304" s="13">
        <v>0</v>
      </c>
      <c r="E304" s="12">
        <v>0</v>
      </c>
      <c r="F304" s="14">
        <v>0</v>
      </c>
      <c r="G304" s="13">
        <v>13934.0152</v>
      </c>
      <c r="H304" s="14">
        <v>50136757.609168</v>
      </c>
      <c r="I304" s="14" t="e">
        <f>=Round(1129.92560000,0)</f>
        <v>#VALUE!</v>
      </c>
      <c r="J304" s="14" t="e">
        <f>=Round(0.00000000,0)</f>
        <v>#VALUE!</v>
      </c>
    </row>
    <row r="305">
      <c r="A305" s="11" t="s">
        <v>49</v>
      </c>
      <c r="B305" s="12">
        <v>3598.1558</v>
      </c>
      <c r="C305" s="12">
        <v>0</v>
      </c>
      <c r="D305" s="13">
        <v>0</v>
      </c>
      <c r="E305" s="12">
        <v>0</v>
      </c>
      <c r="F305" s="14">
        <v>0</v>
      </c>
      <c r="G305" s="13">
        <v>13934.0152</v>
      </c>
      <c r="H305" s="14">
        <v>50136757.609168</v>
      </c>
      <c r="I305" s="14" t="e">
        <f>=Round(1130.13180000,0)</f>
        <v>#VALUE!</v>
      </c>
      <c r="J305" s="14" t="e">
        <f>=Round(0.00000000,0)</f>
        <v>#VALUE!</v>
      </c>
    </row>
    <row r="306">
      <c r="A306" s="11" t="s">
        <v>50</v>
      </c>
      <c r="B306" s="12">
        <v>3598.1558</v>
      </c>
      <c r="C306" s="12">
        <v>0</v>
      </c>
      <c r="D306" s="13">
        <v>0</v>
      </c>
      <c r="E306" s="12">
        <v>0</v>
      </c>
      <c r="F306" s="14">
        <v>0</v>
      </c>
      <c r="G306" s="13">
        <v>13934.0152</v>
      </c>
      <c r="H306" s="14">
        <v>50136757.609168</v>
      </c>
      <c r="I306" s="14" t="e">
        <f>=Round(1130.13180000,0)</f>
        <v>#VALUE!</v>
      </c>
      <c r="J306" s="14" t="e">
        <f>=Round(0.00000000,0)</f>
        <v>#VALUE!</v>
      </c>
    </row>
    <row r="307">
      <c r="A307" s="11" t="s">
        <v>51</v>
      </c>
      <c r="B307" s="12">
        <v>3600.124</v>
      </c>
      <c r="C307" s="12">
        <v>0</v>
      </c>
      <c r="D307" s="13">
        <v>0</v>
      </c>
      <c r="E307" s="12">
        <v>0</v>
      </c>
      <c r="F307" s="14">
        <v>0</v>
      </c>
      <c r="G307" s="13">
        <v>13934.0152</v>
      </c>
      <c r="H307" s="14">
        <v>50164182.537885</v>
      </c>
      <c r="I307" s="14" t="e">
        <f>=Round(1130.13180000,0)</f>
        <v>#VALUE!</v>
      </c>
      <c r="J307" s="14" t="e">
        <f>=Round(0.00000000,0)</f>
        <v>#VALUE!</v>
      </c>
    </row>
    <row r="308">
      <c r="A308" s="11" t="s">
        <v>52</v>
      </c>
      <c r="B308" s="12">
        <v>3600.7905</v>
      </c>
      <c r="C308" s="12">
        <v>0</v>
      </c>
      <c r="D308" s="13">
        <v>0</v>
      </c>
      <c r="E308" s="12">
        <v>0</v>
      </c>
      <c r="F308" s="14">
        <v>0</v>
      </c>
      <c r="G308" s="13">
        <v>13934.0152</v>
      </c>
      <c r="H308" s="14">
        <v>50173469.559016</v>
      </c>
      <c r="I308" s="14" t="e">
        <f>=Round(1130.75000000,0)</f>
        <v>#VALUE!</v>
      </c>
      <c r="J308" s="14" t="e">
        <f>=Round(0.00000000,0)</f>
        <v>#VALUE!</v>
      </c>
    </row>
    <row r="309">
      <c r="A309" s="11" t="s">
        <v>53</v>
      </c>
      <c r="B309" s="12">
        <v>3601.445</v>
      </c>
      <c r="C309" s="12">
        <v>0</v>
      </c>
      <c r="D309" s="13">
        <v>0</v>
      </c>
      <c r="E309" s="12">
        <v>0</v>
      </c>
      <c r="F309" s="14">
        <v>0</v>
      </c>
      <c r="G309" s="13">
        <v>13934.0152</v>
      </c>
      <c r="H309" s="14">
        <v>50182589.371964</v>
      </c>
      <c r="I309" s="14" t="e">
        <f>=Round(1130.95940000,0)</f>
        <v>#VALUE!</v>
      </c>
      <c r="J309" s="14" t="e">
        <f>=Round(0.00000000,0)</f>
        <v>#VALUE!</v>
      </c>
    </row>
    <row r="310">
      <c r="A310" s="11" t="s">
        <v>54</v>
      </c>
      <c r="B310" s="12">
        <v>3602.0851</v>
      </c>
      <c r="C310" s="12">
        <v>0</v>
      </c>
      <c r="D310" s="13">
        <v>0</v>
      </c>
      <c r="E310" s="12">
        <v>0</v>
      </c>
      <c r="F310" s="14">
        <v>0</v>
      </c>
      <c r="G310" s="13">
        <v>13934.0152</v>
      </c>
      <c r="H310" s="14">
        <v>50191508.535094</v>
      </c>
      <c r="I310" s="14" t="e">
        <f>=Round(1131.16490000,0)</f>
        <v>#VALUE!</v>
      </c>
      <c r="J310" s="14" t="e">
        <f>=Round(0.00000000,0)</f>
        <v>#VALUE!</v>
      </c>
    </row>
    <row r="311">
      <c r="A311" s="11" t="s">
        <v>55</v>
      </c>
      <c r="B311" s="12">
        <v>3602.7417</v>
      </c>
      <c r="C311" s="12">
        <v>0</v>
      </c>
      <c r="D311" s="13">
        <v>0</v>
      </c>
      <c r="E311" s="12">
        <v>0</v>
      </c>
      <c r="F311" s="14">
        <v>0</v>
      </c>
      <c r="G311" s="13">
        <v>13934.0152</v>
      </c>
      <c r="H311" s="14">
        <v>50200657.609474</v>
      </c>
      <c r="I311" s="14" t="e">
        <f>=Round(1131.36600000,0)</f>
        <v>#VALUE!</v>
      </c>
      <c r="J311" s="14" t="e">
        <f>=Round(0.00000000,0)</f>
        <v>#VALUE!</v>
      </c>
    </row>
    <row r="312" ht="-1">
      <c r="A312" s="15"/>
      <c r="B312" s="16" t="s">
        <v>56</v>
      </c>
      <c r="C312" s="15"/>
      <c r="D312" s="15"/>
      <c r="E312" s="15"/>
      <c r="F312" s="15"/>
      <c r="G312" s="15"/>
      <c r="H312" s="15"/>
      <c r="I312" s="17" t="e">
        <f>=Round(SUM(I286:I311),0)</f>
        <v>#VALUE!</v>
      </c>
      <c r="J312" s="17" t="e">
        <f>=Round(SUM(J286:J311),0)</f>
        <v>#VALUE!</v>
      </c>
    </row>
    <row r="313">
      <c r="A313" s="1" t="s">
        <v>0</v>
      </c>
      <c r="B313" s="1"/>
      <c r="C313" s="1"/>
      <c r="D313" s="1"/>
    </row>
    <row r="314">
      <c r="A314" s="0" t="s">
        <v>1</v>
      </c>
      <c r="C314" s="0" t="s">
        <v>2</v>
      </c>
      <c r="H314" s="2" t="s">
        <v>3</v>
      </c>
    </row>
    <row r="315">
      <c r="A315" s="0" t="s">
        <v>4</v>
      </c>
      <c r="C315" s="0" t="s">
        <v>64</v>
      </c>
      <c r="H315" s="3" t="s">
        <v>6</v>
      </c>
    </row>
    <row r="316">
      <c r="A316" s="0" t="s">
        <v>7</v>
      </c>
      <c r="C316" s="4" t="s">
        <v>8</v>
      </c>
      <c r="H316" s="2" t="s">
        <v>9</v>
      </c>
    </row>
    <row r="317">
      <c r="A317" s="0" t="s">
        <v>10</v>
      </c>
      <c r="C317" s="4" t="s">
        <v>11</v>
      </c>
      <c r="H317" s="2" t="s">
        <v>12</v>
      </c>
    </row>
    <row r="318">
      <c r="A318" s="0" t="s">
        <v>13</v>
      </c>
      <c r="C318" s="0" t="s">
        <v>14</v>
      </c>
    </row>
    <row r="319">
      <c r="A319" s="0" t="s">
        <v>15</v>
      </c>
      <c r="C319" s="0" t="s">
        <v>16</v>
      </c>
    </row>
    <row r="320">
      <c r="A320" s="0" t="s">
        <v>17</v>
      </c>
      <c r="C320" s="0" t="s">
        <v>18</v>
      </c>
    </row>
    <row r="323">
      <c r="A323" s="5" t="s">
        <v>19</v>
      </c>
      <c r="B323" s="5" t="s">
        <v>20</v>
      </c>
      <c r="C323" s="7" t="s">
        <v>21</v>
      </c>
      <c r="D323" s="9"/>
      <c r="E323" s="7" t="s">
        <v>22</v>
      </c>
      <c r="F323" s="9"/>
      <c r="G323" s="5" t="s">
        <v>23</v>
      </c>
      <c r="H323" s="5" t="s">
        <v>24</v>
      </c>
      <c r="I323" s="5" t="s">
        <v>25</v>
      </c>
      <c r="J323" s="5" t="s">
        <v>26</v>
      </c>
    </row>
    <row r="324">
      <c r="A324" s="6"/>
      <c r="B324" s="6"/>
      <c r="C324" s="8" t="s">
        <v>27</v>
      </c>
      <c r="D324" s="8" t="s">
        <v>28</v>
      </c>
      <c r="E324" s="8" t="s">
        <v>27</v>
      </c>
      <c r="F324" s="8" t="s">
        <v>28</v>
      </c>
      <c r="G324" s="6"/>
      <c r="H324" s="6"/>
      <c r="I324" s="10" t="s">
        <v>29</v>
      </c>
      <c r="J324" s="6"/>
    </row>
    <row r="325">
      <c r="A325" s="11" t="s">
        <v>30</v>
      </c>
      <c r="B325" s="12">
        <v>3586.4187</v>
      </c>
      <c r="C325" s="12">
        <v>0</v>
      </c>
      <c r="D325" s="13">
        <v>0</v>
      </c>
      <c r="E325" s="12">
        <v>0</v>
      </c>
      <c r="F325" s="14">
        <v>0</v>
      </c>
      <c r="G325" s="13">
        <v>433.4611</v>
      </c>
      <c r="H325" s="14">
        <v>1554572.994763</v>
      </c>
      <c r="I325" s="14" t="e">
        <f>=Round(35.02230000,0)</f>
        <v>#VALUE!</v>
      </c>
      <c r="J325" s="14" t="e">
        <f>=Round(0.00000000,0)</f>
        <v>#VALUE!</v>
      </c>
    </row>
    <row r="326">
      <c r="A326" s="11" t="s">
        <v>31</v>
      </c>
      <c r="B326" s="12">
        <v>3587.0477</v>
      </c>
      <c r="C326" s="12">
        <v>0</v>
      </c>
      <c r="D326" s="13">
        <v>0</v>
      </c>
      <c r="E326" s="12">
        <v>0</v>
      </c>
      <c r="F326" s="14">
        <v>0</v>
      </c>
      <c r="G326" s="13">
        <v>433.4611</v>
      </c>
      <c r="H326" s="14">
        <v>1554845.641794</v>
      </c>
      <c r="I326" s="14" t="e">
        <f>=Round(35.04160000,0)</f>
        <v>#VALUE!</v>
      </c>
      <c r="J326" s="14" t="e">
        <f>=Round(0.00000000,0)</f>
        <v>#VALUE!</v>
      </c>
    </row>
    <row r="327">
      <c r="A327" s="11" t="s">
        <v>32</v>
      </c>
      <c r="B327" s="12">
        <v>3587.6685</v>
      </c>
      <c r="C327" s="12">
        <v>0</v>
      </c>
      <c r="D327" s="13">
        <v>0</v>
      </c>
      <c r="E327" s="12">
        <v>0</v>
      </c>
      <c r="F327" s="14">
        <v>0</v>
      </c>
      <c r="G327" s="13">
        <v>433.4611</v>
      </c>
      <c r="H327" s="14">
        <v>1555114.734445</v>
      </c>
      <c r="I327" s="14" t="e">
        <f>=Round(35.04780000,0)</f>
        <v>#VALUE!</v>
      </c>
      <c r="J327" s="14" t="e">
        <f>=Round(0.00000000,0)</f>
        <v>#VALUE!</v>
      </c>
    </row>
    <row r="328">
      <c r="A328" s="11" t="s">
        <v>33</v>
      </c>
      <c r="B328" s="12">
        <v>3588.3573</v>
      </c>
      <c r="C328" s="12">
        <v>0</v>
      </c>
      <c r="D328" s="13">
        <v>0</v>
      </c>
      <c r="E328" s="12">
        <v>0</v>
      </c>
      <c r="F328" s="14">
        <v>0</v>
      </c>
      <c r="G328" s="13">
        <v>433.4611</v>
      </c>
      <c r="H328" s="14">
        <v>1555413.302451</v>
      </c>
      <c r="I328" s="14" t="e">
        <f>=Round(35.05380000,0)</f>
        <v>#VALUE!</v>
      </c>
      <c r="J328" s="14" t="e">
        <f>=Round(0.00000000,0)</f>
        <v>#VALUE!</v>
      </c>
    </row>
    <row r="329">
      <c r="A329" s="11" t="s">
        <v>34</v>
      </c>
      <c r="B329" s="12">
        <v>3589.0109</v>
      </c>
      <c r="C329" s="12">
        <v>0</v>
      </c>
      <c r="D329" s="13">
        <v>0</v>
      </c>
      <c r="E329" s="12">
        <v>0</v>
      </c>
      <c r="F329" s="14">
        <v>0</v>
      </c>
      <c r="G329" s="13">
        <v>433.4611</v>
      </c>
      <c r="H329" s="14">
        <v>1555696.612626</v>
      </c>
      <c r="I329" s="14" t="e">
        <f>=Round(35.06050000,0)</f>
        <v>#VALUE!</v>
      </c>
      <c r="J329" s="14" t="e">
        <f>=Round(0.00000000,0)</f>
        <v>#VALUE!</v>
      </c>
    </row>
    <row r="330">
      <c r="A330" s="11" t="s">
        <v>35</v>
      </c>
      <c r="B330" s="12">
        <v>3589.0109</v>
      </c>
      <c r="C330" s="12">
        <v>0</v>
      </c>
      <c r="D330" s="13">
        <v>0</v>
      </c>
      <c r="E330" s="12">
        <v>0</v>
      </c>
      <c r="F330" s="14">
        <v>0</v>
      </c>
      <c r="G330" s="13">
        <v>433.4611</v>
      </c>
      <c r="H330" s="14">
        <v>1555696.612626</v>
      </c>
      <c r="I330" s="14" t="e">
        <f>=Round(35.06690000,0)</f>
        <v>#VALUE!</v>
      </c>
      <c r="J330" s="14" t="e">
        <f>=Round(0.00000000,0)</f>
        <v>#VALUE!</v>
      </c>
    </row>
    <row r="331">
      <c r="A331" s="11" t="s">
        <v>36</v>
      </c>
      <c r="B331" s="12">
        <v>3589.0109</v>
      </c>
      <c r="C331" s="12">
        <v>0</v>
      </c>
      <c r="D331" s="13">
        <v>0</v>
      </c>
      <c r="E331" s="12">
        <v>0</v>
      </c>
      <c r="F331" s="14">
        <v>0</v>
      </c>
      <c r="G331" s="13">
        <v>433.4611</v>
      </c>
      <c r="H331" s="14">
        <v>1555696.612626</v>
      </c>
      <c r="I331" s="14" t="e">
        <f>=Round(35.06690000,0)</f>
        <v>#VALUE!</v>
      </c>
      <c r="J331" s="14" t="e">
        <f>=Round(0.00000000,0)</f>
        <v>#VALUE!</v>
      </c>
    </row>
    <row r="332">
      <c r="A332" s="11" t="s">
        <v>37</v>
      </c>
      <c r="B332" s="12">
        <v>3590.972</v>
      </c>
      <c r="C332" s="12">
        <v>0</v>
      </c>
      <c r="D332" s="13">
        <v>0</v>
      </c>
      <c r="E332" s="12">
        <v>0</v>
      </c>
      <c r="F332" s="14">
        <v>0</v>
      </c>
      <c r="G332" s="13">
        <v>433.4611</v>
      </c>
      <c r="H332" s="14">
        <v>1556546.673189</v>
      </c>
      <c r="I332" s="14" t="e">
        <f>=Round(35.06690000,0)</f>
        <v>#VALUE!</v>
      </c>
      <c r="J332" s="14" t="e">
        <f>=Round(0.00000000,0)</f>
        <v>#VALUE!</v>
      </c>
    </row>
    <row r="333">
      <c r="A333" s="11" t="s">
        <v>38</v>
      </c>
      <c r="B333" s="12">
        <v>3591.6235</v>
      </c>
      <c r="C333" s="12">
        <v>0</v>
      </c>
      <c r="D333" s="13">
        <v>0</v>
      </c>
      <c r="E333" s="12">
        <v>0</v>
      </c>
      <c r="F333" s="14">
        <v>0</v>
      </c>
      <c r="G333" s="13">
        <v>433.4611</v>
      </c>
      <c r="H333" s="14">
        <v>1556829.073096</v>
      </c>
      <c r="I333" s="14" t="e">
        <f>=Round(35.08610000,0)</f>
        <v>#VALUE!</v>
      </c>
      <c r="J333" s="14" t="e">
        <f>=Round(0.00000000,0)</f>
        <v>#VALUE!</v>
      </c>
    </row>
    <row r="334">
      <c r="A334" s="11" t="s">
        <v>39</v>
      </c>
      <c r="B334" s="12">
        <v>3592.281</v>
      </c>
      <c r="C334" s="12">
        <v>0</v>
      </c>
      <c r="D334" s="13">
        <v>0</v>
      </c>
      <c r="E334" s="12">
        <v>0</v>
      </c>
      <c r="F334" s="14">
        <v>0</v>
      </c>
      <c r="G334" s="13">
        <v>433.4611</v>
      </c>
      <c r="H334" s="14">
        <v>1557114.073769</v>
      </c>
      <c r="I334" s="14" t="e">
        <f>=Round(35.09250000,0)</f>
        <v>#VALUE!</v>
      </c>
      <c r="J334" s="14" t="e">
        <f>=Round(0.00000000,0)</f>
        <v>#VALUE!</v>
      </c>
    </row>
    <row r="335">
      <c r="A335" s="11" t="s">
        <v>40</v>
      </c>
      <c r="B335" s="12">
        <v>3592.9125</v>
      </c>
      <c r="C335" s="12">
        <v>0</v>
      </c>
      <c r="D335" s="13">
        <v>0</v>
      </c>
      <c r="E335" s="12">
        <v>0</v>
      </c>
      <c r="F335" s="14">
        <v>0</v>
      </c>
      <c r="G335" s="13">
        <v>433.4611</v>
      </c>
      <c r="H335" s="14">
        <v>1557387.804454</v>
      </c>
      <c r="I335" s="14" t="e">
        <f>=Round(35.09890000,0)</f>
        <v>#VALUE!</v>
      </c>
      <c r="J335" s="14" t="e">
        <f>=Round(0.00000000,0)</f>
        <v>#VALUE!</v>
      </c>
    </row>
    <row r="336">
      <c r="A336" s="11" t="s">
        <v>41</v>
      </c>
      <c r="B336" s="12">
        <v>3593.5674</v>
      </c>
      <c r="C336" s="12">
        <v>0</v>
      </c>
      <c r="D336" s="13">
        <v>0</v>
      </c>
      <c r="E336" s="12">
        <v>0</v>
      </c>
      <c r="F336" s="14">
        <v>0</v>
      </c>
      <c r="G336" s="13">
        <v>433.4611</v>
      </c>
      <c r="H336" s="14">
        <v>1557671.678128</v>
      </c>
      <c r="I336" s="14" t="e">
        <f>=Round(35.10510000,0)</f>
        <v>#VALUE!</v>
      </c>
      <c r="J336" s="14" t="e">
        <f>=Round(0.00000000,0)</f>
        <v>#VALUE!</v>
      </c>
    </row>
    <row r="337">
      <c r="A337" s="11" t="s">
        <v>42</v>
      </c>
      <c r="B337" s="12">
        <v>3593.5674</v>
      </c>
      <c r="C337" s="12">
        <v>0</v>
      </c>
      <c r="D337" s="13">
        <v>0</v>
      </c>
      <c r="E337" s="12">
        <v>0</v>
      </c>
      <c r="F337" s="14">
        <v>0</v>
      </c>
      <c r="G337" s="13">
        <v>433.4611</v>
      </c>
      <c r="H337" s="14">
        <v>1557671.678128</v>
      </c>
      <c r="I337" s="14" t="e">
        <f>=Round(35.11150000,0)</f>
        <v>#VALUE!</v>
      </c>
      <c r="J337" s="14" t="e">
        <f>=Round(0.00000000,0)</f>
        <v>#VALUE!</v>
      </c>
    </row>
    <row r="338">
      <c r="A338" s="11" t="s">
        <v>43</v>
      </c>
      <c r="B338" s="12">
        <v>3593.5674</v>
      </c>
      <c r="C338" s="12">
        <v>0</v>
      </c>
      <c r="D338" s="13">
        <v>0</v>
      </c>
      <c r="E338" s="12">
        <v>0</v>
      </c>
      <c r="F338" s="14">
        <v>0</v>
      </c>
      <c r="G338" s="13">
        <v>433.4611</v>
      </c>
      <c r="H338" s="14">
        <v>1557671.678128</v>
      </c>
      <c r="I338" s="14" t="e">
        <f>=Round(35.11150000,0)</f>
        <v>#VALUE!</v>
      </c>
      <c r="J338" s="14" t="e">
        <f>=Round(0.00000000,0)</f>
        <v>#VALUE!</v>
      </c>
    </row>
    <row r="339">
      <c r="A339" s="11" t="s">
        <v>44</v>
      </c>
      <c r="B339" s="12">
        <v>3595.5366</v>
      </c>
      <c r="C339" s="12">
        <v>0</v>
      </c>
      <c r="D339" s="13">
        <v>0</v>
      </c>
      <c r="E339" s="12">
        <v>0</v>
      </c>
      <c r="F339" s="14">
        <v>0</v>
      </c>
      <c r="G339" s="13">
        <v>433.4611</v>
      </c>
      <c r="H339" s="14">
        <v>1558525.249726</v>
      </c>
      <c r="I339" s="14" t="e">
        <f>=Round(35.11150000,0)</f>
        <v>#VALUE!</v>
      </c>
      <c r="J339" s="14" t="e">
        <f>=Round(0.00000000,0)</f>
        <v>#VALUE!</v>
      </c>
    </row>
    <row r="340">
      <c r="A340" s="11" t="s">
        <v>45</v>
      </c>
      <c r="B340" s="12">
        <v>3596.1915</v>
      </c>
      <c r="C340" s="12">
        <v>0</v>
      </c>
      <c r="D340" s="13">
        <v>0</v>
      </c>
      <c r="E340" s="12">
        <v>0</v>
      </c>
      <c r="F340" s="14">
        <v>0</v>
      </c>
      <c r="G340" s="13">
        <v>433.4611</v>
      </c>
      <c r="H340" s="14">
        <v>1558809.123401</v>
      </c>
      <c r="I340" s="14" t="e">
        <f>=Round(35.13070000,0)</f>
        <v>#VALUE!</v>
      </c>
      <c r="J340" s="14" t="e">
        <f>=Round(0.00000000,0)</f>
        <v>#VALUE!</v>
      </c>
    </row>
    <row r="341">
      <c r="A341" s="11" t="s">
        <v>46</v>
      </c>
      <c r="B341" s="12">
        <v>3596.8461</v>
      </c>
      <c r="C341" s="12">
        <v>0</v>
      </c>
      <c r="D341" s="13">
        <v>0</v>
      </c>
      <c r="E341" s="12">
        <v>0</v>
      </c>
      <c r="F341" s="14">
        <v>0</v>
      </c>
      <c r="G341" s="13">
        <v>433.4611</v>
      </c>
      <c r="H341" s="14">
        <v>1559092.867037</v>
      </c>
      <c r="I341" s="14" t="e">
        <f>=Round(35.13710000,0)</f>
        <v>#VALUE!</v>
      </c>
      <c r="J341" s="14" t="e">
        <f>=Round(0.00000000,0)</f>
        <v>#VALUE!</v>
      </c>
    </row>
    <row r="342">
      <c r="A342" s="11" t="s">
        <v>47</v>
      </c>
      <c r="B342" s="12">
        <v>3597.4992</v>
      </c>
      <c r="C342" s="12">
        <v>0</v>
      </c>
      <c r="D342" s="13">
        <v>0</v>
      </c>
      <c r="E342" s="12">
        <v>0</v>
      </c>
      <c r="F342" s="14">
        <v>0</v>
      </c>
      <c r="G342" s="13">
        <v>433.4611</v>
      </c>
      <c r="H342" s="14">
        <v>1559375.960481</v>
      </c>
      <c r="I342" s="14" t="e">
        <f>=Round(35.14350000,0)</f>
        <v>#VALUE!</v>
      </c>
      <c r="J342" s="14" t="e">
        <f>=Round(0.00000000,0)</f>
        <v>#VALUE!</v>
      </c>
    </row>
    <row r="343">
      <c r="A343" s="11" t="s">
        <v>48</v>
      </c>
      <c r="B343" s="12">
        <v>3598.1558</v>
      </c>
      <c r="C343" s="12">
        <v>0</v>
      </c>
      <c r="D343" s="13">
        <v>0</v>
      </c>
      <c r="E343" s="12">
        <v>0</v>
      </c>
      <c r="F343" s="14">
        <v>0</v>
      </c>
      <c r="G343" s="13">
        <v>433.4611</v>
      </c>
      <c r="H343" s="14">
        <v>1559660.571039</v>
      </c>
      <c r="I343" s="14" t="e">
        <f>=Round(35.14990000,0)</f>
        <v>#VALUE!</v>
      </c>
      <c r="J343" s="14" t="e">
        <f>=Round(0.00000000,0)</f>
        <v>#VALUE!</v>
      </c>
    </row>
    <row r="344">
      <c r="A344" s="11" t="s">
        <v>49</v>
      </c>
      <c r="B344" s="12">
        <v>3598.1558</v>
      </c>
      <c r="C344" s="12">
        <v>0</v>
      </c>
      <c r="D344" s="13">
        <v>0</v>
      </c>
      <c r="E344" s="12">
        <v>0</v>
      </c>
      <c r="F344" s="14">
        <v>0</v>
      </c>
      <c r="G344" s="13">
        <v>433.4611</v>
      </c>
      <c r="H344" s="14">
        <v>1559660.571039</v>
      </c>
      <c r="I344" s="14" t="e">
        <f>=Round(35.15630000,0)</f>
        <v>#VALUE!</v>
      </c>
      <c r="J344" s="14" t="e">
        <f>=Round(0.00000000,0)</f>
        <v>#VALUE!</v>
      </c>
    </row>
    <row r="345">
      <c r="A345" s="11" t="s">
        <v>50</v>
      </c>
      <c r="B345" s="12">
        <v>3598.1558</v>
      </c>
      <c r="C345" s="12">
        <v>0</v>
      </c>
      <c r="D345" s="13">
        <v>0</v>
      </c>
      <c r="E345" s="12">
        <v>0</v>
      </c>
      <c r="F345" s="14">
        <v>0</v>
      </c>
      <c r="G345" s="13">
        <v>433.4611</v>
      </c>
      <c r="H345" s="14">
        <v>1559660.571039</v>
      </c>
      <c r="I345" s="14" t="e">
        <f>=Round(35.15630000,0)</f>
        <v>#VALUE!</v>
      </c>
      <c r="J345" s="14" t="e">
        <f>=Round(0.00000000,0)</f>
        <v>#VALUE!</v>
      </c>
    </row>
    <row r="346">
      <c r="A346" s="11" t="s">
        <v>51</v>
      </c>
      <c r="B346" s="12">
        <v>3600.124</v>
      </c>
      <c r="C346" s="12">
        <v>0</v>
      </c>
      <c r="D346" s="13">
        <v>0</v>
      </c>
      <c r="E346" s="12">
        <v>0</v>
      </c>
      <c r="F346" s="14">
        <v>0</v>
      </c>
      <c r="G346" s="13">
        <v>433.4611</v>
      </c>
      <c r="H346" s="14">
        <v>1560513.709176</v>
      </c>
      <c r="I346" s="14" t="e">
        <f>=Round(35.15630000,0)</f>
        <v>#VALUE!</v>
      </c>
      <c r="J346" s="14" t="e">
        <f>=Round(0.00000000,0)</f>
        <v>#VALUE!</v>
      </c>
    </row>
    <row r="347">
      <c r="A347" s="11" t="s">
        <v>52</v>
      </c>
      <c r="B347" s="12">
        <v>3600.7905</v>
      </c>
      <c r="C347" s="12">
        <v>0</v>
      </c>
      <c r="D347" s="13">
        <v>0</v>
      </c>
      <c r="E347" s="12">
        <v>0</v>
      </c>
      <c r="F347" s="14">
        <v>0</v>
      </c>
      <c r="G347" s="13">
        <v>433.4611</v>
      </c>
      <c r="H347" s="14">
        <v>1560802.611</v>
      </c>
      <c r="I347" s="14" t="e">
        <f>=Round(35.17550000,0)</f>
        <v>#VALUE!</v>
      </c>
      <c r="J347" s="14" t="e">
        <f>=Round(0.00000000,0)</f>
        <v>#VALUE!</v>
      </c>
    </row>
    <row r="348">
      <c r="A348" s="11" t="s">
        <v>53</v>
      </c>
      <c r="B348" s="12">
        <v>3601.445</v>
      </c>
      <c r="C348" s="12">
        <v>0</v>
      </c>
      <c r="D348" s="13">
        <v>0</v>
      </c>
      <c r="E348" s="12">
        <v>0</v>
      </c>
      <c r="F348" s="14">
        <v>0</v>
      </c>
      <c r="G348" s="13">
        <v>433.4611</v>
      </c>
      <c r="H348" s="14">
        <v>1561086.31129</v>
      </c>
      <c r="I348" s="14" t="e">
        <f>=Round(35.18200000,0)</f>
        <v>#VALUE!</v>
      </c>
      <c r="J348" s="14" t="e">
        <f>=Round(0.00000000,0)</f>
        <v>#VALUE!</v>
      </c>
    </row>
    <row r="349">
      <c r="A349" s="11" t="s">
        <v>54</v>
      </c>
      <c r="B349" s="12">
        <v>3602.0851</v>
      </c>
      <c r="C349" s="12">
        <v>0</v>
      </c>
      <c r="D349" s="13">
        <v>0</v>
      </c>
      <c r="E349" s="12">
        <v>0</v>
      </c>
      <c r="F349" s="14">
        <v>0</v>
      </c>
      <c r="G349" s="13">
        <v>433.4611</v>
      </c>
      <c r="H349" s="14">
        <v>1561363.76974</v>
      </c>
      <c r="I349" s="14" t="e">
        <f>=Round(35.18840000,0)</f>
        <v>#VALUE!</v>
      </c>
      <c r="J349" s="14" t="e">
        <f>=Round(0.00000000,0)</f>
        <v>#VALUE!</v>
      </c>
    </row>
    <row r="350">
      <c r="A350" s="11" t="s">
        <v>55</v>
      </c>
      <c r="B350" s="12">
        <v>3602.7417</v>
      </c>
      <c r="C350" s="12">
        <v>0</v>
      </c>
      <c r="D350" s="13">
        <v>0</v>
      </c>
      <c r="E350" s="12">
        <v>0</v>
      </c>
      <c r="F350" s="14">
        <v>0</v>
      </c>
      <c r="G350" s="13">
        <v>433.4611</v>
      </c>
      <c r="H350" s="14">
        <v>1561648.380298</v>
      </c>
      <c r="I350" s="14" t="e">
        <f>=Round(35.19470000,0)</f>
        <v>#VALUE!</v>
      </c>
      <c r="J350" s="14" t="e">
        <f>=Round(0.00000000,0)</f>
        <v>#VALUE!</v>
      </c>
    </row>
    <row r="351" ht="-1">
      <c r="A351" s="15"/>
      <c r="B351" s="16" t="s">
        <v>56</v>
      </c>
      <c r="C351" s="15"/>
      <c r="D351" s="15"/>
      <c r="E351" s="15"/>
      <c r="F351" s="15"/>
      <c r="G351" s="15"/>
      <c r="H351" s="15"/>
      <c r="I351" s="17" t="e">
        <f>=Round(SUM(I325:I350),0)</f>
        <v>#VALUE!</v>
      </c>
      <c r="J351" s="17" t="e">
        <f>=Round(SUM(J325:J350),0)</f>
        <v>#VALUE!</v>
      </c>
    </row>
    <row r="352">
      <c r="A352" s="1" t="s">
        <v>0</v>
      </c>
      <c r="B352" s="1"/>
      <c r="C352" s="1"/>
      <c r="D352" s="1"/>
    </row>
    <row r="353">
      <c r="A353" s="0" t="s">
        <v>1</v>
      </c>
      <c r="C353" s="0" t="s">
        <v>2</v>
      </c>
      <c r="H353" s="2" t="s">
        <v>3</v>
      </c>
    </row>
    <row r="354">
      <c r="A354" s="0" t="s">
        <v>4</v>
      </c>
      <c r="C354" s="0" t="s">
        <v>65</v>
      </c>
      <c r="H354" s="3" t="s">
        <v>6</v>
      </c>
    </row>
    <row r="355">
      <c r="A355" s="0" t="s">
        <v>7</v>
      </c>
      <c r="C355" s="4" t="s">
        <v>8</v>
      </c>
      <c r="H355" s="2" t="s">
        <v>9</v>
      </c>
    </row>
    <row r="356">
      <c r="A356" s="0" t="s">
        <v>10</v>
      </c>
      <c r="C356" s="4" t="s">
        <v>11</v>
      </c>
      <c r="H356" s="2" t="s">
        <v>12</v>
      </c>
    </row>
    <row r="357">
      <c r="A357" s="0" t="s">
        <v>13</v>
      </c>
      <c r="C357" s="0" t="s">
        <v>14</v>
      </c>
    </row>
    <row r="358">
      <c r="A358" s="0" t="s">
        <v>15</v>
      </c>
      <c r="C358" s="0" t="s">
        <v>16</v>
      </c>
    </row>
    <row r="359">
      <c r="A359" s="0" t="s">
        <v>17</v>
      </c>
      <c r="C359" s="0" t="s">
        <v>18</v>
      </c>
    </row>
    <row r="362">
      <c r="A362" s="5" t="s">
        <v>19</v>
      </c>
      <c r="B362" s="5" t="s">
        <v>20</v>
      </c>
      <c r="C362" s="7" t="s">
        <v>21</v>
      </c>
      <c r="D362" s="9"/>
      <c r="E362" s="7" t="s">
        <v>22</v>
      </c>
      <c r="F362" s="9"/>
      <c r="G362" s="5" t="s">
        <v>23</v>
      </c>
      <c r="H362" s="5" t="s">
        <v>24</v>
      </c>
      <c r="I362" s="5" t="s">
        <v>25</v>
      </c>
      <c r="J362" s="5" t="s">
        <v>26</v>
      </c>
    </row>
    <row r="363">
      <c r="A363" s="6"/>
      <c r="B363" s="6"/>
      <c r="C363" s="8" t="s">
        <v>27</v>
      </c>
      <c r="D363" s="8" t="s">
        <v>28</v>
      </c>
      <c r="E363" s="8" t="s">
        <v>27</v>
      </c>
      <c r="F363" s="8" t="s">
        <v>28</v>
      </c>
      <c r="G363" s="6"/>
      <c r="H363" s="6"/>
      <c r="I363" s="10" t="s">
        <v>29</v>
      </c>
      <c r="J363" s="6"/>
    </row>
    <row r="364">
      <c r="A364" s="11" t="s">
        <v>30</v>
      </c>
      <c r="B364" s="12">
        <v>3586.4187</v>
      </c>
      <c r="C364" s="12">
        <v>0</v>
      </c>
      <c r="D364" s="13">
        <v>0</v>
      </c>
      <c r="E364" s="12">
        <v>0</v>
      </c>
      <c r="F364" s="14">
        <v>0</v>
      </c>
      <c r="G364" s="13">
        <v>6964.2628</v>
      </c>
      <c r="H364" s="14">
        <v>24976762.337634</v>
      </c>
      <c r="I364" s="14" t="e">
        <f>=Round(562.69120000,0)</f>
        <v>#VALUE!</v>
      </c>
      <c r="J364" s="14" t="e">
        <f>=Round(0.00000000,0)</f>
        <v>#VALUE!</v>
      </c>
    </row>
    <row r="365">
      <c r="A365" s="11" t="s">
        <v>31</v>
      </c>
      <c r="B365" s="12">
        <v>3587.0477</v>
      </c>
      <c r="C365" s="12">
        <v>0</v>
      </c>
      <c r="D365" s="13">
        <v>0</v>
      </c>
      <c r="E365" s="12">
        <v>0</v>
      </c>
      <c r="F365" s="14">
        <v>0</v>
      </c>
      <c r="G365" s="13">
        <v>6964.2628</v>
      </c>
      <c r="H365" s="14">
        <v>24981142.858936</v>
      </c>
      <c r="I365" s="14" t="e">
        <f>=Round(563.00080000,0)</f>
        <v>#VALUE!</v>
      </c>
      <c r="J365" s="14" t="e">
        <f>=Round(0.00000000,0)</f>
        <v>#VALUE!</v>
      </c>
    </row>
    <row r="366">
      <c r="A366" s="11" t="s">
        <v>32</v>
      </c>
      <c r="B366" s="12">
        <v>3587.6685</v>
      </c>
      <c r="C366" s="12">
        <v>0</v>
      </c>
      <c r="D366" s="13">
        <v>0</v>
      </c>
      <c r="E366" s="12">
        <v>0</v>
      </c>
      <c r="F366" s="14">
        <v>0</v>
      </c>
      <c r="G366" s="13">
        <v>6964.2628</v>
      </c>
      <c r="H366" s="14">
        <v>24985466.273282</v>
      </c>
      <c r="I366" s="14" t="e">
        <f>=Round(563.09950000,0)</f>
        <v>#VALUE!</v>
      </c>
      <c r="J366" s="14" t="e">
        <f>=Round(0.00000000,0)</f>
        <v>#VALUE!</v>
      </c>
    </row>
    <row r="367">
      <c r="A367" s="11" t="s">
        <v>33</v>
      </c>
      <c r="B367" s="12">
        <v>3588.3573</v>
      </c>
      <c r="C367" s="12">
        <v>0</v>
      </c>
      <c r="D367" s="13">
        <v>0</v>
      </c>
      <c r="E367" s="12">
        <v>0</v>
      </c>
      <c r="F367" s="14">
        <v>0</v>
      </c>
      <c r="G367" s="13">
        <v>6964.2628</v>
      </c>
      <c r="H367" s="14">
        <v>24990263.257498</v>
      </c>
      <c r="I367" s="14" t="e">
        <f>=Round(563.19700000,0)</f>
        <v>#VALUE!</v>
      </c>
      <c r="J367" s="14" t="e">
        <f>=Round(0.00000000,0)</f>
        <v>#VALUE!</v>
      </c>
    </row>
    <row r="368">
      <c r="A368" s="11" t="s">
        <v>34</v>
      </c>
      <c r="B368" s="12">
        <v>3589.0109</v>
      </c>
      <c r="C368" s="12">
        <v>0</v>
      </c>
      <c r="D368" s="13">
        <v>0</v>
      </c>
      <c r="E368" s="12">
        <v>0</v>
      </c>
      <c r="F368" s="14">
        <v>0</v>
      </c>
      <c r="G368" s="13">
        <v>6964.2628</v>
      </c>
      <c r="H368" s="14">
        <v>24994815.099665</v>
      </c>
      <c r="I368" s="14" t="e">
        <f>=Round(563.30510000,0)</f>
        <v>#VALUE!</v>
      </c>
      <c r="J368" s="14" t="e">
        <f>=Round(0.00000000,0)</f>
        <v>#VALUE!</v>
      </c>
    </row>
    <row r="369">
      <c r="A369" s="11" t="s">
        <v>35</v>
      </c>
      <c r="B369" s="12">
        <v>3589.0109</v>
      </c>
      <c r="C369" s="12">
        <v>0</v>
      </c>
      <c r="D369" s="13">
        <v>0</v>
      </c>
      <c r="E369" s="12">
        <v>0</v>
      </c>
      <c r="F369" s="14">
        <v>0</v>
      </c>
      <c r="G369" s="13">
        <v>6964.2628</v>
      </c>
      <c r="H369" s="14">
        <v>24994815.099665</v>
      </c>
      <c r="I369" s="14" t="e">
        <f>=Round(563.40770000,0)</f>
        <v>#VALUE!</v>
      </c>
      <c r="J369" s="14" t="e">
        <f>=Round(0.00000000,0)</f>
        <v>#VALUE!</v>
      </c>
    </row>
    <row r="370">
      <c r="A370" s="11" t="s">
        <v>36</v>
      </c>
      <c r="B370" s="12">
        <v>3589.0109</v>
      </c>
      <c r="C370" s="12">
        <v>0</v>
      </c>
      <c r="D370" s="13">
        <v>0</v>
      </c>
      <c r="E370" s="12">
        <v>0</v>
      </c>
      <c r="F370" s="14">
        <v>0</v>
      </c>
      <c r="G370" s="13">
        <v>6964.2628</v>
      </c>
      <c r="H370" s="14">
        <v>24994815.099665</v>
      </c>
      <c r="I370" s="14" t="e">
        <f>=Round(563.40770000,0)</f>
        <v>#VALUE!</v>
      </c>
      <c r="J370" s="14" t="e">
        <f>=Round(0.00000000,0)</f>
        <v>#VALUE!</v>
      </c>
    </row>
    <row r="371">
      <c r="A371" s="11" t="s">
        <v>37</v>
      </c>
      <c r="B371" s="12">
        <v>3590.972</v>
      </c>
      <c r="C371" s="12">
        <v>0</v>
      </c>
      <c r="D371" s="13">
        <v>0</v>
      </c>
      <c r="E371" s="12">
        <v>0</v>
      </c>
      <c r="F371" s="14">
        <v>0</v>
      </c>
      <c r="G371" s="13">
        <v>6964.2628</v>
      </c>
      <c r="H371" s="14">
        <v>25008472.715442</v>
      </c>
      <c r="I371" s="14" t="e">
        <f>=Round(563.40770000,0)</f>
        <v>#VALUE!</v>
      </c>
      <c r="J371" s="14" t="e">
        <f>=Round(0.00000000,0)</f>
        <v>#VALUE!</v>
      </c>
    </row>
    <row r="372">
      <c r="A372" s="11" t="s">
        <v>38</v>
      </c>
      <c r="B372" s="12">
        <v>3591.6235</v>
      </c>
      <c r="C372" s="12">
        <v>0</v>
      </c>
      <c r="D372" s="13">
        <v>0</v>
      </c>
      <c r="E372" s="12">
        <v>0</v>
      </c>
      <c r="F372" s="14">
        <v>0</v>
      </c>
      <c r="G372" s="13">
        <v>6964.2628</v>
      </c>
      <c r="H372" s="14">
        <v>25013009.932656</v>
      </c>
      <c r="I372" s="14" t="e">
        <f>=Round(563.71560000,0)</f>
        <v>#VALUE!</v>
      </c>
      <c r="J372" s="14" t="e">
        <f>=Round(0.00000000,0)</f>
        <v>#VALUE!</v>
      </c>
    </row>
    <row r="373">
      <c r="A373" s="11" t="s">
        <v>39</v>
      </c>
      <c r="B373" s="12">
        <v>3592.281</v>
      </c>
      <c r="C373" s="12">
        <v>0</v>
      </c>
      <c r="D373" s="13">
        <v>0</v>
      </c>
      <c r="E373" s="12">
        <v>0</v>
      </c>
      <c r="F373" s="14">
        <v>0</v>
      </c>
      <c r="G373" s="13">
        <v>6964.2628</v>
      </c>
      <c r="H373" s="14">
        <v>25017588.935447</v>
      </c>
      <c r="I373" s="14" t="e">
        <f>=Round(563.81780000,0)</f>
        <v>#VALUE!</v>
      </c>
      <c r="J373" s="14" t="e">
        <f>=Round(0.00000000,0)</f>
        <v>#VALUE!</v>
      </c>
    </row>
    <row r="374">
      <c r="A374" s="11" t="s">
        <v>40</v>
      </c>
      <c r="B374" s="12">
        <v>3592.9125</v>
      </c>
      <c r="C374" s="12">
        <v>0</v>
      </c>
      <c r="D374" s="13">
        <v>0</v>
      </c>
      <c r="E374" s="12">
        <v>0</v>
      </c>
      <c r="F374" s="14">
        <v>0</v>
      </c>
      <c r="G374" s="13">
        <v>6964.2628</v>
      </c>
      <c r="H374" s="14">
        <v>25021986.867405</v>
      </c>
      <c r="I374" s="14" t="e">
        <f>=Round(563.92110000,0)</f>
        <v>#VALUE!</v>
      </c>
      <c r="J374" s="14" t="e">
        <f>=Round(0.00000000,0)</f>
        <v>#VALUE!</v>
      </c>
    </row>
    <row r="375">
      <c r="A375" s="11" t="s">
        <v>41</v>
      </c>
      <c r="B375" s="12">
        <v>3593.5674</v>
      </c>
      <c r="C375" s="12">
        <v>0</v>
      </c>
      <c r="D375" s="13">
        <v>0</v>
      </c>
      <c r="E375" s="12">
        <v>0</v>
      </c>
      <c r="F375" s="14">
        <v>0</v>
      </c>
      <c r="G375" s="13">
        <v>6964.2628</v>
      </c>
      <c r="H375" s="14">
        <v>25026547.763113</v>
      </c>
      <c r="I375" s="14" t="e">
        <f>=Round(564.02020000,0)</f>
        <v>#VALUE!</v>
      </c>
      <c r="J375" s="14" t="e">
        <f>=Round(0.00000000,0)</f>
        <v>#VALUE!</v>
      </c>
    </row>
    <row r="376">
      <c r="A376" s="11" t="s">
        <v>42</v>
      </c>
      <c r="B376" s="12">
        <v>3593.5674</v>
      </c>
      <c r="C376" s="12">
        <v>0</v>
      </c>
      <c r="D376" s="13">
        <v>0</v>
      </c>
      <c r="E376" s="12">
        <v>0</v>
      </c>
      <c r="F376" s="14">
        <v>0</v>
      </c>
      <c r="G376" s="13">
        <v>6964.2628</v>
      </c>
      <c r="H376" s="14">
        <v>25026547.763113</v>
      </c>
      <c r="I376" s="14" t="e">
        <f>=Round(564.12300000,0)</f>
        <v>#VALUE!</v>
      </c>
      <c r="J376" s="14" t="e">
        <f>=Round(0.00000000,0)</f>
        <v>#VALUE!</v>
      </c>
    </row>
    <row r="377">
      <c r="A377" s="11" t="s">
        <v>43</v>
      </c>
      <c r="B377" s="12">
        <v>3593.5674</v>
      </c>
      <c r="C377" s="12">
        <v>0</v>
      </c>
      <c r="D377" s="13">
        <v>0</v>
      </c>
      <c r="E377" s="12">
        <v>0</v>
      </c>
      <c r="F377" s="14">
        <v>0</v>
      </c>
      <c r="G377" s="13">
        <v>6964.2628</v>
      </c>
      <c r="H377" s="14">
        <v>25026547.763113</v>
      </c>
      <c r="I377" s="14" t="e">
        <f>=Round(564.12300000,0)</f>
        <v>#VALUE!</v>
      </c>
      <c r="J377" s="14" t="e">
        <f>=Round(0.00000000,0)</f>
        <v>#VALUE!</v>
      </c>
    </row>
    <row r="378">
      <c r="A378" s="11" t="s">
        <v>44</v>
      </c>
      <c r="B378" s="12">
        <v>3595.5366</v>
      </c>
      <c r="C378" s="12">
        <v>0</v>
      </c>
      <c r="D378" s="13">
        <v>0</v>
      </c>
      <c r="E378" s="12">
        <v>0</v>
      </c>
      <c r="F378" s="14">
        <v>0</v>
      </c>
      <c r="G378" s="13">
        <v>6964.2628</v>
      </c>
      <c r="H378" s="14">
        <v>25040261.789418</v>
      </c>
      <c r="I378" s="14" t="e">
        <f>=Round(564.12300000,0)</f>
        <v>#VALUE!</v>
      </c>
      <c r="J378" s="14" t="e">
        <f>=Round(0.00000000,0)</f>
        <v>#VALUE!</v>
      </c>
    </row>
    <row r="379">
      <c r="A379" s="11" t="s">
        <v>45</v>
      </c>
      <c r="B379" s="12">
        <v>3596.1915</v>
      </c>
      <c r="C379" s="12">
        <v>0</v>
      </c>
      <c r="D379" s="13">
        <v>0</v>
      </c>
      <c r="E379" s="12">
        <v>0</v>
      </c>
      <c r="F379" s="14">
        <v>0</v>
      </c>
      <c r="G379" s="13">
        <v>6964.2628</v>
      </c>
      <c r="H379" s="14">
        <v>25044822.685126</v>
      </c>
      <c r="I379" s="14" t="e">
        <f>=Round(564.43210000,0)</f>
        <v>#VALUE!</v>
      </c>
      <c r="J379" s="14" t="e">
        <f>=Round(0.00000000,0)</f>
        <v>#VALUE!</v>
      </c>
    </row>
    <row r="380">
      <c r="A380" s="11" t="s">
        <v>46</v>
      </c>
      <c r="B380" s="12">
        <v>3596.8461</v>
      </c>
      <c r="C380" s="12">
        <v>0</v>
      </c>
      <c r="D380" s="13">
        <v>0</v>
      </c>
      <c r="E380" s="12">
        <v>0</v>
      </c>
      <c r="F380" s="14">
        <v>0</v>
      </c>
      <c r="G380" s="13">
        <v>6964.2628</v>
      </c>
      <c r="H380" s="14">
        <v>25049381.491555</v>
      </c>
      <c r="I380" s="14" t="e">
        <f>=Round(564.53490000,0)</f>
        <v>#VALUE!</v>
      </c>
      <c r="J380" s="14" t="e">
        <f>=Round(0.00000000,0)</f>
        <v>#VALUE!</v>
      </c>
    </row>
    <row r="381">
      <c r="A381" s="11" t="s">
        <v>47</v>
      </c>
      <c r="B381" s="12">
        <v>3597.4992</v>
      </c>
      <c r="C381" s="12">
        <v>0</v>
      </c>
      <c r="D381" s="13">
        <v>0</v>
      </c>
      <c r="E381" s="12">
        <v>0</v>
      </c>
      <c r="F381" s="14">
        <v>0</v>
      </c>
      <c r="G381" s="13">
        <v>6964.2628</v>
      </c>
      <c r="H381" s="14">
        <v>25053929.85159</v>
      </c>
      <c r="I381" s="14" t="e">
        <f>=Round(564.63770000,0)</f>
        <v>#VALUE!</v>
      </c>
      <c r="J381" s="14" t="e">
        <f>=Round(0.00000000,0)</f>
        <v>#VALUE!</v>
      </c>
    </row>
    <row r="382">
      <c r="A382" s="11" t="s">
        <v>48</v>
      </c>
      <c r="B382" s="12">
        <v>3598.1558</v>
      </c>
      <c r="C382" s="12">
        <v>0</v>
      </c>
      <c r="D382" s="13">
        <v>0</v>
      </c>
      <c r="E382" s="12">
        <v>0</v>
      </c>
      <c r="F382" s="14">
        <v>0</v>
      </c>
      <c r="G382" s="13">
        <v>6964.2628</v>
      </c>
      <c r="H382" s="14">
        <v>25058502.586544</v>
      </c>
      <c r="I382" s="14" t="e">
        <f>=Round(564.74020000,0)</f>
        <v>#VALUE!</v>
      </c>
      <c r="J382" s="14" t="e">
        <f>=Round(0.00000000,0)</f>
        <v>#VALUE!</v>
      </c>
    </row>
    <row r="383">
      <c r="A383" s="11" t="s">
        <v>49</v>
      </c>
      <c r="B383" s="12">
        <v>3598.1558</v>
      </c>
      <c r="C383" s="12">
        <v>0</v>
      </c>
      <c r="D383" s="13">
        <v>0</v>
      </c>
      <c r="E383" s="12">
        <v>0</v>
      </c>
      <c r="F383" s="14">
        <v>0</v>
      </c>
      <c r="G383" s="13">
        <v>6964.2628</v>
      </c>
      <c r="H383" s="14">
        <v>25058502.586544</v>
      </c>
      <c r="I383" s="14" t="e">
        <f>=Round(564.84330000,0)</f>
        <v>#VALUE!</v>
      </c>
      <c r="J383" s="14" t="e">
        <f>=Round(0.00000000,0)</f>
        <v>#VALUE!</v>
      </c>
    </row>
    <row r="384">
      <c r="A384" s="11" t="s">
        <v>50</v>
      </c>
      <c r="B384" s="12">
        <v>3598.1558</v>
      </c>
      <c r="C384" s="12">
        <v>0</v>
      </c>
      <c r="D384" s="13">
        <v>0</v>
      </c>
      <c r="E384" s="12">
        <v>0</v>
      </c>
      <c r="F384" s="14">
        <v>0</v>
      </c>
      <c r="G384" s="13">
        <v>6964.2628</v>
      </c>
      <c r="H384" s="14">
        <v>25058502.586544</v>
      </c>
      <c r="I384" s="14" t="e">
        <f>=Round(564.84330000,0)</f>
        <v>#VALUE!</v>
      </c>
      <c r="J384" s="14" t="e">
        <f>=Round(0.00000000,0)</f>
        <v>#VALUE!</v>
      </c>
    </row>
    <row r="385">
      <c r="A385" s="11" t="s">
        <v>51</v>
      </c>
      <c r="B385" s="12">
        <v>3600.124</v>
      </c>
      <c r="C385" s="12">
        <v>0</v>
      </c>
      <c r="D385" s="13">
        <v>0</v>
      </c>
      <c r="E385" s="12">
        <v>0</v>
      </c>
      <c r="F385" s="14">
        <v>0</v>
      </c>
      <c r="G385" s="13">
        <v>6964.2628</v>
      </c>
      <c r="H385" s="14">
        <v>25072209.648587</v>
      </c>
      <c r="I385" s="14" t="e">
        <f>=Round(564.84330000,0)</f>
        <v>#VALUE!</v>
      </c>
      <c r="J385" s="14" t="e">
        <f>=Round(0.00000000,0)</f>
        <v>#VALUE!</v>
      </c>
    </row>
    <row r="386">
      <c r="A386" s="11" t="s">
        <v>52</v>
      </c>
      <c r="B386" s="12">
        <v>3600.7905</v>
      </c>
      <c r="C386" s="12">
        <v>0</v>
      </c>
      <c r="D386" s="13">
        <v>0</v>
      </c>
      <c r="E386" s="12">
        <v>0</v>
      </c>
      <c r="F386" s="14">
        <v>0</v>
      </c>
      <c r="G386" s="13">
        <v>6964.2628</v>
      </c>
      <c r="H386" s="14">
        <v>25076851.329743</v>
      </c>
      <c r="I386" s="14" t="e">
        <f>=Round(565.15230000,0)</f>
        <v>#VALUE!</v>
      </c>
      <c r="J386" s="14" t="e">
        <f>=Round(0.00000000,0)</f>
        <v>#VALUE!</v>
      </c>
    </row>
    <row r="387">
      <c r="A387" s="11" t="s">
        <v>53</v>
      </c>
      <c r="B387" s="12">
        <v>3601.445</v>
      </c>
      <c r="C387" s="12">
        <v>0</v>
      </c>
      <c r="D387" s="13">
        <v>0</v>
      </c>
      <c r="E387" s="12">
        <v>0</v>
      </c>
      <c r="F387" s="14">
        <v>0</v>
      </c>
      <c r="G387" s="13">
        <v>6964.2628</v>
      </c>
      <c r="H387" s="14">
        <v>25081409.439746</v>
      </c>
      <c r="I387" s="14" t="e">
        <f>=Round(565.25690000,0)</f>
        <v>#VALUE!</v>
      </c>
      <c r="J387" s="14" t="e">
        <f>=Round(0.00000000,0)</f>
        <v>#VALUE!</v>
      </c>
    </row>
    <row r="388">
      <c r="A388" s="11" t="s">
        <v>54</v>
      </c>
      <c r="B388" s="12">
        <v>3602.0851</v>
      </c>
      <c r="C388" s="12">
        <v>0</v>
      </c>
      <c r="D388" s="13">
        <v>0</v>
      </c>
      <c r="E388" s="12">
        <v>0</v>
      </c>
      <c r="F388" s="14">
        <v>0</v>
      </c>
      <c r="G388" s="13">
        <v>6964.2628</v>
      </c>
      <c r="H388" s="14">
        <v>25085867.264364</v>
      </c>
      <c r="I388" s="14" t="e">
        <f>=Round(565.35960000,0)</f>
        <v>#VALUE!</v>
      </c>
      <c r="J388" s="14" t="e">
        <f>=Round(0.00000000,0)</f>
        <v>#VALUE!</v>
      </c>
    </row>
    <row r="389">
      <c r="A389" s="11" t="s">
        <v>55</v>
      </c>
      <c r="B389" s="12">
        <v>3602.7417</v>
      </c>
      <c r="C389" s="12">
        <v>0</v>
      </c>
      <c r="D389" s="13">
        <v>0</v>
      </c>
      <c r="E389" s="12">
        <v>0</v>
      </c>
      <c r="F389" s="14">
        <v>0</v>
      </c>
      <c r="G389" s="13">
        <v>6964.2628</v>
      </c>
      <c r="H389" s="14">
        <v>25090439.999319</v>
      </c>
      <c r="I389" s="14" t="e">
        <f>=Round(565.46010000,0)</f>
        <v>#VALUE!</v>
      </c>
      <c r="J389" s="14" t="e">
        <f>=Round(0.00000000,0)</f>
        <v>#VALUE!</v>
      </c>
    </row>
    <row r="390" ht="-1">
      <c r="A390" s="15"/>
      <c r="B390" s="16" t="s">
        <v>56</v>
      </c>
      <c r="C390" s="15"/>
      <c r="D390" s="15"/>
      <c r="E390" s="15"/>
      <c r="F390" s="15"/>
      <c r="G390" s="15"/>
      <c r="H390" s="15"/>
      <c r="I390" s="17" t="e">
        <f>=Round(SUM(I364:I389),0)</f>
        <v>#VALUE!</v>
      </c>
      <c r="J390" s="17" t="e">
        <f>=Round(SUM(J364:J389),0)</f>
        <v>#VALUE!</v>
      </c>
    </row>
    <row r="391">
      <c r="A391" s="1" t="s">
        <v>0</v>
      </c>
      <c r="B391" s="1"/>
      <c r="C391" s="1"/>
      <c r="D391" s="1"/>
    </row>
    <row r="392">
      <c r="A392" s="0" t="s">
        <v>1</v>
      </c>
      <c r="C392" s="0" t="s">
        <v>2</v>
      </c>
      <c r="H392" s="2" t="s">
        <v>3</v>
      </c>
    </row>
    <row r="393">
      <c r="A393" s="0" t="s">
        <v>4</v>
      </c>
      <c r="C393" s="0" t="s">
        <v>66</v>
      </c>
      <c r="H393" s="3" t="s">
        <v>6</v>
      </c>
    </row>
    <row r="394">
      <c r="A394" s="0" t="s">
        <v>7</v>
      </c>
      <c r="C394" s="4" t="s">
        <v>8</v>
      </c>
      <c r="H394" s="2" t="s">
        <v>9</v>
      </c>
    </row>
    <row r="395">
      <c r="A395" s="0" t="s">
        <v>10</v>
      </c>
      <c r="C395" s="4" t="s">
        <v>11</v>
      </c>
      <c r="H395" s="2" t="s">
        <v>12</v>
      </c>
    </row>
    <row r="396">
      <c r="A396" s="0" t="s">
        <v>13</v>
      </c>
      <c r="C396" s="0" t="s">
        <v>14</v>
      </c>
    </row>
    <row r="397">
      <c r="A397" s="0" t="s">
        <v>15</v>
      </c>
      <c r="C397" s="0" t="s">
        <v>16</v>
      </c>
    </row>
    <row r="398">
      <c r="A398" s="0" t="s">
        <v>17</v>
      </c>
      <c r="C398" s="0" t="s">
        <v>18</v>
      </c>
    </row>
    <row r="401">
      <c r="A401" s="5" t="s">
        <v>19</v>
      </c>
      <c r="B401" s="5" t="s">
        <v>20</v>
      </c>
      <c r="C401" s="7" t="s">
        <v>21</v>
      </c>
      <c r="D401" s="9"/>
      <c r="E401" s="7" t="s">
        <v>22</v>
      </c>
      <c r="F401" s="9"/>
      <c r="G401" s="5" t="s">
        <v>23</v>
      </c>
      <c r="H401" s="5" t="s">
        <v>24</v>
      </c>
      <c r="I401" s="5" t="s">
        <v>25</v>
      </c>
      <c r="J401" s="5" t="s">
        <v>26</v>
      </c>
    </row>
    <row r="402">
      <c r="A402" s="6"/>
      <c r="B402" s="6"/>
      <c r="C402" s="8" t="s">
        <v>27</v>
      </c>
      <c r="D402" s="8" t="s">
        <v>28</v>
      </c>
      <c r="E402" s="8" t="s">
        <v>27</v>
      </c>
      <c r="F402" s="8" t="s">
        <v>28</v>
      </c>
      <c r="G402" s="6"/>
      <c r="H402" s="6"/>
      <c r="I402" s="10" t="s">
        <v>29</v>
      </c>
      <c r="J402" s="6"/>
    </row>
    <row r="403">
      <c r="A403" s="11" t="s">
        <v>30</v>
      </c>
      <c r="B403" s="12">
        <v>3586.4187</v>
      </c>
      <c r="C403" s="12">
        <v>0</v>
      </c>
      <c r="D403" s="13">
        <v>0</v>
      </c>
      <c r="E403" s="12">
        <v>0</v>
      </c>
      <c r="F403" s="14">
        <v>0</v>
      </c>
      <c r="G403" s="13">
        <v>18458.9116</v>
      </c>
      <c r="H403" s="14">
        <v>66201385.743887</v>
      </c>
      <c r="I403" s="14" t="e">
        <f>=Round(1491.42380000,0)</f>
        <v>#VALUE!</v>
      </c>
      <c r="J403" s="14" t="e">
        <f>=Round(0.00000000,0)</f>
        <v>#VALUE!</v>
      </c>
    </row>
    <row r="404">
      <c r="A404" s="11" t="s">
        <v>31</v>
      </c>
      <c r="B404" s="12">
        <v>3587.0477</v>
      </c>
      <c r="C404" s="12">
        <v>0</v>
      </c>
      <c r="D404" s="13">
        <v>0</v>
      </c>
      <c r="E404" s="12">
        <v>0</v>
      </c>
      <c r="F404" s="14">
        <v>0</v>
      </c>
      <c r="G404" s="13">
        <v>18458.9116</v>
      </c>
      <c r="H404" s="14">
        <v>66212996.399283</v>
      </c>
      <c r="I404" s="14" t="e">
        <f>=Round(1492.24440000,0)</f>
        <v>#VALUE!</v>
      </c>
      <c r="J404" s="14" t="e">
        <f>=Round(0.00000000,0)</f>
        <v>#VALUE!</v>
      </c>
    </row>
    <row r="405">
      <c r="A405" s="11" t="s">
        <v>32</v>
      </c>
      <c r="B405" s="12">
        <v>3587.6685</v>
      </c>
      <c r="C405" s="12">
        <v>0</v>
      </c>
      <c r="D405" s="13">
        <v>0</v>
      </c>
      <c r="E405" s="12">
        <v>0</v>
      </c>
      <c r="F405" s="14">
        <v>0</v>
      </c>
      <c r="G405" s="13">
        <v>18458.9116</v>
      </c>
      <c r="H405" s="14">
        <v>66224455.691605</v>
      </c>
      <c r="I405" s="14" t="e">
        <f>=Round(1492.50610000,0)</f>
        <v>#VALUE!</v>
      </c>
      <c r="J405" s="14" t="e">
        <f>=Round(0.00000000,0)</f>
        <v>#VALUE!</v>
      </c>
    </row>
    <row r="406">
      <c r="A406" s="11" t="s">
        <v>33</v>
      </c>
      <c r="B406" s="12">
        <v>3588.3573</v>
      </c>
      <c r="C406" s="12">
        <v>0</v>
      </c>
      <c r="D406" s="13">
        <v>0</v>
      </c>
      <c r="E406" s="12">
        <v>0</v>
      </c>
      <c r="F406" s="14">
        <v>0</v>
      </c>
      <c r="G406" s="13">
        <v>18458.9116</v>
      </c>
      <c r="H406" s="14">
        <v>66237170.189915</v>
      </c>
      <c r="I406" s="14" t="e">
        <f>=Round(1492.76440000,0)</f>
        <v>#VALUE!</v>
      </c>
      <c r="J406" s="14" t="e">
        <f>=Round(0.00000000,0)</f>
        <v>#VALUE!</v>
      </c>
    </row>
    <row r="407">
      <c r="A407" s="11" t="s">
        <v>34</v>
      </c>
      <c r="B407" s="12">
        <v>3589.0109</v>
      </c>
      <c r="C407" s="12">
        <v>0</v>
      </c>
      <c r="D407" s="13">
        <v>0</v>
      </c>
      <c r="E407" s="12">
        <v>0</v>
      </c>
      <c r="F407" s="14">
        <v>0</v>
      </c>
      <c r="G407" s="13">
        <v>18458.9116</v>
      </c>
      <c r="H407" s="14">
        <v>66249234.934536</v>
      </c>
      <c r="I407" s="14" t="e">
        <f>=Round(1493.05100000,0)</f>
        <v>#VALUE!</v>
      </c>
      <c r="J407" s="14" t="e">
        <f>=Round(0.00000000,0)</f>
        <v>#VALUE!</v>
      </c>
    </row>
    <row r="408">
      <c r="A408" s="11" t="s">
        <v>35</v>
      </c>
      <c r="B408" s="12">
        <v>3589.0109</v>
      </c>
      <c r="C408" s="12">
        <v>0</v>
      </c>
      <c r="D408" s="13">
        <v>0</v>
      </c>
      <c r="E408" s="12">
        <v>0</v>
      </c>
      <c r="F408" s="14">
        <v>0</v>
      </c>
      <c r="G408" s="13">
        <v>18458.9116</v>
      </c>
      <c r="H408" s="14">
        <v>66249234.934536</v>
      </c>
      <c r="I408" s="14" t="e">
        <f>=Round(1493.32290000,0)</f>
        <v>#VALUE!</v>
      </c>
      <c r="J408" s="14" t="e">
        <f>=Round(0.00000000,0)</f>
        <v>#VALUE!</v>
      </c>
    </row>
    <row r="409">
      <c r="A409" s="11" t="s">
        <v>36</v>
      </c>
      <c r="B409" s="12">
        <v>3589.0109</v>
      </c>
      <c r="C409" s="12">
        <v>0</v>
      </c>
      <c r="D409" s="13">
        <v>0</v>
      </c>
      <c r="E409" s="12">
        <v>0</v>
      </c>
      <c r="F409" s="14">
        <v>0</v>
      </c>
      <c r="G409" s="13">
        <v>18458.9116</v>
      </c>
      <c r="H409" s="14">
        <v>66249234.934536</v>
      </c>
      <c r="I409" s="14" t="e">
        <f>=Round(1493.32290000,0)</f>
        <v>#VALUE!</v>
      </c>
      <c r="J409" s="14" t="e">
        <f>=Round(0.00000000,0)</f>
        <v>#VALUE!</v>
      </c>
    </row>
    <row r="410">
      <c r="A410" s="11" t="s">
        <v>37</v>
      </c>
      <c r="B410" s="12">
        <v>3590.972</v>
      </c>
      <c r="C410" s="12">
        <v>0</v>
      </c>
      <c r="D410" s="13">
        <v>0</v>
      </c>
      <c r="E410" s="12">
        <v>0</v>
      </c>
      <c r="F410" s="14">
        <v>0</v>
      </c>
      <c r="G410" s="13">
        <v>18458.9116</v>
      </c>
      <c r="H410" s="14">
        <v>66285434.706075</v>
      </c>
      <c r="I410" s="14" t="e">
        <f>=Round(1493.32290000,0)</f>
        <v>#VALUE!</v>
      </c>
      <c r="J410" s="14" t="e">
        <f>=Round(0.00000000,0)</f>
        <v>#VALUE!</v>
      </c>
    </row>
    <row r="411">
      <c r="A411" s="11" t="s">
        <v>38</v>
      </c>
      <c r="B411" s="12">
        <v>3591.6235</v>
      </c>
      <c r="C411" s="12">
        <v>0</v>
      </c>
      <c r="D411" s="13">
        <v>0</v>
      </c>
      <c r="E411" s="12">
        <v>0</v>
      </c>
      <c r="F411" s="14">
        <v>0</v>
      </c>
      <c r="G411" s="13">
        <v>18458.9116</v>
      </c>
      <c r="H411" s="14">
        <v>66297460.686983</v>
      </c>
      <c r="I411" s="14" t="e">
        <f>=Round(1494.13890000,0)</f>
        <v>#VALUE!</v>
      </c>
      <c r="J411" s="14" t="e">
        <f>=Round(0.00000000,0)</f>
        <v>#VALUE!</v>
      </c>
    </row>
    <row r="412">
      <c r="A412" s="11" t="s">
        <v>39</v>
      </c>
      <c r="B412" s="12">
        <v>3592.281</v>
      </c>
      <c r="C412" s="12">
        <v>0</v>
      </c>
      <c r="D412" s="13">
        <v>0</v>
      </c>
      <c r="E412" s="12">
        <v>0</v>
      </c>
      <c r="F412" s="14">
        <v>0</v>
      </c>
      <c r="G412" s="13">
        <v>18458.9116</v>
      </c>
      <c r="H412" s="14">
        <v>66309597.42136</v>
      </c>
      <c r="I412" s="14" t="e">
        <f>=Round(1494.41000000,0)</f>
        <v>#VALUE!</v>
      </c>
      <c r="J412" s="14" t="e">
        <f>=Round(0.00000000,0)</f>
        <v>#VALUE!</v>
      </c>
    </row>
    <row r="413">
      <c r="A413" s="11" t="s">
        <v>40</v>
      </c>
      <c r="B413" s="12">
        <v>3592.9125</v>
      </c>
      <c r="C413" s="12">
        <v>0</v>
      </c>
      <c r="D413" s="13">
        <v>0</v>
      </c>
      <c r="E413" s="12">
        <v>0</v>
      </c>
      <c r="F413" s="14">
        <v>0</v>
      </c>
      <c r="G413" s="13">
        <v>18458.9116</v>
      </c>
      <c r="H413" s="14">
        <v>66321254.224035</v>
      </c>
      <c r="I413" s="14" t="e">
        <f>=Round(1494.68350000,0)</f>
        <v>#VALUE!</v>
      </c>
      <c r="J413" s="14" t="e">
        <f>=Round(0.00000000,0)</f>
        <v>#VALUE!</v>
      </c>
    </row>
    <row r="414">
      <c r="A414" s="11" t="s">
        <v>41</v>
      </c>
      <c r="B414" s="12">
        <v>3593.5674</v>
      </c>
      <c r="C414" s="12">
        <v>0</v>
      </c>
      <c r="D414" s="13">
        <v>0</v>
      </c>
      <c r="E414" s="12">
        <v>0</v>
      </c>
      <c r="F414" s="14">
        <v>0</v>
      </c>
      <c r="G414" s="13">
        <v>18458.9116</v>
      </c>
      <c r="H414" s="14">
        <v>66333342.965242</v>
      </c>
      <c r="I414" s="14" t="e">
        <f>=Round(1494.94630000,0)</f>
        <v>#VALUE!</v>
      </c>
      <c r="J414" s="14" t="e">
        <f>=Round(0.00000000,0)</f>
        <v>#VALUE!</v>
      </c>
    </row>
    <row r="415">
      <c r="A415" s="11" t="s">
        <v>42</v>
      </c>
      <c r="B415" s="12">
        <v>3593.5674</v>
      </c>
      <c r="C415" s="12">
        <v>0</v>
      </c>
      <c r="D415" s="13">
        <v>0</v>
      </c>
      <c r="E415" s="12">
        <v>0</v>
      </c>
      <c r="F415" s="14">
        <v>0</v>
      </c>
      <c r="G415" s="13">
        <v>18458.9116</v>
      </c>
      <c r="H415" s="14">
        <v>66333342.965242</v>
      </c>
      <c r="I415" s="14" t="e">
        <f>=Round(1495.21880000,0)</f>
        <v>#VALUE!</v>
      </c>
      <c r="J415" s="14" t="e">
        <f>=Round(0.00000000,0)</f>
        <v>#VALUE!</v>
      </c>
    </row>
    <row r="416">
      <c r="A416" s="11" t="s">
        <v>43</v>
      </c>
      <c r="B416" s="12">
        <v>3593.5674</v>
      </c>
      <c r="C416" s="12">
        <v>0</v>
      </c>
      <c r="D416" s="13">
        <v>0</v>
      </c>
      <c r="E416" s="12">
        <v>0</v>
      </c>
      <c r="F416" s="14">
        <v>0</v>
      </c>
      <c r="G416" s="13">
        <v>18458.9116</v>
      </c>
      <c r="H416" s="14">
        <v>66333342.965242</v>
      </c>
      <c r="I416" s="14" t="e">
        <f>=Round(1495.21880000,0)</f>
        <v>#VALUE!</v>
      </c>
      <c r="J416" s="14" t="e">
        <f>=Round(0.00000000,0)</f>
        <v>#VALUE!</v>
      </c>
    </row>
    <row r="417">
      <c r="A417" s="11" t="s">
        <v>44</v>
      </c>
      <c r="B417" s="12">
        <v>3595.5366</v>
      </c>
      <c r="C417" s="12">
        <v>0</v>
      </c>
      <c r="D417" s="13">
        <v>0</v>
      </c>
      <c r="E417" s="12">
        <v>0</v>
      </c>
      <c r="F417" s="14">
        <v>0</v>
      </c>
      <c r="G417" s="13">
        <v>18458.9116</v>
      </c>
      <c r="H417" s="14">
        <v>66369692.253965</v>
      </c>
      <c r="I417" s="14" t="e">
        <f>=Round(1495.21880000,0)</f>
        <v>#VALUE!</v>
      </c>
      <c r="J417" s="14" t="e">
        <f>=Round(0.00000000,0)</f>
        <v>#VALUE!</v>
      </c>
    </row>
    <row r="418">
      <c r="A418" s="11" t="s">
        <v>45</v>
      </c>
      <c r="B418" s="12">
        <v>3596.1915</v>
      </c>
      <c r="C418" s="12">
        <v>0</v>
      </c>
      <c r="D418" s="13">
        <v>0</v>
      </c>
      <c r="E418" s="12">
        <v>0</v>
      </c>
      <c r="F418" s="14">
        <v>0</v>
      </c>
      <c r="G418" s="13">
        <v>18458.9116</v>
      </c>
      <c r="H418" s="14">
        <v>66381780.995171</v>
      </c>
      <c r="I418" s="14" t="e">
        <f>=Round(1496.03810000,0)</f>
        <v>#VALUE!</v>
      </c>
      <c r="J418" s="14" t="e">
        <f>=Round(0.00000000,0)</f>
        <v>#VALUE!</v>
      </c>
    </row>
    <row r="419">
      <c r="A419" s="11" t="s">
        <v>46</v>
      </c>
      <c r="B419" s="12">
        <v>3596.8461</v>
      </c>
      <c r="C419" s="12">
        <v>0</v>
      </c>
      <c r="D419" s="13">
        <v>0</v>
      </c>
      <c r="E419" s="12">
        <v>0</v>
      </c>
      <c r="F419" s="14">
        <v>0</v>
      </c>
      <c r="G419" s="13">
        <v>18458.9116</v>
      </c>
      <c r="H419" s="14">
        <v>66393864.198705</v>
      </c>
      <c r="I419" s="14" t="e">
        <f>=Round(1496.31060000,0)</f>
        <v>#VALUE!</v>
      </c>
      <c r="J419" s="14" t="e">
        <f>=Round(0.00000000,0)</f>
        <v>#VALUE!</v>
      </c>
    </row>
    <row r="420">
      <c r="A420" s="11" t="s">
        <v>47</v>
      </c>
      <c r="B420" s="12">
        <v>3597.4992</v>
      </c>
      <c r="C420" s="12">
        <v>0</v>
      </c>
      <c r="D420" s="13">
        <v>0</v>
      </c>
      <c r="E420" s="12">
        <v>0</v>
      </c>
      <c r="F420" s="14">
        <v>0</v>
      </c>
      <c r="G420" s="13">
        <v>18458.9116</v>
      </c>
      <c r="H420" s="14">
        <v>66405919.713871</v>
      </c>
      <c r="I420" s="14" t="e">
        <f>=Round(1496.58300000,0)</f>
        <v>#VALUE!</v>
      </c>
      <c r="J420" s="14" t="e">
        <f>=Round(0.00000000,0)</f>
        <v>#VALUE!</v>
      </c>
    </row>
    <row r="421">
      <c r="A421" s="11" t="s">
        <v>48</v>
      </c>
      <c r="B421" s="12">
        <v>3598.1558</v>
      </c>
      <c r="C421" s="12">
        <v>0</v>
      </c>
      <c r="D421" s="13">
        <v>0</v>
      </c>
      <c r="E421" s="12">
        <v>0</v>
      </c>
      <c r="F421" s="14">
        <v>0</v>
      </c>
      <c r="G421" s="13">
        <v>18458.9116</v>
      </c>
      <c r="H421" s="14">
        <v>66418039.835227</v>
      </c>
      <c r="I421" s="14" t="e">
        <f>=Round(1496.85470000,0)</f>
        <v>#VALUE!</v>
      </c>
      <c r="J421" s="14" t="e">
        <f>=Round(0.00000000,0)</f>
        <v>#VALUE!</v>
      </c>
    </row>
    <row r="422">
      <c r="A422" s="11" t="s">
        <v>49</v>
      </c>
      <c r="B422" s="12">
        <v>3598.1558</v>
      </c>
      <c r="C422" s="12">
        <v>0</v>
      </c>
      <c r="D422" s="13">
        <v>0</v>
      </c>
      <c r="E422" s="12">
        <v>0</v>
      </c>
      <c r="F422" s="14">
        <v>0</v>
      </c>
      <c r="G422" s="13">
        <v>18458.9116</v>
      </c>
      <c r="H422" s="14">
        <v>66418039.835227</v>
      </c>
      <c r="I422" s="14" t="e">
        <f>=Round(1497.12790000,0)</f>
        <v>#VALUE!</v>
      </c>
      <c r="J422" s="14" t="e">
        <f>=Round(0.00000000,0)</f>
        <v>#VALUE!</v>
      </c>
    </row>
    <row r="423">
      <c r="A423" s="11" t="s">
        <v>50</v>
      </c>
      <c r="B423" s="12">
        <v>3598.1558</v>
      </c>
      <c r="C423" s="12">
        <v>0</v>
      </c>
      <c r="D423" s="13">
        <v>0</v>
      </c>
      <c r="E423" s="12">
        <v>0</v>
      </c>
      <c r="F423" s="14">
        <v>0</v>
      </c>
      <c r="G423" s="13">
        <v>18458.9116</v>
      </c>
      <c r="H423" s="14">
        <v>66418039.835227</v>
      </c>
      <c r="I423" s="14" t="e">
        <f>=Round(1497.12790000,0)</f>
        <v>#VALUE!</v>
      </c>
      <c r="J423" s="14" t="e">
        <f>=Round(0.00000000,0)</f>
        <v>#VALUE!</v>
      </c>
    </row>
    <row r="424">
      <c r="A424" s="11" t="s">
        <v>51</v>
      </c>
      <c r="B424" s="12">
        <v>3600.124</v>
      </c>
      <c r="C424" s="12">
        <v>0</v>
      </c>
      <c r="D424" s="13">
        <v>0</v>
      </c>
      <c r="E424" s="12">
        <v>0</v>
      </c>
      <c r="F424" s="14">
        <v>0</v>
      </c>
      <c r="G424" s="13">
        <v>18458.9116</v>
      </c>
      <c r="H424" s="14">
        <v>66454370.665038</v>
      </c>
      <c r="I424" s="14" t="e">
        <f>=Round(1497.12790000,0)</f>
        <v>#VALUE!</v>
      </c>
      <c r="J424" s="14" t="e">
        <f>=Round(0.00000000,0)</f>
        <v>#VALUE!</v>
      </c>
    </row>
    <row r="425">
      <c r="A425" s="11" t="s">
        <v>52</v>
      </c>
      <c r="B425" s="12">
        <v>3600.7905</v>
      </c>
      <c r="C425" s="12">
        <v>0</v>
      </c>
      <c r="D425" s="13">
        <v>0</v>
      </c>
      <c r="E425" s="12">
        <v>0</v>
      </c>
      <c r="F425" s="14">
        <v>0</v>
      </c>
      <c r="G425" s="13">
        <v>18458.9116</v>
      </c>
      <c r="H425" s="14">
        <v>66466673.52962</v>
      </c>
      <c r="I425" s="14" t="e">
        <f>=Round(1497.94690000,0)</f>
        <v>#VALUE!</v>
      </c>
      <c r="J425" s="14" t="e">
        <f>=Round(0.00000000,0)</f>
        <v>#VALUE!</v>
      </c>
    </row>
    <row r="426">
      <c r="A426" s="11" t="s">
        <v>53</v>
      </c>
      <c r="B426" s="12">
        <v>3601.445</v>
      </c>
      <c r="C426" s="12">
        <v>0</v>
      </c>
      <c r="D426" s="13">
        <v>0</v>
      </c>
      <c r="E426" s="12">
        <v>0</v>
      </c>
      <c r="F426" s="14">
        <v>0</v>
      </c>
      <c r="G426" s="13">
        <v>18458.9116</v>
      </c>
      <c r="H426" s="14">
        <v>66478754.887262</v>
      </c>
      <c r="I426" s="14" t="e">
        <f>=Round(1498.22420000,0)</f>
        <v>#VALUE!</v>
      </c>
      <c r="J426" s="14" t="e">
        <f>=Round(0.00000000,0)</f>
        <v>#VALUE!</v>
      </c>
    </row>
    <row r="427">
      <c r="A427" s="11" t="s">
        <v>54</v>
      </c>
      <c r="B427" s="12">
        <v>3602.0851</v>
      </c>
      <c r="C427" s="12">
        <v>0</v>
      </c>
      <c r="D427" s="13">
        <v>0</v>
      </c>
      <c r="E427" s="12">
        <v>0</v>
      </c>
      <c r="F427" s="14">
        <v>0</v>
      </c>
      <c r="G427" s="13">
        <v>18458.9116</v>
      </c>
      <c r="H427" s="14">
        <v>66490570.436577</v>
      </c>
      <c r="I427" s="14" t="e">
        <f>=Round(1498.49650000,0)</f>
        <v>#VALUE!</v>
      </c>
      <c r="J427" s="14" t="e">
        <f>=Round(0.00000000,0)</f>
        <v>#VALUE!</v>
      </c>
    </row>
    <row r="428">
      <c r="A428" s="11" t="s">
        <v>55</v>
      </c>
      <c r="B428" s="12">
        <v>3602.7417</v>
      </c>
      <c r="C428" s="12">
        <v>0</v>
      </c>
      <c r="D428" s="13">
        <v>0</v>
      </c>
      <c r="E428" s="12">
        <v>0</v>
      </c>
      <c r="F428" s="14">
        <v>0</v>
      </c>
      <c r="G428" s="13">
        <v>18458.9116</v>
      </c>
      <c r="H428" s="14">
        <v>66502690.557934</v>
      </c>
      <c r="I428" s="14" t="e">
        <f>=Round(1498.76290000,0)</f>
        <v>#VALUE!</v>
      </c>
      <c r="J428" s="14" t="e">
        <f>=Round(0.00000000,0)</f>
        <v>#VALUE!</v>
      </c>
    </row>
    <row r="429" ht="-1">
      <c r="A429" s="15"/>
      <c r="B429" s="16" t="s">
        <v>56</v>
      </c>
      <c r="C429" s="15"/>
      <c r="D429" s="15"/>
      <c r="E429" s="15"/>
      <c r="F429" s="15"/>
      <c r="G429" s="15"/>
      <c r="H429" s="15"/>
      <c r="I429" s="17" t="e">
        <f>=Round(SUM(I403:I428),0)</f>
        <v>#VALUE!</v>
      </c>
      <c r="J429" s="17" t="e">
        <f>=Round(SUM(J403:J428),0)</f>
        <v>#VALUE!</v>
      </c>
    </row>
    <row r="430">
      <c r="A430" s="1" t="s">
        <v>0</v>
      </c>
      <c r="B430" s="1"/>
      <c r="C430" s="1"/>
      <c r="D430" s="1"/>
    </row>
    <row r="431">
      <c r="A431" s="0" t="s">
        <v>1</v>
      </c>
      <c r="C431" s="0" t="s">
        <v>2</v>
      </c>
      <c r="H431" s="2" t="s">
        <v>3</v>
      </c>
    </row>
    <row r="432">
      <c r="A432" s="0" t="s">
        <v>4</v>
      </c>
      <c r="C432" s="0" t="s">
        <v>67</v>
      </c>
      <c r="H432" s="3" t="s">
        <v>6</v>
      </c>
    </row>
    <row r="433">
      <c r="A433" s="0" t="s">
        <v>7</v>
      </c>
      <c r="C433" s="4" t="s">
        <v>8</v>
      </c>
      <c r="H433" s="2" t="s">
        <v>9</v>
      </c>
    </row>
    <row r="434">
      <c r="A434" s="0" t="s">
        <v>10</v>
      </c>
      <c r="C434" s="4" t="s">
        <v>11</v>
      </c>
      <c r="H434" s="2" t="s">
        <v>12</v>
      </c>
    </row>
    <row r="435">
      <c r="A435" s="0" t="s">
        <v>13</v>
      </c>
      <c r="C435" s="0" t="s">
        <v>14</v>
      </c>
    </row>
    <row r="436">
      <c r="A436" s="0" t="s">
        <v>15</v>
      </c>
      <c r="C436" s="0" t="s">
        <v>16</v>
      </c>
    </row>
    <row r="437">
      <c r="A437" s="0" t="s">
        <v>17</v>
      </c>
      <c r="C437" s="0" t="s">
        <v>18</v>
      </c>
    </row>
    <row r="440">
      <c r="A440" s="5" t="s">
        <v>19</v>
      </c>
      <c r="B440" s="5" t="s">
        <v>20</v>
      </c>
      <c r="C440" s="7" t="s">
        <v>21</v>
      </c>
      <c r="D440" s="9"/>
      <c r="E440" s="7" t="s">
        <v>22</v>
      </c>
      <c r="F440" s="9"/>
      <c r="G440" s="5" t="s">
        <v>23</v>
      </c>
      <c r="H440" s="5" t="s">
        <v>24</v>
      </c>
      <c r="I440" s="5" t="s">
        <v>25</v>
      </c>
      <c r="J440" s="5" t="s">
        <v>26</v>
      </c>
    </row>
    <row r="441">
      <c r="A441" s="6"/>
      <c r="B441" s="6"/>
      <c r="C441" s="8" t="s">
        <v>27</v>
      </c>
      <c r="D441" s="8" t="s">
        <v>28</v>
      </c>
      <c r="E441" s="8" t="s">
        <v>27</v>
      </c>
      <c r="F441" s="8" t="s">
        <v>28</v>
      </c>
      <c r="G441" s="6"/>
      <c r="H441" s="6"/>
      <c r="I441" s="10" t="s">
        <v>29</v>
      </c>
      <c r="J441" s="6"/>
    </row>
    <row r="442">
      <c r="A442" s="11" t="s">
        <v>30</v>
      </c>
      <c r="B442" s="12">
        <v>3586.4187</v>
      </c>
      <c r="C442" s="12">
        <v>0</v>
      </c>
      <c r="D442" s="13">
        <v>0</v>
      </c>
      <c r="E442" s="12">
        <v>0</v>
      </c>
      <c r="F442" s="14">
        <v>0</v>
      </c>
      <c r="G442" s="13">
        <v>337.9488</v>
      </c>
      <c r="H442" s="14">
        <v>1212025.895963</v>
      </c>
      <c r="I442" s="14" t="e">
        <f>=Round(27.30520000,0)</f>
        <v>#VALUE!</v>
      </c>
      <c r="J442" s="14" t="e">
        <f>=Round(0.00000000,0)</f>
        <v>#VALUE!</v>
      </c>
    </row>
    <row r="443">
      <c r="A443" s="11" t="s">
        <v>31</v>
      </c>
      <c r="B443" s="12">
        <v>3587.0477</v>
      </c>
      <c r="C443" s="12">
        <v>0</v>
      </c>
      <c r="D443" s="13">
        <v>0</v>
      </c>
      <c r="E443" s="12">
        <v>0</v>
      </c>
      <c r="F443" s="14">
        <v>0</v>
      </c>
      <c r="G443" s="13">
        <v>337.9488</v>
      </c>
      <c r="H443" s="14">
        <v>1212238.465758</v>
      </c>
      <c r="I443" s="14" t="e">
        <f>=Round(27.32030000,0)</f>
        <v>#VALUE!</v>
      </c>
      <c r="J443" s="14" t="e">
        <f>=Round(0.00000000,0)</f>
        <v>#VALUE!</v>
      </c>
    </row>
    <row r="444">
      <c r="A444" s="11" t="s">
        <v>32</v>
      </c>
      <c r="B444" s="12">
        <v>3587.6685</v>
      </c>
      <c r="C444" s="12">
        <v>0</v>
      </c>
      <c r="D444" s="13">
        <v>0</v>
      </c>
      <c r="E444" s="12">
        <v>0</v>
      </c>
      <c r="F444" s="14">
        <v>0</v>
      </c>
      <c r="G444" s="13">
        <v>337.9488</v>
      </c>
      <c r="H444" s="14">
        <v>1212448.264373</v>
      </c>
      <c r="I444" s="14" t="e">
        <f>=Round(27.32500000,0)</f>
        <v>#VALUE!</v>
      </c>
      <c r="J444" s="14" t="e">
        <f>=Round(0.00000000,0)</f>
        <v>#VALUE!</v>
      </c>
    </row>
    <row r="445">
      <c r="A445" s="11" t="s">
        <v>33</v>
      </c>
      <c r="B445" s="12">
        <v>3588.3573</v>
      </c>
      <c r="C445" s="12">
        <v>0</v>
      </c>
      <c r="D445" s="13">
        <v>0</v>
      </c>
      <c r="E445" s="12">
        <v>0</v>
      </c>
      <c r="F445" s="14">
        <v>0</v>
      </c>
      <c r="G445" s="13">
        <v>337.9488</v>
      </c>
      <c r="H445" s="14">
        <v>1212681.043506</v>
      </c>
      <c r="I445" s="14" t="e">
        <f>=Round(27.32980000,0)</f>
        <v>#VALUE!</v>
      </c>
      <c r="J445" s="14" t="e">
        <f>=Round(0.00000000,0)</f>
        <v>#VALUE!</v>
      </c>
    </row>
    <row r="446">
      <c r="A446" s="11" t="s">
        <v>34</v>
      </c>
      <c r="B446" s="12">
        <v>3589.0109</v>
      </c>
      <c r="C446" s="12">
        <v>0</v>
      </c>
      <c r="D446" s="13">
        <v>0</v>
      </c>
      <c r="E446" s="12">
        <v>0</v>
      </c>
      <c r="F446" s="14">
        <v>0</v>
      </c>
      <c r="G446" s="13">
        <v>337.9488</v>
      </c>
      <c r="H446" s="14">
        <v>1212901.926842</v>
      </c>
      <c r="I446" s="14" t="e">
        <f>=Round(27.33500000,0)</f>
        <v>#VALUE!</v>
      </c>
      <c r="J446" s="14" t="e">
        <f>=Round(0.00000000,0)</f>
        <v>#VALUE!</v>
      </c>
    </row>
    <row r="447">
      <c r="A447" s="11" t="s">
        <v>35</v>
      </c>
      <c r="B447" s="12">
        <v>3589.0109</v>
      </c>
      <c r="C447" s="12">
        <v>0</v>
      </c>
      <c r="D447" s="13">
        <v>0</v>
      </c>
      <c r="E447" s="12">
        <v>0</v>
      </c>
      <c r="F447" s="14">
        <v>0</v>
      </c>
      <c r="G447" s="13">
        <v>337.9488</v>
      </c>
      <c r="H447" s="14">
        <v>1212901.926842</v>
      </c>
      <c r="I447" s="14" t="e">
        <f>=Round(27.34000000,0)</f>
        <v>#VALUE!</v>
      </c>
      <c r="J447" s="14" t="e">
        <f>=Round(0.00000000,0)</f>
        <v>#VALUE!</v>
      </c>
    </row>
    <row r="448">
      <c r="A448" s="11" t="s">
        <v>36</v>
      </c>
      <c r="B448" s="12">
        <v>3589.0109</v>
      </c>
      <c r="C448" s="12">
        <v>0</v>
      </c>
      <c r="D448" s="13">
        <v>0</v>
      </c>
      <c r="E448" s="12">
        <v>0</v>
      </c>
      <c r="F448" s="14">
        <v>0</v>
      </c>
      <c r="G448" s="13">
        <v>337.9488</v>
      </c>
      <c r="H448" s="14">
        <v>1212901.926842</v>
      </c>
      <c r="I448" s="14" t="e">
        <f>=Round(27.34000000,0)</f>
        <v>#VALUE!</v>
      </c>
      <c r="J448" s="14" t="e">
        <f>=Round(0.00000000,0)</f>
        <v>#VALUE!</v>
      </c>
    </row>
    <row r="449">
      <c r="A449" s="11" t="s">
        <v>37</v>
      </c>
      <c r="B449" s="12">
        <v>3590.972</v>
      </c>
      <c r="C449" s="12">
        <v>0</v>
      </c>
      <c r="D449" s="13">
        <v>0</v>
      </c>
      <c r="E449" s="12">
        <v>0</v>
      </c>
      <c r="F449" s="14">
        <v>0</v>
      </c>
      <c r="G449" s="13">
        <v>337.9488</v>
      </c>
      <c r="H449" s="14">
        <v>1213564.678234</v>
      </c>
      <c r="I449" s="14" t="e">
        <f>=Round(27.34000000,0)</f>
        <v>#VALUE!</v>
      </c>
      <c r="J449" s="14" t="e">
        <f>=Round(0.00000000,0)</f>
        <v>#VALUE!</v>
      </c>
    </row>
    <row r="450">
      <c r="A450" s="11" t="s">
        <v>38</v>
      </c>
      <c r="B450" s="12">
        <v>3591.6235</v>
      </c>
      <c r="C450" s="12">
        <v>0</v>
      </c>
      <c r="D450" s="13">
        <v>0</v>
      </c>
      <c r="E450" s="12">
        <v>0</v>
      </c>
      <c r="F450" s="14">
        <v>0</v>
      </c>
      <c r="G450" s="13">
        <v>337.9488</v>
      </c>
      <c r="H450" s="14">
        <v>1213784.851877</v>
      </c>
      <c r="I450" s="14" t="e">
        <f>=Round(27.35490000,0)</f>
        <v>#VALUE!</v>
      </c>
      <c r="J450" s="14" t="e">
        <f>=Round(0.00000000,0)</f>
        <v>#VALUE!</v>
      </c>
    </row>
    <row r="451">
      <c r="A451" s="11" t="s">
        <v>39</v>
      </c>
      <c r="B451" s="12">
        <v>3592.281</v>
      </c>
      <c r="C451" s="12">
        <v>0</v>
      </c>
      <c r="D451" s="13">
        <v>0</v>
      </c>
      <c r="E451" s="12">
        <v>0</v>
      </c>
      <c r="F451" s="14">
        <v>0</v>
      </c>
      <c r="G451" s="13">
        <v>337.9488</v>
      </c>
      <c r="H451" s="14">
        <v>1214007.053213</v>
      </c>
      <c r="I451" s="14" t="e">
        <f>=Round(27.35990000,0)</f>
        <v>#VALUE!</v>
      </c>
      <c r="J451" s="14" t="e">
        <f>=Round(0.00000000,0)</f>
        <v>#VALUE!</v>
      </c>
    </row>
    <row r="452">
      <c r="A452" s="11" t="s">
        <v>40</v>
      </c>
      <c r="B452" s="12">
        <v>3592.9125</v>
      </c>
      <c r="C452" s="12">
        <v>0</v>
      </c>
      <c r="D452" s="13">
        <v>0</v>
      </c>
      <c r="E452" s="12">
        <v>0</v>
      </c>
      <c r="F452" s="14">
        <v>0</v>
      </c>
      <c r="G452" s="13">
        <v>337.9488</v>
      </c>
      <c r="H452" s="14">
        <v>1214220.46788</v>
      </c>
      <c r="I452" s="14" t="e">
        <f>=Round(27.36490000,0)</f>
        <v>#VALUE!</v>
      </c>
      <c r="J452" s="14" t="e">
        <f>=Round(0.00000000,0)</f>
        <v>#VALUE!</v>
      </c>
    </row>
    <row r="453">
      <c r="A453" s="11" t="s">
        <v>41</v>
      </c>
      <c r="B453" s="12">
        <v>3593.5674</v>
      </c>
      <c r="C453" s="12">
        <v>0</v>
      </c>
      <c r="D453" s="13">
        <v>0</v>
      </c>
      <c r="E453" s="12">
        <v>0</v>
      </c>
      <c r="F453" s="14">
        <v>0</v>
      </c>
      <c r="G453" s="13">
        <v>337.9488</v>
      </c>
      <c r="H453" s="14">
        <v>1214441.790549</v>
      </c>
      <c r="I453" s="14" t="e">
        <f>=Round(27.36970000,0)</f>
        <v>#VALUE!</v>
      </c>
      <c r="J453" s="14" t="e">
        <f>=Round(0.00000000,0)</f>
        <v>#VALUE!</v>
      </c>
    </row>
    <row r="454">
      <c r="A454" s="11" t="s">
        <v>42</v>
      </c>
      <c r="B454" s="12">
        <v>3593.5674</v>
      </c>
      <c r="C454" s="12">
        <v>0</v>
      </c>
      <c r="D454" s="13">
        <v>0</v>
      </c>
      <c r="E454" s="12">
        <v>0</v>
      </c>
      <c r="F454" s="14">
        <v>0</v>
      </c>
      <c r="G454" s="13">
        <v>337.9488</v>
      </c>
      <c r="H454" s="14">
        <v>1214441.790549</v>
      </c>
      <c r="I454" s="14" t="e">
        <f>=Round(27.37470000,0)</f>
        <v>#VALUE!</v>
      </c>
      <c r="J454" s="14" t="e">
        <f>=Round(0.00000000,0)</f>
        <v>#VALUE!</v>
      </c>
    </row>
    <row r="455">
      <c r="A455" s="11" t="s">
        <v>43</v>
      </c>
      <c r="B455" s="12">
        <v>3593.5674</v>
      </c>
      <c r="C455" s="12">
        <v>0</v>
      </c>
      <c r="D455" s="13">
        <v>0</v>
      </c>
      <c r="E455" s="12">
        <v>0</v>
      </c>
      <c r="F455" s="14">
        <v>0</v>
      </c>
      <c r="G455" s="13">
        <v>337.9488</v>
      </c>
      <c r="H455" s="14">
        <v>1214441.790549</v>
      </c>
      <c r="I455" s="14" t="e">
        <f>=Round(27.37470000,0)</f>
        <v>#VALUE!</v>
      </c>
      <c r="J455" s="14" t="e">
        <f>=Round(0.00000000,0)</f>
        <v>#VALUE!</v>
      </c>
    </row>
    <row r="456">
      <c r="A456" s="11" t="s">
        <v>44</v>
      </c>
      <c r="B456" s="12">
        <v>3595.5366</v>
      </c>
      <c r="C456" s="12">
        <v>0</v>
      </c>
      <c r="D456" s="13">
        <v>0</v>
      </c>
      <c r="E456" s="12">
        <v>0</v>
      </c>
      <c r="F456" s="14">
        <v>0</v>
      </c>
      <c r="G456" s="13">
        <v>337.9488</v>
      </c>
      <c r="H456" s="14">
        <v>1215107.279326</v>
      </c>
      <c r="I456" s="14" t="e">
        <f>=Round(27.37470000,0)</f>
        <v>#VALUE!</v>
      </c>
      <c r="J456" s="14" t="e">
        <f>=Round(0.00000000,0)</f>
        <v>#VALUE!</v>
      </c>
    </row>
    <row r="457">
      <c r="A457" s="11" t="s">
        <v>45</v>
      </c>
      <c r="B457" s="12">
        <v>3596.1915</v>
      </c>
      <c r="C457" s="12">
        <v>0</v>
      </c>
      <c r="D457" s="13">
        <v>0</v>
      </c>
      <c r="E457" s="12">
        <v>0</v>
      </c>
      <c r="F457" s="14">
        <v>0</v>
      </c>
      <c r="G457" s="13">
        <v>337.9488</v>
      </c>
      <c r="H457" s="14">
        <v>1215328.601995</v>
      </c>
      <c r="I457" s="14" t="e">
        <f>=Round(27.38970000,0)</f>
        <v>#VALUE!</v>
      </c>
      <c r="J457" s="14" t="e">
        <f>=Round(0.00000000,0)</f>
        <v>#VALUE!</v>
      </c>
    </row>
    <row r="458">
      <c r="A458" s="11" t="s">
        <v>46</v>
      </c>
      <c r="B458" s="12">
        <v>3596.8461</v>
      </c>
      <c r="C458" s="12">
        <v>0</v>
      </c>
      <c r="D458" s="13">
        <v>0</v>
      </c>
      <c r="E458" s="12">
        <v>0</v>
      </c>
      <c r="F458" s="14">
        <v>0</v>
      </c>
      <c r="G458" s="13">
        <v>337.9488</v>
      </c>
      <c r="H458" s="14">
        <v>1215549.82328</v>
      </c>
      <c r="I458" s="14" t="e">
        <f>=Round(27.39470000,0)</f>
        <v>#VALUE!</v>
      </c>
      <c r="J458" s="14" t="e">
        <f>=Round(0.00000000,0)</f>
        <v>#VALUE!</v>
      </c>
    </row>
    <row r="459">
      <c r="A459" s="11" t="s">
        <v>47</v>
      </c>
      <c r="B459" s="12">
        <v>3597.4992</v>
      </c>
      <c r="C459" s="12">
        <v>0</v>
      </c>
      <c r="D459" s="13">
        <v>0</v>
      </c>
      <c r="E459" s="12">
        <v>0</v>
      </c>
      <c r="F459" s="14">
        <v>0</v>
      </c>
      <c r="G459" s="13">
        <v>337.9488</v>
      </c>
      <c r="H459" s="14">
        <v>1215770.537641</v>
      </c>
      <c r="I459" s="14" t="e">
        <f>=Round(27.39970000,0)</f>
        <v>#VALUE!</v>
      </c>
      <c r="J459" s="14" t="e">
        <f>=Round(0.00000000,0)</f>
        <v>#VALUE!</v>
      </c>
    </row>
    <row r="460">
      <c r="A460" s="11" t="s">
        <v>48</v>
      </c>
      <c r="B460" s="12">
        <v>3598.1558</v>
      </c>
      <c r="C460" s="12">
        <v>0</v>
      </c>
      <c r="D460" s="13">
        <v>0</v>
      </c>
      <c r="E460" s="12">
        <v>0</v>
      </c>
      <c r="F460" s="14">
        <v>0</v>
      </c>
      <c r="G460" s="13">
        <v>337.9488</v>
      </c>
      <c r="H460" s="14">
        <v>1215992.434823</v>
      </c>
      <c r="I460" s="14" t="e">
        <f>=Round(27.40470000,0)</f>
        <v>#VALUE!</v>
      </c>
      <c r="J460" s="14" t="e">
        <f>=Round(0.00000000,0)</f>
        <v>#VALUE!</v>
      </c>
    </row>
    <row r="461">
      <c r="A461" s="11" t="s">
        <v>49</v>
      </c>
      <c r="B461" s="12">
        <v>3598.1558</v>
      </c>
      <c r="C461" s="12">
        <v>0</v>
      </c>
      <c r="D461" s="13">
        <v>0</v>
      </c>
      <c r="E461" s="12">
        <v>0</v>
      </c>
      <c r="F461" s="14">
        <v>0</v>
      </c>
      <c r="G461" s="13">
        <v>337.9488</v>
      </c>
      <c r="H461" s="14">
        <v>1215992.434823</v>
      </c>
      <c r="I461" s="14" t="e">
        <f>=Round(27.40970000,0)</f>
        <v>#VALUE!</v>
      </c>
      <c r="J461" s="14" t="e">
        <f>=Round(0.00000000,0)</f>
        <v>#VALUE!</v>
      </c>
    </row>
    <row r="462">
      <c r="A462" s="11" t="s">
        <v>50</v>
      </c>
      <c r="B462" s="12">
        <v>3598.1558</v>
      </c>
      <c r="C462" s="12">
        <v>0</v>
      </c>
      <c r="D462" s="13">
        <v>0</v>
      </c>
      <c r="E462" s="12">
        <v>0</v>
      </c>
      <c r="F462" s="14">
        <v>0</v>
      </c>
      <c r="G462" s="13">
        <v>337.9488</v>
      </c>
      <c r="H462" s="14">
        <v>1215992.434823</v>
      </c>
      <c r="I462" s="14" t="e">
        <f>=Round(27.40970000,0)</f>
        <v>#VALUE!</v>
      </c>
      <c r="J462" s="14" t="e">
        <f>=Round(0.00000000,0)</f>
        <v>#VALUE!</v>
      </c>
    </row>
    <row r="463">
      <c r="A463" s="11" t="s">
        <v>51</v>
      </c>
      <c r="B463" s="12">
        <v>3600.124</v>
      </c>
      <c r="C463" s="12">
        <v>0</v>
      </c>
      <c r="D463" s="13">
        <v>0</v>
      </c>
      <c r="E463" s="12">
        <v>0</v>
      </c>
      <c r="F463" s="14">
        <v>0</v>
      </c>
      <c r="G463" s="13">
        <v>337.9488</v>
      </c>
      <c r="H463" s="14">
        <v>1216657.585651</v>
      </c>
      <c r="I463" s="14" t="e">
        <f>=Round(27.40970000,0)</f>
        <v>#VALUE!</v>
      </c>
      <c r="J463" s="14" t="e">
        <f>=Round(0.00000000,0)</f>
        <v>#VALUE!</v>
      </c>
    </row>
    <row r="464">
      <c r="A464" s="11" t="s">
        <v>52</v>
      </c>
      <c r="B464" s="12">
        <v>3600.7905</v>
      </c>
      <c r="C464" s="12">
        <v>0</v>
      </c>
      <c r="D464" s="13">
        <v>0</v>
      </c>
      <c r="E464" s="12">
        <v>0</v>
      </c>
      <c r="F464" s="14">
        <v>0</v>
      </c>
      <c r="G464" s="13">
        <v>337.9488</v>
      </c>
      <c r="H464" s="14">
        <v>1216882.828526</v>
      </c>
      <c r="I464" s="14" t="e">
        <f>=Round(27.42470000,0)</f>
        <v>#VALUE!</v>
      </c>
      <c r="J464" s="14" t="e">
        <f>=Round(0.00000000,0)</f>
        <v>#VALUE!</v>
      </c>
    </row>
    <row r="465">
      <c r="A465" s="11" t="s">
        <v>53</v>
      </c>
      <c r="B465" s="12">
        <v>3601.445</v>
      </c>
      <c r="C465" s="12">
        <v>0</v>
      </c>
      <c r="D465" s="13">
        <v>0</v>
      </c>
      <c r="E465" s="12">
        <v>0</v>
      </c>
      <c r="F465" s="14">
        <v>0</v>
      </c>
      <c r="G465" s="13">
        <v>337.9488</v>
      </c>
      <c r="H465" s="14">
        <v>1217104.016016</v>
      </c>
      <c r="I465" s="14" t="e">
        <f>=Round(27.42970000,0)</f>
        <v>#VALUE!</v>
      </c>
      <c r="J465" s="14" t="e">
        <f>=Round(0.00000000,0)</f>
        <v>#VALUE!</v>
      </c>
    </row>
    <row r="466">
      <c r="A466" s="11" t="s">
        <v>54</v>
      </c>
      <c r="B466" s="12">
        <v>3602.0851</v>
      </c>
      <c r="C466" s="12">
        <v>0</v>
      </c>
      <c r="D466" s="13">
        <v>0</v>
      </c>
      <c r="E466" s="12">
        <v>0</v>
      </c>
      <c r="F466" s="14">
        <v>0</v>
      </c>
      <c r="G466" s="13">
        <v>337.9488</v>
      </c>
      <c r="H466" s="14">
        <v>1217320.337043</v>
      </c>
      <c r="I466" s="14" t="e">
        <f>=Round(27.43470000,0)</f>
        <v>#VALUE!</v>
      </c>
      <c r="J466" s="14" t="e">
        <f>=Round(0.00000000,0)</f>
        <v>#VALUE!</v>
      </c>
    </row>
    <row r="467">
      <c r="A467" s="11" t="s">
        <v>55</v>
      </c>
      <c r="B467" s="12">
        <v>3602.7417</v>
      </c>
      <c r="C467" s="12">
        <v>0</v>
      </c>
      <c r="D467" s="13">
        <v>0</v>
      </c>
      <c r="E467" s="12">
        <v>0</v>
      </c>
      <c r="F467" s="14">
        <v>0</v>
      </c>
      <c r="G467" s="13">
        <v>337.9488</v>
      </c>
      <c r="H467" s="14">
        <v>1217542.234225</v>
      </c>
      <c r="I467" s="14" t="e">
        <f>=Round(27.43960000,0)</f>
        <v>#VALUE!</v>
      </c>
      <c r="J467" s="14" t="e">
        <f>=Round(0.00000000,0)</f>
        <v>#VALUE!</v>
      </c>
    </row>
    <row r="468" ht="-1">
      <c r="A468" s="15"/>
      <c r="B468" s="16" t="s">
        <v>56</v>
      </c>
      <c r="C468" s="15"/>
      <c r="D468" s="15"/>
      <c r="E468" s="15"/>
      <c r="F468" s="15"/>
      <c r="G468" s="15"/>
      <c r="H468" s="15"/>
      <c r="I468" s="17" t="e">
        <f>=Round(SUM(I442:I467),0)</f>
        <v>#VALUE!</v>
      </c>
      <c r="J468" s="17" t="e">
        <f>=Round(SUM(J442:J467),0)</f>
        <v>#VALUE!</v>
      </c>
    </row>
    <row r="469">
      <c r="A469" s="1" t="s">
        <v>0</v>
      </c>
      <c r="B469" s="1"/>
      <c r="C469" s="1"/>
      <c r="D469" s="1"/>
    </row>
    <row r="470">
      <c r="A470" s="0" t="s">
        <v>1</v>
      </c>
      <c r="C470" s="0" t="s">
        <v>2</v>
      </c>
      <c r="H470" s="2" t="s">
        <v>3</v>
      </c>
    </row>
    <row r="471">
      <c r="A471" s="0" t="s">
        <v>4</v>
      </c>
      <c r="C471" s="0" t="s">
        <v>68</v>
      </c>
      <c r="H471" s="3" t="s">
        <v>6</v>
      </c>
    </row>
    <row r="472">
      <c r="A472" s="0" t="s">
        <v>7</v>
      </c>
      <c r="C472" s="4" t="s">
        <v>8</v>
      </c>
      <c r="H472" s="2" t="s">
        <v>9</v>
      </c>
    </row>
    <row r="473">
      <c r="A473" s="0" t="s">
        <v>10</v>
      </c>
      <c r="C473" s="4" t="s">
        <v>11</v>
      </c>
      <c r="H473" s="2" t="s">
        <v>12</v>
      </c>
    </row>
    <row r="474">
      <c r="A474" s="0" t="s">
        <v>13</v>
      </c>
      <c r="C474" s="0" t="s">
        <v>14</v>
      </c>
    </row>
    <row r="475">
      <c r="A475" s="0" t="s">
        <v>15</v>
      </c>
      <c r="C475" s="0" t="s">
        <v>16</v>
      </c>
    </row>
    <row r="476">
      <c r="A476" s="0" t="s">
        <v>17</v>
      </c>
      <c r="C476" s="0" t="s">
        <v>18</v>
      </c>
    </row>
    <row r="479">
      <c r="A479" s="5" t="s">
        <v>19</v>
      </c>
      <c r="B479" s="5" t="s">
        <v>20</v>
      </c>
      <c r="C479" s="7" t="s">
        <v>21</v>
      </c>
      <c r="D479" s="9"/>
      <c r="E479" s="7" t="s">
        <v>22</v>
      </c>
      <c r="F479" s="9"/>
      <c r="G479" s="5" t="s">
        <v>23</v>
      </c>
      <c r="H479" s="5" t="s">
        <v>24</v>
      </c>
      <c r="I479" s="5" t="s">
        <v>25</v>
      </c>
      <c r="J479" s="5" t="s">
        <v>26</v>
      </c>
    </row>
    <row r="480">
      <c r="A480" s="6"/>
      <c r="B480" s="6"/>
      <c r="C480" s="8" t="s">
        <v>27</v>
      </c>
      <c r="D480" s="8" t="s">
        <v>28</v>
      </c>
      <c r="E480" s="8" t="s">
        <v>27</v>
      </c>
      <c r="F480" s="8" t="s">
        <v>28</v>
      </c>
      <c r="G480" s="6"/>
      <c r="H480" s="6"/>
      <c r="I480" s="10" t="s">
        <v>29</v>
      </c>
      <c r="J480" s="6"/>
    </row>
    <row r="481">
      <c r="A481" s="11" t="s">
        <v>30</v>
      </c>
      <c r="B481" s="12">
        <v>3586.4187</v>
      </c>
      <c r="C481" s="12">
        <v>0</v>
      </c>
      <c r="D481" s="13">
        <v>0</v>
      </c>
      <c r="E481" s="12">
        <v>0</v>
      </c>
      <c r="F481" s="14">
        <v>0</v>
      </c>
      <c r="G481" s="13">
        <v>6648.1089</v>
      </c>
      <c r="H481" s="14">
        <v>23842902.078596</v>
      </c>
      <c r="I481" s="14" t="e">
        <f>=Round(537.14690000,0)</f>
        <v>#VALUE!</v>
      </c>
      <c r="J481" s="14" t="e">
        <f>=Round(0.00000000,0)</f>
        <v>#VALUE!</v>
      </c>
    </row>
    <row r="482">
      <c r="A482" s="11" t="s">
        <v>31</v>
      </c>
      <c r="B482" s="12">
        <v>3587.0477</v>
      </c>
      <c r="C482" s="12">
        <v>0</v>
      </c>
      <c r="D482" s="13">
        <v>0</v>
      </c>
      <c r="E482" s="12">
        <v>0</v>
      </c>
      <c r="F482" s="14">
        <v>0</v>
      </c>
      <c r="G482" s="13">
        <v>6648.1089</v>
      </c>
      <c r="H482" s="14">
        <v>23847083.739095</v>
      </c>
      <c r="I482" s="14" t="e">
        <f>=Round(537.44250000,0)</f>
        <v>#VALUE!</v>
      </c>
      <c r="J482" s="14" t="e">
        <f>=Round(0.00000000,0)</f>
        <v>#VALUE!</v>
      </c>
    </row>
    <row r="483">
      <c r="A483" s="11" t="s">
        <v>32</v>
      </c>
      <c r="B483" s="12">
        <v>3587.6685</v>
      </c>
      <c r="C483" s="12">
        <v>0</v>
      </c>
      <c r="D483" s="13">
        <v>0</v>
      </c>
      <c r="E483" s="12">
        <v>0</v>
      </c>
      <c r="F483" s="14">
        <v>0</v>
      </c>
      <c r="G483" s="13">
        <v>6648.1089</v>
      </c>
      <c r="H483" s="14">
        <v>23851210.8851</v>
      </c>
      <c r="I483" s="14" t="e">
        <f>=Round(537.53670000,0)</f>
        <v>#VALUE!</v>
      </c>
      <c r="J483" s="14" t="e">
        <f>=Round(0.00000000,0)</f>
        <v>#VALUE!</v>
      </c>
    </row>
    <row r="484">
      <c r="A484" s="11" t="s">
        <v>33</v>
      </c>
      <c r="B484" s="12">
        <v>3588.3573</v>
      </c>
      <c r="C484" s="12">
        <v>0</v>
      </c>
      <c r="D484" s="13">
        <v>0</v>
      </c>
      <c r="E484" s="12">
        <v>0</v>
      </c>
      <c r="F484" s="14">
        <v>0</v>
      </c>
      <c r="G484" s="13">
        <v>6648.1089</v>
      </c>
      <c r="H484" s="14">
        <v>23855790.10251</v>
      </c>
      <c r="I484" s="14" t="e">
        <f>=Round(537.62980000,0)</f>
        <v>#VALUE!</v>
      </c>
      <c r="J484" s="14" t="e">
        <f>=Round(0.00000000,0)</f>
        <v>#VALUE!</v>
      </c>
    </row>
    <row r="485">
      <c r="A485" s="11" t="s">
        <v>34</v>
      </c>
      <c r="B485" s="12">
        <v>3589.0109</v>
      </c>
      <c r="C485" s="12">
        <v>0</v>
      </c>
      <c r="D485" s="13">
        <v>0</v>
      </c>
      <c r="E485" s="12">
        <v>0</v>
      </c>
      <c r="F485" s="14">
        <v>0</v>
      </c>
      <c r="G485" s="13">
        <v>6648.1089</v>
      </c>
      <c r="H485" s="14">
        <v>23860135.306487</v>
      </c>
      <c r="I485" s="14" t="e">
        <f>=Round(537.73300000,0)</f>
        <v>#VALUE!</v>
      </c>
      <c r="J485" s="14" t="e">
        <f>=Round(0.00000000,0)</f>
        <v>#VALUE!</v>
      </c>
    </row>
    <row r="486">
      <c r="A486" s="11" t="s">
        <v>35</v>
      </c>
      <c r="B486" s="12">
        <v>3589.0109</v>
      </c>
      <c r="C486" s="12">
        <v>0</v>
      </c>
      <c r="D486" s="13">
        <v>0</v>
      </c>
      <c r="E486" s="12">
        <v>0</v>
      </c>
      <c r="F486" s="14">
        <v>0</v>
      </c>
      <c r="G486" s="13">
        <v>6648.1089</v>
      </c>
      <c r="H486" s="14">
        <v>23860135.306487</v>
      </c>
      <c r="I486" s="14" t="e">
        <f>=Round(537.83090000,0)</f>
        <v>#VALUE!</v>
      </c>
      <c r="J486" s="14" t="e">
        <f>=Round(0.00000000,0)</f>
        <v>#VALUE!</v>
      </c>
    </row>
    <row r="487">
      <c r="A487" s="11" t="s">
        <v>36</v>
      </c>
      <c r="B487" s="12">
        <v>3589.0109</v>
      </c>
      <c r="C487" s="12">
        <v>0</v>
      </c>
      <c r="D487" s="13">
        <v>0</v>
      </c>
      <c r="E487" s="12">
        <v>0</v>
      </c>
      <c r="F487" s="14">
        <v>0</v>
      </c>
      <c r="G487" s="13">
        <v>6648.1089</v>
      </c>
      <c r="H487" s="14">
        <v>23860135.306487</v>
      </c>
      <c r="I487" s="14" t="e">
        <f>=Round(537.83090000,0)</f>
        <v>#VALUE!</v>
      </c>
      <c r="J487" s="14" t="e">
        <f>=Round(0.00000000,0)</f>
        <v>#VALUE!</v>
      </c>
    </row>
    <row r="488">
      <c r="A488" s="11" t="s">
        <v>37</v>
      </c>
      <c r="B488" s="12">
        <v>3590.972</v>
      </c>
      <c r="C488" s="12">
        <v>0</v>
      </c>
      <c r="D488" s="13">
        <v>0</v>
      </c>
      <c r="E488" s="12">
        <v>0</v>
      </c>
      <c r="F488" s="14">
        <v>0</v>
      </c>
      <c r="G488" s="13">
        <v>6648.1089</v>
      </c>
      <c r="H488" s="14">
        <v>23873172.912851</v>
      </c>
      <c r="I488" s="14" t="e">
        <f>=Round(537.83090000,0)</f>
        <v>#VALUE!</v>
      </c>
      <c r="J488" s="14" t="e">
        <f>=Round(0.00000000,0)</f>
        <v>#VALUE!</v>
      </c>
    </row>
    <row r="489">
      <c r="A489" s="11" t="s">
        <v>38</v>
      </c>
      <c r="B489" s="12">
        <v>3591.6235</v>
      </c>
      <c r="C489" s="12">
        <v>0</v>
      </c>
      <c r="D489" s="13">
        <v>0</v>
      </c>
      <c r="E489" s="12">
        <v>0</v>
      </c>
      <c r="F489" s="14">
        <v>0</v>
      </c>
      <c r="G489" s="13">
        <v>6648.1089</v>
      </c>
      <c r="H489" s="14">
        <v>23877504.155799</v>
      </c>
      <c r="I489" s="14" t="e">
        <f>=Round(538.12480000,0)</f>
        <v>#VALUE!</v>
      </c>
      <c r="J489" s="14" t="e">
        <f>=Round(0.00000000,0)</f>
        <v>#VALUE!</v>
      </c>
    </row>
    <row r="490">
      <c r="A490" s="11" t="s">
        <v>39</v>
      </c>
      <c r="B490" s="12">
        <v>3592.281</v>
      </c>
      <c r="C490" s="12">
        <v>0</v>
      </c>
      <c r="D490" s="13">
        <v>0</v>
      </c>
      <c r="E490" s="12">
        <v>0</v>
      </c>
      <c r="F490" s="14">
        <v>0</v>
      </c>
      <c r="G490" s="13">
        <v>6648.1089</v>
      </c>
      <c r="H490" s="14">
        <v>23881875.287401</v>
      </c>
      <c r="I490" s="14" t="e">
        <f>=Round(538.22240000,0)</f>
        <v>#VALUE!</v>
      </c>
      <c r="J490" s="14" t="e">
        <f>=Round(0.00000000,0)</f>
        <v>#VALUE!</v>
      </c>
    </row>
    <row r="491">
      <c r="A491" s="11" t="s">
        <v>40</v>
      </c>
      <c r="B491" s="12">
        <v>3592.9125</v>
      </c>
      <c r="C491" s="12">
        <v>0</v>
      </c>
      <c r="D491" s="13">
        <v>0</v>
      </c>
      <c r="E491" s="12">
        <v>0</v>
      </c>
      <c r="F491" s="14">
        <v>0</v>
      </c>
      <c r="G491" s="13">
        <v>6648.1089</v>
      </c>
      <c r="H491" s="14">
        <v>23886073.568171</v>
      </c>
      <c r="I491" s="14" t="e">
        <f>=Round(538.32100000,0)</f>
        <v>#VALUE!</v>
      </c>
      <c r="J491" s="14" t="e">
        <f>=Round(0.00000000,0)</f>
        <v>#VALUE!</v>
      </c>
    </row>
    <row r="492">
      <c r="A492" s="11" t="s">
        <v>41</v>
      </c>
      <c r="B492" s="12">
        <v>3593.5674</v>
      </c>
      <c r="C492" s="12">
        <v>0</v>
      </c>
      <c r="D492" s="13">
        <v>0</v>
      </c>
      <c r="E492" s="12">
        <v>0</v>
      </c>
      <c r="F492" s="14">
        <v>0</v>
      </c>
      <c r="G492" s="13">
        <v>6648.1089</v>
      </c>
      <c r="H492" s="14">
        <v>23890427.41469</v>
      </c>
      <c r="I492" s="14" t="e">
        <f>=Round(538.41560000,0)</f>
        <v>#VALUE!</v>
      </c>
      <c r="J492" s="14" t="e">
        <f>=Round(0.00000000,0)</f>
        <v>#VALUE!</v>
      </c>
    </row>
    <row r="493">
      <c r="A493" s="11" t="s">
        <v>42</v>
      </c>
      <c r="B493" s="12">
        <v>3593.5674</v>
      </c>
      <c r="C493" s="12">
        <v>0</v>
      </c>
      <c r="D493" s="13">
        <v>0</v>
      </c>
      <c r="E493" s="12">
        <v>0</v>
      </c>
      <c r="F493" s="14">
        <v>0</v>
      </c>
      <c r="G493" s="13">
        <v>6648.1089</v>
      </c>
      <c r="H493" s="14">
        <v>23890427.41469</v>
      </c>
      <c r="I493" s="14" t="e">
        <f>=Round(538.51370000,0)</f>
        <v>#VALUE!</v>
      </c>
      <c r="J493" s="14" t="e">
        <f>=Round(0.00000000,0)</f>
        <v>#VALUE!</v>
      </c>
    </row>
    <row r="494">
      <c r="A494" s="11" t="s">
        <v>43</v>
      </c>
      <c r="B494" s="12">
        <v>3593.5674</v>
      </c>
      <c r="C494" s="12">
        <v>0</v>
      </c>
      <c r="D494" s="13">
        <v>0</v>
      </c>
      <c r="E494" s="12">
        <v>0</v>
      </c>
      <c r="F494" s="14">
        <v>0</v>
      </c>
      <c r="G494" s="13">
        <v>6648.1089</v>
      </c>
      <c r="H494" s="14">
        <v>23890427.41469</v>
      </c>
      <c r="I494" s="14" t="e">
        <f>=Round(538.51370000,0)</f>
        <v>#VALUE!</v>
      </c>
      <c r="J494" s="14" t="e">
        <f>=Round(0.00000000,0)</f>
        <v>#VALUE!</v>
      </c>
    </row>
    <row r="495">
      <c r="A495" s="11" t="s">
        <v>44</v>
      </c>
      <c r="B495" s="12">
        <v>3595.5366</v>
      </c>
      <c r="C495" s="12">
        <v>0</v>
      </c>
      <c r="D495" s="13">
        <v>0</v>
      </c>
      <c r="E495" s="12">
        <v>0</v>
      </c>
      <c r="F495" s="14">
        <v>0</v>
      </c>
      <c r="G495" s="13">
        <v>6648.1089</v>
      </c>
      <c r="H495" s="14">
        <v>23903518.870736</v>
      </c>
      <c r="I495" s="14" t="e">
        <f>=Round(538.51370000,0)</f>
        <v>#VALUE!</v>
      </c>
      <c r="J495" s="14" t="e">
        <f>=Round(0.00000000,0)</f>
        <v>#VALUE!</v>
      </c>
    </row>
    <row r="496">
      <c r="A496" s="11" t="s">
        <v>45</v>
      </c>
      <c r="B496" s="12">
        <v>3596.1915</v>
      </c>
      <c r="C496" s="12">
        <v>0</v>
      </c>
      <c r="D496" s="13">
        <v>0</v>
      </c>
      <c r="E496" s="12">
        <v>0</v>
      </c>
      <c r="F496" s="14">
        <v>0</v>
      </c>
      <c r="G496" s="13">
        <v>6648.1089</v>
      </c>
      <c r="H496" s="14">
        <v>23907872.717254</v>
      </c>
      <c r="I496" s="14" t="e">
        <f>=Round(538.80880000,0)</f>
        <v>#VALUE!</v>
      </c>
      <c r="J496" s="14" t="e">
        <f>=Round(0.00000000,0)</f>
        <v>#VALUE!</v>
      </c>
    </row>
    <row r="497">
      <c r="A497" s="11" t="s">
        <v>46</v>
      </c>
      <c r="B497" s="12">
        <v>3596.8461</v>
      </c>
      <c r="C497" s="12">
        <v>0</v>
      </c>
      <c r="D497" s="13">
        <v>0</v>
      </c>
      <c r="E497" s="12">
        <v>0</v>
      </c>
      <c r="F497" s="14">
        <v>0</v>
      </c>
      <c r="G497" s="13">
        <v>6648.1089</v>
      </c>
      <c r="H497" s="14">
        <v>23912224.56934</v>
      </c>
      <c r="I497" s="14" t="e">
        <f>=Round(538.90700000,0)</f>
        <v>#VALUE!</v>
      </c>
      <c r="J497" s="14" t="e">
        <f>=Round(0.00000000,0)</f>
        <v>#VALUE!</v>
      </c>
    </row>
    <row r="498">
      <c r="A498" s="11" t="s">
        <v>47</v>
      </c>
      <c r="B498" s="12">
        <v>3597.4992</v>
      </c>
      <c r="C498" s="12">
        <v>0</v>
      </c>
      <c r="D498" s="13">
        <v>0</v>
      </c>
      <c r="E498" s="12">
        <v>0</v>
      </c>
      <c r="F498" s="14">
        <v>0</v>
      </c>
      <c r="G498" s="13">
        <v>6648.1089</v>
      </c>
      <c r="H498" s="14">
        <v>23916566.449263</v>
      </c>
      <c r="I498" s="14" t="e">
        <f>=Round(539.00510000,0)</f>
        <v>#VALUE!</v>
      </c>
      <c r="J498" s="14" t="e">
        <f>=Round(0.00000000,0)</f>
        <v>#VALUE!</v>
      </c>
    </row>
    <row r="499">
      <c r="A499" s="11" t="s">
        <v>48</v>
      </c>
      <c r="B499" s="12">
        <v>3598.1558</v>
      </c>
      <c r="C499" s="12">
        <v>0</v>
      </c>
      <c r="D499" s="13">
        <v>0</v>
      </c>
      <c r="E499" s="12">
        <v>0</v>
      </c>
      <c r="F499" s="14">
        <v>0</v>
      </c>
      <c r="G499" s="13">
        <v>6648.1089</v>
      </c>
      <c r="H499" s="14">
        <v>23920931.597567</v>
      </c>
      <c r="I499" s="14" t="e">
        <f>=Round(539.10290000,0)</f>
        <v>#VALUE!</v>
      </c>
      <c r="J499" s="14" t="e">
        <f>=Round(0.00000000,0)</f>
        <v>#VALUE!</v>
      </c>
    </row>
    <row r="500">
      <c r="A500" s="11" t="s">
        <v>49</v>
      </c>
      <c r="B500" s="12">
        <v>3598.1558</v>
      </c>
      <c r="C500" s="12">
        <v>0</v>
      </c>
      <c r="D500" s="13">
        <v>0</v>
      </c>
      <c r="E500" s="12">
        <v>0</v>
      </c>
      <c r="F500" s="14">
        <v>0</v>
      </c>
      <c r="G500" s="13">
        <v>6648.1089</v>
      </c>
      <c r="H500" s="14">
        <v>23920931.597567</v>
      </c>
      <c r="I500" s="14" t="e">
        <f>=Round(539.20130000,0)</f>
        <v>#VALUE!</v>
      </c>
      <c r="J500" s="14" t="e">
        <f>=Round(0.00000000,0)</f>
        <v>#VALUE!</v>
      </c>
    </row>
    <row r="501">
      <c r="A501" s="11" t="s">
        <v>50</v>
      </c>
      <c r="B501" s="12">
        <v>3598.1558</v>
      </c>
      <c r="C501" s="12">
        <v>0</v>
      </c>
      <c r="D501" s="13">
        <v>0</v>
      </c>
      <c r="E501" s="12">
        <v>0</v>
      </c>
      <c r="F501" s="14">
        <v>0</v>
      </c>
      <c r="G501" s="13">
        <v>6648.1089</v>
      </c>
      <c r="H501" s="14">
        <v>23920931.597567</v>
      </c>
      <c r="I501" s="14" t="e">
        <f>=Round(539.20130000,0)</f>
        <v>#VALUE!</v>
      </c>
      <c r="J501" s="14" t="e">
        <f>=Round(0.00000000,0)</f>
        <v>#VALUE!</v>
      </c>
    </row>
    <row r="502">
      <c r="A502" s="11" t="s">
        <v>51</v>
      </c>
      <c r="B502" s="12">
        <v>3600.124</v>
      </c>
      <c r="C502" s="12">
        <v>0</v>
      </c>
      <c r="D502" s="13">
        <v>0</v>
      </c>
      <c r="E502" s="12">
        <v>0</v>
      </c>
      <c r="F502" s="14">
        <v>0</v>
      </c>
      <c r="G502" s="13">
        <v>6648.1089</v>
      </c>
      <c r="H502" s="14">
        <v>23934016.405504</v>
      </c>
      <c r="I502" s="14" t="e">
        <f>=Round(539.20130000,0)</f>
        <v>#VALUE!</v>
      </c>
      <c r="J502" s="14" t="e">
        <f>=Round(0.00000000,0)</f>
        <v>#VALUE!</v>
      </c>
    </row>
    <row r="503">
      <c r="A503" s="11" t="s">
        <v>52</v>
      </c>
      <c r="B503" s="12">
        <v>3600.7905</v>
      </c>
      <c r="C503" s="12">
        <v>0</v>
      </c>
      <c r="D503" s="13">
        <v>0</v>
      </c>
      <c r="E503" s="12">
        <v>0</v>
      </c>
      <c r="F503" s="14">
        <v>0</v>
      </c>
      <c r="G503" s="13">
        <v>6648.1089</v>
      </c>
      <c r="H503" s="14">
        <v>23938447.370085</v>
      </c>
      <c r="I503" s="14" t="e">
        <f>=Round(539.49630000,0)</f>
        <v>#VALUE!</v>
      </c>
      <c r="J503" s="14" t="e">
        <f>=Round(0.00000000,0)</f>
        <v>#VALUE!</v>
      </c>
    </row>
    <row r="504">
      <c r="A504" s="11" t="s">
        <v>53</v>
      </c>
      <c r="B504" s="12">
        <v>3601.445</v>
      </c>
      <c r="C504" s="12">
        <v>0</v>
      </c>
      <c r="D504" s="13">
        <v>0</v>
      </c>
      <c r="E504" s="12">
        <v>0</v>
      </c>
      <c r="F504" s="14">
        <v>0</v>
      </c>
      <c r="G504" s="13">
        <v>6648.1089</v>
      </c>
      <c r="H504" s="14">
        <v>23942798.557361</v>
      </c>
      <c r="I504" s="14" t="e">
        <f>=Round(539.59610000,0)</f>
        <v>#VALUE!</v>
      </c>
      <c r="J504" s="14" t="e">
        <f>=Round(0.00000000,0)</f>
        <v>#VALUE!</v>
      </c>
    </row>
    <row r="505">
      <c r="A505" s="11" t="s">
        <v>54</v>
      </c>
      <c r="B505" s="12">
        <v>3602.0851</v>
      </c>
      <c r="C505" s="12">
        <v>0</v>
      </c>
      <c r="D505" s="13">
        <v>0</v>
      </c>
      <c r="E505" s="12">
        <v>0</v>
      </c>
      <c r="F505" s="14">
        <v>0</v>
      </c>
      <c r="G505" s="13">
        <v>6648.1089</v>
      </c>
      <c r="H505" s="14">
        <v>23947054.011867</v>
      </c>
      <c r="I505" s="14" t="e">
        <f>=Round(539.69420000,0)</f>
        <v>#VALUE!</v>
      </c>
      <c r="J505" s="14" t="e">
        <f>=Round(0.00000000,0)</f>
        <v>#VALUE!</v>
      </c>
    </row>
    <row r="506">
      <c r="A506" s="11" t="s">
        <v>55</v>
      </c>
      <c r="B506" s="12">
        <v>3602.7417</v>
      </c>
      <c r="C506" s="12">
        <v>0</v>
      </c>
      <c r="D506" s="13">
        <v>0</v>
      </c>
      <c r="E506" s="12">
        <v>0</v>
      </c>
      <c r="F506" s="14">
        <v>0</v>
      </c>
      <c r="G506" s="13">
        <v>6648.1089</v>
      </c>
      <c r="H506" s="14">
        <v>23951419.160171</v>
      </c>
      <c r="I506" s="14" t="e">
        <f>=Round(539.79020000,0)</f>
        <v>#VALUE!</v>
      </c>
      <c r="J506" s="14" t="e">
        <f>=Round(0.00000000,0)</f>
        <v>#VALUE!</v>
      </c>
    </row>
    <row r="507" ht="-1">
      <c r="A507" s="15"/>
      <c r="B507" s="16" t="s">
        <v>56</v>
      </c>
      <c r="C507" s="15"/>
      <c r="D507" s="15"/>
      <c r="E507" s="15"/>
      <c r="F507" s="15"/>
      <c r="G507" s="15"/>
      <c r="H507" s="15"/>
      <c r="I507" s="17" t="e">
        <f>=Round(SUM(I481:I506),0)</f>
        <v>#VALUE!</v>
      </c>
      <c r="J507" s="17" t="e">
        <f>=Round(SUM(J481:J506),0)</f>
        <v>#VALUE!</v>
      </c>
    </row>
    <row r="508">
      <c r="A508" s="1" t="s">
        <v>0</v>
      </c>
      <c r="B508" s="1"/>
      <c r="C508" s="1"/>
      <c r="D508" s="1"/>
    </row>
    <row r="509">
      <c r="A509" s="0" t="s">
        <v>1</v>
      </c>
      <c r="C509" s="0" t="s">
        <v>2</v>
      </c>
      <c r="H509" s="2" t="s">
        <v>3</v>
      </c>
    </row>
    <row r="510">
      <c r="A510" s="0" t="s">
        <v>4</v>
      </c>
      <c r="C510" s="0" t="s">
        <v>69</v>
      </c>
      <c r="H510" s="3" t="s">
        <v>6</v>
      </c>
    </row>
    <row r="511">
      <c r="A511" s="0" t="s">
        <v>7</v>
      </c>
      <c r="C511" s="4" t="s">
        <v>8</v>
      </c>
      <c r="H511" s="2" t="s">
        <v>9</v>
      </c>
    </row>
    <row r="512">
      <c r="A512" s="0" t="s">
        <v>10</v>
      </c>
      <c r="C512" s="4" t="s">
        <v>11</v>
      </c>
      <c r="H512" s="2" t="s">
        <v>12</v>
      </c>
    </row>
    <row r="513">
      <c r="A513" s="0" t="s">
        <v>13</v>
      </c>
      <c r="C513" s="0" t="s">
        <v>14</v>
      </c>
    </row>
    <row r="514">
      <c r="A514" s="0" t="s">
        <v>15</v>
      </c>
      <c r="C514" s="0" t="s">
        <v>16</v>
      </c>
    </row>
    <row r="515">
      <c r="A515" s="0" t="s">
        <v>17</v>
      </c>
      <c r="C515" s="0" t="s">
        <v>18</v>
      </c>
    </row>
    <row r="518">
      <c r="A518" s="5" t="s">
        <v>19</v>
      </c>
      <c r="B518" s="5" t="s">
        <v>20</v>
      </c>
      <c r="C518" s="7" t="s">
        <v>21</v>
      </c>
      <c r="D518" s="9"/>
      <c r="E518" s="7" t="s">
        <v>22</v>
      </c>
      <c r="F518" s="9"/>
      <c r="G518" s="5" t="s">
        <v>23</v>
      </c>
      <c r="H518" s="5" t="s">
        <v>24</v>
      </c>
      <c r="I518" s="5" t="s">
        <v>25</v>
      </c>
      <c r="J518" s="5" t="s">
        <v>26</v>
      </c>
    </row>
    <row r="519">
      <c r="A519" s="6"/>
      <c r="B519" s="6"/>
      <c r="C519" s="8" t="s">
        <v>27</v>
      </c>
      <c r="D519" s="8" t="s">
        <v>28</v>
      </c>
      <c r="E519" s="8" t="s">
        <v>27</v>
      </c>
      <c r="F519" s="8" t="s">
        <v>28</v>
      </c>
      <c r="G519" s="6"/>
      <c r="H519" s="6"/>
      <c r="I519" s="10" t="s">
        <v>29</v>
      </c>
      <c r="J519" s="6"/>
    </row>
    <row r="520">
      <c r="A520" s="11" t="s">
        <v>30</v>
      </c>
      <c r="B520" s="12">
        <v>3586.4187</v>
      </c>
      <c r="C520" s="12">
        <v>0</v>
      </c>
      <c r="D520" s="13">
        <v>0</v>
      </c>
      <c r="E520" s="12">
        <v>0</v>
      </c>
      <c r="F520" s="14">
        <v>0</v>
      </c>
      <c r="G520" s="13">
        <v>8257.664</v>
      </c>
      <c r="H520" s="14">
        <v>29615440.587917</v>
      </c>
      <c r="I520" s="14" t="e">
        <f>=Round(667.19410000,0)</f>
        <v>#VALUE!</v>
      </c>
      <c r="J520" s="14" t="e">
        <f>=Round(0.00000000,0)</f>
        <v>#VALUE!</v>
      </c>
    </row>
    <row r="521">
      <c r="A521" s="11" t="s">
        <v>31</v>
      </c>
      <c r="B521" s="12">
        <v>3587.0477</v>
      </c>
      <c r="C521" s="12">
        <v>0</v>
      </c>
      <c r="D521" s="13">
        <v>0</v>
      </c>
      <c r="E521" s="12">
        <v>0</v>
      </c>
      <c r="F521" s="14">
        <v>0</v>
      </c>
      <c r="G521" s="13">
        <v>8257.664</v>
      </c>
      <c r="H521" s="14">
        <v>29620634.658573</v>
      </c>
      <c r="I521" s="14" t="e">
        <f>=Round(667.56120000,0)</f>
        <v>#VALUE!</v>
      </c>
      <c r="J521" s="14" t="e">
        <f>=Round(0.00000000,0)</f>
        <v>#VALUE!</v>
      </c>
    </row>
    <row r="522">
      <c r="A522" s="11" t="s">
        <v>32</v>
      </c>
      <c r="B522" s="12">
        <v>3587.6685</v>
      </c>
      <c r="C522" s="12">
        <v>0</v>
      </c>
      <c r="D522" s="13">
        <v>0</v>
      </c>
      <c r="E522" s="12">
        <v>0</v>
      </c>
      <c r="F522" s="14">
        <v>0</v>
      </c>
      <c r="G522" s="13">
        <v>8257.664</v>
      </c>
      <c r="H522" s="14">
        <v>29625761.016384</v>
      </c>
      <c r="I522" s="14" t="e">
        <f>=Round(667.67820000,0)</f>
        <v>#VALUE!</v>
      </c>
      <c r="J522" s="14" t="e">
        <f>=Round(0.00000000,0)</f>
        <v>#VALUE!</v>
      </c>
    </row>
    <row r="523">
      <c r="A523" s="11" t="s">
        <v>33</v>
      </c>
      <c r="B523" s="12">
        <v>3588.3573</v>
      </c>
      <c r="C523" s="12">
        <v>0</v>
      </c>
      <c r="D523" s="13">
        <v>0</v>
      </c>
      <c r="E523" s="12">
        <v>0</v>
      </c>
      <c r="F523" s="14">
        <v>0</v>
      </c>
      <c r="G523" s="13">
        <v>8257.664</v>
      </c>
      <c r="H523" s="14">
        <v>29631448.895347</v>
      </c>
      <c r="I523" s="14" t="e">
        <f>=Round(667.79380000,0)</f>
        <v>#VALUE!</v>
      </c>
      <c r="J523" s="14" t="e">
        <f>=Round(0.00000000,0)</f>
        <v>#VALUE!</v>
      </c>
    </row>
    <row r="524">
      <c r="A524" s="11" t="s">
        <v>34</v>
      </c>
      <c r="B524" s="12">
        <v>3589.0109</v>
      </c>
      <c r="C524" s="12">
        <v>0</v>
      </c>
      <c r="D524" s="13">
        <v>0</v>
      </c>
      <c r="E524" s="12">
        <v>0</v>
      </c>
      <c r="F524" s="14">
        <v>0</v>
      </c>
      <c r="G524" s="13">
        <v>8257.664</v>
      </c>
      <c r="H524" s="14">
        <v>29636846.104538</v>
      </c>
      <c r="I524" s="14" t="e">
        <f>=Round(667.92200000,0)</f>
        <v>#VALUE!</v>
      </c>
      <c r="J524" s="14" t="e">
        <f>=Round(0.00000000,0)</f>
        <v>#VALUE!</v>
      </c>
    </row>
    <row r="525">
      <c r="A525" s="11" t="s">
        <v>35</v>
      </c>
      <c r="B525" s="12">
        <v>3589.0109</v>
      </c>
      <c r="C525" s="12">
        <v>0</v>
      </c>
      <c r="D525" s="13">
        <v>0</v>
      </c>
      <c r="E525" s="12">
        <v>0</v>
      </c>
      <c r="F525" s="14">
        <v>0</v>
      </c>
      <c r="G525" s="13">
        <v>8257.664</v>
      </c>
      <c r="H525" s="14">
        <v>29636846.104538</v>
      </c>
      <c r="I525" s="14" t="e">
        <f>=Round(668.04370000,0)</f>
        <v>#VALUE!</v>
      </c>
      <c r="J525" s="14" t="e">
        <f>=Round(0.00000000,0)</f>
        <v>#VALUE!</v>
      </c>
    </row>
    <row r="526">
      <c r="A526" s="11" t="s">
        <v>36</v>
      </c>
      <c r="B526" s="12">
        <v>3589.0109</v>
      </c>
      <c r="C526" s="12">
        <v>0</v>
      </c>
      <c r="D526" s="13">
        <v>0</v>
      </c>
      <c r="E526" s="12">
        <v>0</v>
      </c>
      <c r="F526" s="14">
        <v>0</v>
      </c>
      <c r="G526" s="13">
        <v>8257.664</v>
      </c>
      <c r="H526" s="14">
        <v>29636846.104538</v>
      </c>
      <c r="I526" s="14" t="e">
        <f>=Round(668.04370000,0)</f>
        <v>#VALUE!</v>
      </c>
      <c r="J526" s="14" t="e">
        <f>=Round(0.00000000,0)</f>
        <v>#VALUE!</v>
      </c>
    </row>
    <row r="527">
      <c r="A527" s="11" t="s">
        <v>37</v>
      </c>
      <c r="B527" s="12">
        <v>3590.972</v>
      </c>
      <c r="C527" s="12">
        <v>0</v>
      </c>
      <c r="D527" s="13">
        <v>0</v>
      </c>
      <c r="E527" s="12">
        <v>0</v>
      </c>
      <c r="F527" s="14">
        <v>0</v>
      </c>
      <c r="G527" s="13">
        <v>8257.664</v>
      </c>
      <c r="H527" s="14">
        <v>29653040.209408</v>
      </c>
      <c r="I527" s="14" t="e">
        <f>=Round(668.04370000,0)</f>
        <v>#VALUE!</v>
      </c>
      <c r="J527" s="14" t="e">
        <f>=Round(0.00000000,0)</f>
        <v>#VALUE!</v>
      </c>
    </row>
    <row r="528">
      <c r="A528" s="11" t="s">
        <v>38</v>
      </c>
      <c r="B528" s="12">
        <v>3591.6235</v>
      </c>
      <c r="C528" s="12">
        <v>0</v>
      </c>
      <c r="D528" s="13">
        <v>0</v>
      </c>
      <c r="E528" s="12">
        <v>0</v>
      </c>
      <c r="F528" s="14">
        <v>0</v>
      </c>
      <c r="G528" s="13">
        <v>8257.664</v>
      </c>
      <c r="H528" s="14">
        <v>29658420.077504</v>
      </c>
      <c r="I528" s="14" t="e">
        <f>=Round(668.40870000,0)</f>
        <v>#VALUE!</v>
      </c>
      <c r="J528" s="14" t="e">
        <f>=Round(0.00000000,0)</f>
        <v>#VALUE!</v>
      </c>
    </row>
    <row r="529">
      <c r="A529" s="11" t="s">
        <v>39</v>
      </c>
      <c r="B529" s="12">
        <v>3592.281</v>
      </c>
      <c r="C529" s="12">
        <v>0</v>
      </c>
      <c r="D529" s="13">
        <v>0</v>
      </c>
      <c r="E529" s="12">
        <v>0</v>
      </c>
      <c r="F529" s="14">
        <v>0</v>
      </c>
      <c r="G529" s="13">
        <v>8257.664</v>
      </c>
      <c r="H529" s="14">
        <v>29663849.491584</v>
      </c>
      <c r="I529" s="14" t="e">
        <f>=Round(668.53000000,0)</f>
        <v>#VALUE!</v>
      </c>
      <c r="J529" s="14" t="e">
        <f>=Round(0.00000000,0)</f>
        <v>#VALUE!</v>
      </c>
    </row>
    <row r="530">
      <c r="A530" s="11" t="s">
        <v>40</v>
      </c>
      <c r="B530" s="12">
        <v>3592.9125</v>
      </c>
      <c r="C530" s="12">
        <v>0</v>
      </c>
      <c r="D530" s="13">
        <v>0</v>
      </c>
      <c r="E530" s="12">
        <v>0</v>
      </c>
      <c r="F530" s="14">
        <v>0</v>
      </c>
      <c r="G530" s="13">
        <v>8257.664</v>
      </c>
      <c r="H530" s="14">
        <v>29669064.2064</v>
      </c>
      <c r="I530" s="14" t="e">
        <f>=Round(668.65230000,0)</f>
        <v>#VALUE!</v>
      </c>
      <c r="J530" s="14" t="e">
        <f>=Round(0.00000000,0)</f>
        <v>#VALUE!</v>
      </c>
    </row>
    <row r="531">
      <c r="A531" s="11" t="s">
        <v>41</v>
      </c>
      <c r="B531" s="12">
        <v>3593.5674</v>
      </c>
      <c r="C531" s="12">
        <v>0</v>
      </c>
      <c r="D531" s="13">
        <v>0</v>
      </c>
      <c r="E531" s="12">
        <v>0</v>
      </c>
      <c r="F531" s="14">
        <v>0</v>
      </c>
      <c r="G531" s="13">
        <v>8257.664</v>
      </c>
      <c r="H531" s="14">
        <v>29674472.150554</v>
      </c>
      <c r="I531" s="14" t="e">
        <f>=Round(668.76990000,0)</f>
        <v>#VALUE!</v>
      </c>
      <c r="J531" s="14" t="e">
        <f>=Round(0.00000000,0)</f>
        <v>#VALUE!</v>
      </c>
    </row>
    <row r="532">
      <c r="A532" s="11" t="s">
        <v>42</v>
      </c>
      <c r="B532" s="12">
        <v>3593.5674</v>
      </c>
      <c r="C532" s="12">
        <v>0</v>
      </c>
      <c r="D532" s="13">
        <v>0</v>
      </c>
      <c r="E532" s="12">
        <v>0</v>
      </c>
      <c r="F532" s="14">
        <v>0</v>
      </c>
      <c r="G532" s="13">
        <v>8257.664</v>
      </c>
      <c r="H532" s="14">
        <v>29674472.150554</v>
      </c>
      <c r="I532" s="14" t="e">
        <f>=Round(668.89180000,0)</f>
        <v>#VALUE!</v>
      </c>
      <c r="J532" s="14" t="e">
        <f>=Round(0.00000000,0)</f>
        <v>#VALUE!</v>
      </c>
    </row>
    <row r="533">
      <c r="A533" s="11" t="s">
        <v>43</v>
      </c>
      <c r="B533" s="12">
        <v>3593.5674</v>
      </c>
      <c r="C533" s="12">
        <v>0</v>
      </c>
      <c r="D533" s="13">
        <v>0</v>
      </c>
      <c r="E533" s="12">
        <v>0</v>
      </c>
      <c r="F533" s="14">
        <v>0</v>
      </c>
      <c r="G533" s="13">
        <v>8257.664</v>
      </c>
      <c r="H533" s="14">
        <v>29674472.150554</v>
      </c>
      <c r="I533" s="14" t="e">
        <f>=Round(668.89180000,0)</f>
        <v>#VALUE!</v>
      </c>
      <c r="J533" s="14" t="e">
        <f>=Round(0.00000000,0)</f>
        <v>#VALUE!</v>
      </c>
    </row>
    <row r="534">
      <c r="A534" s="11" t="s">
        <v>44</v>
      </c>
      <c r="B534" s="12">
        <v>3595.5366</v>
      </c>
      <c r="C534" s="12">
        <v>0</v>
      </c>
      <c r="D534" s="13">
        <v>0</v>
      </c>
      <c r="E534" s="12">
        <v>0</v>
      </c>
      <c r="F534" s="14">
        <v>0</v>
      </c>
      <c r="G534" s="13">
        <v>8257.664</v>
      </c>
      <c r="H534" s="14">
        <v>29690733.142502</v>
      </c>
      <c r="I534" s="14" t="e">
        <f>=Round(668.89180000,0)</f>
        <v>#VALUE!</v>
      </c>
      <c r="J534" s="14" t="e">
        <f>=Round(0.00000000,0)</f>
        <v>#VALUE!</v>
      </c>
    </row>
    <row r="535">
      <c r="A535" s="11" t="s">
        <v>45</v>
      </c>
      <c r="B535" s="12">
        <v>3596.1915</v>
      </c>
      <c r="C535" s="12">
        <v>0</v>
      </c>
      <c r="D535" s="13">
        <v>0</v>
      </c>
      <c r="E535" s="12">
        <v>0</v>
      </c>
      <c r="F535" s="14">
        <v>0</v>
      </c>
      <c r="G535" s="13">
        <v>8257.664</v>
      </c>
      <c r="H535" s="14">
        <v>29696141.086656</v>
      </c>
      <c r="I535" s="14" t="e">
        <f>=Round(669.25830000,0)</f>
        <v>#VALUE!</v>
      </c>
      <c r="J535" s="14" t="e">
        <f>=Round(0.00000000,0)</f>
        <v>#VALUE!</v>
      </c>
    </row>
    <row r="536">
      <c r="A536" s="11" t="s">
        <v>46</v>
      </c>
      <c r="B536" s="12">
        <v>3596.8461</v>
      </c>
      <c r="C536" s="12">
        <v>0</v>
      </c>
      <c r="D536" s="13">
        <v>0</v>
      </c>
      <c r="E536" s="12">
        <v>0</v>
      </c>
      <c r="F536" s="14">
        <v>0</v>
      </c>
      <c r="G536" s="13">
        <v>8257.664</v>
      </c>
      <c r="H536" s="14">
        <v>29701546.55351</v>
      </c>
      <c r="I536" s="14" t="e">
        <f>=Round(669.38020000,0)</f>
        <v>#VALUE!</v>
      </c>
      <c r="J536" s="14" t="e">
        <f>=Round(0.00000000,0)</f>
        <v>#VALUE!</v>
      </c>
    </row>
    <row r="537">
      <c r="A537" s="11" t="s">
        <v>47</v>
      </c>
      <c r="B537" s="12">
        <v>3597.4992</v>
      </c>
      <c r="C537" s="12">
        <v>0</v>
      </c>
      <c r="D537" s="13">
        <v>0</v>
      </c>
      <c r="E537" s="12">
        <v>0</v>
      </c>
      <c r="F537" s="14">
        <v>0</v>
      </c>
      <c r="G537" s="13">
        <v>8257.664</v>
      </c>
      <c r="H537" s="14">
        <v>29706939.633869</v>
      </c>
      <c r="I537" s="14" t="e">
        <f>=Round(669.50210000,0)</f>
        <v>#VALUE!</v>
      </c>
      <c r="J537" s="14" t="e">
        <f>=Round(0.00000000,0)</f>
        <v>#VALUE!</v>
      </c>
    </row>
    <row r="538">
      <c r="A538" s="11" t="s">
        <v>48</v>
      </c>
      <c r="B538" s="12">
        <v>3598.1558</v>
      </c>
      <c r="C538" s="12">
        <v>0</v>
      </c>
      <c r="D538" s="13">
        <v>0</v>
      </c>
      <c r="E538" s="12">
        <v>0</v>
      </c>
      <c r="F538" s="14">
        <v>0</v>
      </c>
      <c r="G538" s="13">
        <v>8257.664</v>
      </c>
      <c r="H538" s="14">
        <v>29712361.616051</v>
      </c>
      <c r="I538" s="14" t="e">
        <f>=Round(669.62360000,0)</f>
        <v>#VALUE!</v>
      </c>
      <c r="J538" s="14" t="e">
        <f>=Round(0.00000000,0)</f>
        <v>#VALUE!</v>
      </c>
    </row>
    <row r="539">
      <c r="A539" s="11" t="s">
        <v>49</v>
      </c>
      <c r="B539" s="12">
        <v>3598.1558</v>
      </c>
      <c r="C539" s="12">
        <v>0</v>
      </c>
      <c r="D539" s="13">
        <v>0</v>
      </c>
      <c r="E539" s="12">
        <v>0</v>
      </c>
      <c r="F539" s="14">
        <v>0</v>
      </c>
      <c r="G539" s="13">
        <v>8257.664</v>
      </c>
      <c r="H539" s="14">
        <v>29712361.616051</v>
      </c>
      <c r="I539" s="14" t="e">
        <f>=Round(669.74590000,0)</f>
        <v>#VALUE!</v>
      </c>
      <c r="J539" s="14" t="e">
        <f>=Round(0.00000000,0)</f>
        <v>#VALUE!</v>
      </c>
    </row>
    <row r="540">
      <c r="A540" s="11" t="s">
        <v>50</v>
      </c>
      <c r="B540" s="12">
        <v>3598.1558</v>
      </c>
      <c r="C540" s="12">
        <v>0</v>
      </c>
      <c r="D540" s="13">
        <v>0</v>
      </c>
      <c r="E540" s="12">
        <v>0</v>
      </c>
      <c r="F540" s="14">
        <v>0</v>
      </c>
      <c r="G540" s="13">
        <v>8257.664</v>
      </c>
      <c r="H540" s="14">
        <v>29712361.616051</v>
      </c>
      <c r="I540" s="14" t="e">
        <f>=Round(669.74590000,0)</f>
        <v>#VALUE!</v>
      </c>
      <c r="J540" s="14" t="e">
        <f>=Round(0.00000000,0)</f>
        <v>#VALUE!</v>
      </c>
    </row>
    <row r="541">
      <c r="A541" s="11" t="s">
        <v>51</v>
      </c>
      <c r="B541" s="12">
        <v>3600.124</v>
      </c>
      <c r="C541" s="12">
        <v>0</v>
      </c>
      <c r="D541" s="13">
        <v>0</v>
      </c>
      <c r="E541" s="12">
        <v>0</v>
      </c>
      <c r="F541" s="14">
        <v>0</v>
      </c>
      <c r="G541" s="13">
        <v>8257.664</v>
      </c>
      <c r="H541" s="14">
        <v>29728614.350336</v>
      </c>
      <c r="I541" s="14" t="e">
        <f>=Round(669.74590000,0)</f>
        <v>#VALUE!</v>
      </c>
      <c r="J541" s="14" t="e">
        <f>=Round(0.00000000,0)</f>
        <v>#VALUE!</v>
      </c>
    </row>
    <row r="542">
      <c r="A542" s="11" t="s">
        <v>52</v>
      </c>
      <c r="B542" s="12">
        <v>3600.7905</v>
      </c>
      <c r="C542" s="12">
        <v>0</v>
      </c>
      <c r="D542" s="13">
        <v>0</v>
      </c>
      <c r="E542" s="12">
        <v>0</v>
      </c>
      <c r="F542" s="14">
        <v>0</v>
      </c>
      <c r="G542" s="13">
        <v>8257.664</v>
      </c>
      <c r="H542" s="14">
        <v>29734118.083392</v>
      </c>
      <c r="I542" s="14" t="e">
        <f>=Round(670.11220000,0)</f>
        <v>#VALUE!</v>
      </c>
      <c r="J542" s="14" t="e">
        <f>=Round(0.00000000,0)</f>
        <v>#VALUE!</v>
      </c>
    </row>
    <row r="543">
      <c r="A543" s="11" t="s">
        <v>53</v>
      </c>
      <c r="B543" s="12">
        <v>3601.445</v>
      </c>
      <c r="C543" s="12">
        <v>0</v>
      </c>
      <c r="D543" s="13">
        <v>0</v>
      </c>
      <c r="E543" s="12">
        <v>0</v>
      </c>
      <c r="F543" s="14">
        <v>0</v>
      </c>
      <c r="G543" s="13">
        <v>8257.664</v>
      </c>
      <c r="H543" s="14">
        <v>29739522.72448</v>
      </c>
      <c r="I543" s="14" t="e">
        <f>=Round(670.23630000,0)</f>
        <v>#VALUE!</v>
      </c>
      <c r="J543" s="14" t="e">
        <f>=Round(0.00000000,0)</f>
        <v>#VALUE!</v>
      </c>
    </row>
    <row r="544">
      <c r="A544" s="11" t="s">
        <v>54</v>
      </c>
      <c r="B544" s="12">
        <v>3602.0851</v>
      </c>
      <c r="C544" s="12">
        <v>0</v>
      </c>
      <c r="D544" s="13">
        <v>0</v>
      </c>
      <c r="E544" s="12">
        <v>0</v>
      </c>
      <c r="F544" s="14">
        <v>0</v>
      </c>
      <c r="G544" s="13">
        <v>8257.664</v>
      </c>
      <c r="H544" s="14">
        <v>29744808.455206</v>
      </c>
      <c r="I544" s="14" t="e">
        <f>=Round(670.35810000,0)</f>
        <v>#VALUE!</v>
      </c>
      <c r="J544" s="14" t="e">
        <f>=Round(0.00000000,0)</f>
        <v>#VALUE!</v>
      </c>
    </row>
    <row r="545">
      <c r="A545" s="11" t="s">
        <v>55</v>
      </c>
      <c r="B545" s="12">
        <v>3602.7417</v>
      </c>
      <c r="C545" s="12">
        <v>0</v>
      </c>
      <c r="D545" s="13">
        <v>0</v>
      </c>
      <c r="E545" s="12">
        <v>0</v>
      </c>
      <c r="F545" s="14">
        <v>0</v>
      </c>
      <c r="G545" s="13">
        <v>8257.664</v>
      </c>
      <c r="H545" s="14">
        <v>29750230.437389</v>
      </c>
      <c r="I545" s="14" t="e">
        <f>=Round(670.47720000,0)</f>
        <v>#VALUE!</v>
      </c>
      <c r="J545" s="14" t="e">
        <f>=Round(0.00000000,0)</f>
        <v>#VALUE!</v>
      </c>
    </row>
    <row r="546" ht="-1">
      <c r="A546" s="15"/>
      <c r="B546" s="16" t="s">
        <v>56</v>
      </c>
      <c r="C546" s="15"/>
      <c r="D546" s="15"/>
      <c r="E546" s="15"/>
      <c r="F546" s="15"/>
      <c r="G546" s="15"/>
      <c r="H546" s="15"/>
      <c r="I546" s="17" t="e">
        <f>=Round(SUM(I520:I545),0)</f>
        <v>#VALUE!</v>
      </c>
      <c r="J546" s="17" t="e">
        <f>=Round(SUM(J520:J545),0)</f>
        <v>#VALUE!</v>
      </c>
    </row>
    <row r="547">
      <c r="A547" s="1" t="s">
        <v>0</v>
      </c>
      <c r="B547" s="1"/>
      <c r="C547" s="1"/>
      <c r="D547" s="1"/>
    </row>
    <row r="548">
      <c r="A548" s="0" t="s">
        <v>1</v>
      </c>
      <c r="C548" s="0" t="s">
        <v>2</v>
      </c>
      <c r="H548" s="2" t="s">
        <v>3</v>
      </c>
    </row>
    <row r="549">
      <c r="A549" s="0" t="s">
        <v>4</v>
      </c>
      <c r="C549" s="0" t="s">
        <v>70</v>
      </c>
      <c r="H549" s="3" t="s">
        <v>6</v>
      </c>
    </row>
    <row r="550">
      <c r="A550" s="0" t="s">
        <v>7</v>
      </c>
      <c r="C550" s="4" t="s">
        <v>8</v>
      </c>
      <c r="H550" s="2" t="s">
        <v>9</v>
      </c>
    </row>
    <row r="551">
      <c r="A551" s="0" t="s">
        <v>10</v>
      </c>
      <c r="C551" s="4" t="s">
        <v>11</v>
      </c>
      <c r="H551" s="2" t="s">
        <v>12</v>
      </c>
    </row>
    <row r="552">
      <c r="A552" s="0" t="s">
        <v>13</v>
      </c>
      <c r="C552" s="0" t="s">
        <v>14</v>
      </c>
    </row>
    <row r="553">
      <c r="A553" s="0" t="s">
        <v>15</v>
      </c>
      <c r="C553" s="0" t="s">
        <v>16</v>
      </c>
    </row>
    <row r="554">
      <c r="A554" s="0" t="s">
        <v>17</v>
      </c>
      <c r="C554" s="0" t="s">
        <v>18</v>
      </c>
    </row>
    <row r="557">
      <c r="A557" s="5" t="s">
        <v>19</v>
      </c>
      <c r="B557" s="5" t="s">
        <v>20</v>
      </c>
      <c r="C557" s="7" t="s">
        <v>21</v>
      </c>
      <c r="D557" s="9"/>
      <c r="E557" s="7" t="s">
        <v>22</v>
      </c>
      <c r="F557" s="9"/>
      <c r="G557" s="5" t="s">
        <v>23</v>
      </c>
      <c r="H557" s="5" t="s">
        <v>24</v>
      </c>
      <c r="I557" s="5" t="s">
        <v>25</v>
      </c>
      <c r="J557" s="5" t="s">
        <v>26</v>
      </c>
    </row>
    <row r="558">
      <c r="A558" s="6"/>
      <c r="B558" s="6"/>
      <c r="C558" s="8" t="s">
        <v>27</v>
      </c>
      <c r="D558" s="8" t="s">
        <v>28</v>
      </c>
      <c r="E558" s="8" t="s">
        <v>27</v>
      </c>
      <c r="F558" s="8" t="s">
        <v>28</v>
      </c>
      <c r="G558" s="6"/>
      <c r="H558" s="6"/>
      <c r="I558" s="10" t="s">
        <v>29</v>
      </c>
      <c r="J558" s="6"/>
    </row>
    <row r="559">
      <c r="A559" s="11" t="s">
        <v>30</v>
      </c>
      <c r="B559" s="12">
        <v>3586.4187</v>
      </c>
      <c r="C559" s="12">
        <v>0</v>
      </c>
      <c r="D559" s="13">
        <v>0</v>
      </c>
      <c r="E559" s="12">
        <v>0</v>
      </c>
      <c r="F559" s="14">
        <v>0</v>
      </c>
      <c r="G559" s="13">
        <v>8421.6325</v>
      </c>
      <c r="H559" s="14">
        <v>30203500.282528</v>
      </c>
      <c r="I559" s="14" t="e">
        <f>=Round(680.44220000,0)</f>
        <v>#VALUE!</v>
      </c>
      <c r="J559" s="14" t="e">
        <f>=Round(0.00000000,0)</f>
        <v>#VALUE!</v>
      </c>
    </row>
    <row r="560">
      <c r="A560" s="11" t="s">
        <v>31</v>
      </c>
      <c r="B560" s="12">
        <v>3587.0477</v>
      </c>
      <c r="C560" s="12">
        <v>0</v>
      </c>
      <c r="D560" s="13">
        <v>0</v>
      </c>
      <c r="E560" s="12">
        <v>0</v>
      </c>
      <c r="F560" s="14">
        <v>0</v>
      </c>
      <c r="G560" s="13">
        <v>8421.6325</v>
      </c>
      <c r="H560" s="14">
        <v>30208797.48937</v>
      </c>
      <c r="I560" s="14" t="e">
        <f>=Round(680.81660000,0)</f>
        <v>#VALUE!</v>
      </c>
      <c r="J560" s="14" t="e">
        <f>=Round(0.00000000,0)</f>
        <v>#VALUE!</v>
      </c>
    </row>
    <row r="561">
      <c r="A561" s="11" t="s">
        <v>32</v>
      </c>
      <c r="B561" s="12">
        <v>3587.6685</v>
      </c>
      <c r="C561" s="12">
        <v>0</v>
      </c>
      <c r="D561" s="13">
        <v>0</v>
      </c>
      <c r="E561" s="12">
        <v>0</v>
      </c>
      <c r="F561" s="14">
        <v>0</v>
      </c>
      <c r="G561" s="13">
        <v>8421.6325</v>
      </c>
      <c r="H561" s="14">
        <v>30214025.638826</v>
      </c>
      <c r="I561" s="14" t="e">
        <f>=Round(680.93600000,0)</f>
        <v>#VALUE!</v>
      </c>
      <c r="J561" s="14" t="e">
        <f>=Round(0.00000000,0)</f>
        <v>#VALUE!</v>
      </c>
    </row>
    <row r="562">
      <c r="A562" s="11" t="s">
        <v>33</v>
      </c>
      <c r="B562" s="12">
        <v>3588.3573</v>
      </c>
      <c r="C562" s="12">
        <v>0</v>
      </c>
      <c r="D562" s="13">
        <v>0</v>
      </c>
      <c r="E562" s="12">
        <v>0</v>
      </c>
      <c r="F562" s="14">
        <v>0</v>
      </c>
      <c r="G562" s="13">
        <v>8421.6325</v>
      </c>
      <c r="H562" s="14">
        <v>30219826.459292</v>
      </c>
      <c r="I562" s="14" t="e">
        <f>=Round(681.05390000,0)</f>
        <v>#VALUE!</v>
      </c>
      <c r="J562" s="14" t="e">
        <f>=Round(0.00000000,0)</f>
        <v>#VALUE!</v>
      </c>
    </row>
    <row r="563">
      <c r="A563" s="11" t="s">
        <v>34</v>
      </c>
      <c r="B563" s="12">
        <v>3589.0109</v>
      </c>
      <c r="C563" s="12">
        <v>0</v>
      </c>
      <c r="D563" s="13">
        <v>0</v>
      </c>
      <c r="E563" s="12">
        <v>0</v>
      </c>
      <c r="F563" s="14">
        <v>0</v>
      </c>
      <c r="G563" s="13">
        <v>8421.6325</v>
      </c>
      <c r="H563" s="14">
        <v>30225330.838294</v>
      </c>
      <c r="I563" s="14" t="e">
        <f>=Round(681.18460000,0)</f>
        <v>#VALUE!</v>
      </c>
      <c r="J563" s="14" t="e">
        <f>=Round(0.00000000,0)</f>
        <v>#VALUE!</v>
      </c>
    </row>
    <row r="564">
      <c r="A564" s="11" t="s">
        <v>35</v>
      </c>
      <c r="B564" s="12">
        <v>3589.0109</v>
      </c>
      <c r="C564" s="12">
        <v>0</v>
      </c>
      <c r="D564" s="13">
        <v>0</v>
      </c>
      <c r="E564" s="12">
        <v>0</v>
      </c>
      <c r="F564" s="14">
        <v>0</v>
      </c>
      <c r="G564" s="13">
        <v>8421.6325</v>
      </c>
      <c r="H564" s="14">
        <v>30225330.838294</v>
      </c>
      <c r="I564" s="14" t="e">
        <f>=Round(681.30870000,0)</f>
        <v>#VALUE!</v>
      </c>
      <c r="J564" s="14" t="e">
        <f>=Round(0.00000000,0)</f>
        <v>#VALUE!</v>
      </c>
    </row>
    <row r="565">
      <c r="A565" s="11" t="s">
        <v>36</v>
      </c>
      <c r="B565" s="12">
        <v>3589.0109</v>
      </c>
      <c r="C565" s="12">
        <v>0</v>
      </c>
      <c r="D565" s="13">
        <v>0</v>
      </c>
      <c r="E565" s="12">
        <v>0</v>
      </c>
      <c r="F565" s="14">
        <v>0</v>
      </c>
      <c r="G565" s="13">
        <v>8421.6325</v>
      </c>
      <c r="H565" s="14">
        <v>30225330.838294</v>
      </c>
      <c r="I565" s="14" t="e">
        <f>=Round(681.30870000,0)</f>
        <v>#VALUE!</v>
      </c>
      <c r="J565" s="14" t="e">
        <f>=Round(0.00000000,0)</f>
        <v>#VALUE!</v>
      </c>
    </row>
    <row r="566">
      <c r="A566" s="11" t="s">
        <v>37</v>
      </c>
      <c r="B566" s="12">
        <v>3590.972</v>
      </c>
      <c r="C566" s="12">
        <v>0</v>
      </c>
      <c r="D566" s="13">
        <v>0</v>
      </c>
      <c r="E566" s="12">
        <v>0</v>
      </c>
      <c r="F566" s="14">
        <v>0</v>
      </c>
      <c r="G566" s="13">
        <v>8421.6325</v>
      </c>
      <c r="H566" s="14">
        <v>30241846.50179</v>
      </c>
      <c r="I566" s="14" t="e">
        <f>=Round(681.30870000,0)</f>
        <v>#VALUE!</v>
      </c>
      <c r="J566" s="14" t="e">
        <f>=Round(0.00000000,0)</f>
        <v>#VALUE!</v>
      </c>
    </row>
    <row r="567">
      <c r="A567" s="11" t="s">
        <v>38</v>
      </c>
      <c r="B567" s="12">
        <v>3591.6235</v>
      </c>
      <c r="C567" s="12">
        <v>0</v>
      </c>
      <c r="D567" s="13">
        <v>0</v>
      </c>
      <c r="E567" s="12">
        <v>0</v>
      </c>
      <c r="F567" s="14">
        <v>0</v>
      </c>
      <c r="G567" s="13">
        <v>8421.6325</v>
      </c>
      <c r="H567" s="14">
        <v>30247333.195364</v>
      </c>
      <c r="I567" s="14" t="e">
        <f>=Round(681.68100000,0)</f>
        <v>#VALUE!</v>
      </c>
      <c r="J567" s="14" t="e">
        <f>=Round(0.00000000,0)</f>
        <v>#VALUE!</v>
      </c>
    </row>
    <row r="568">
      <c r="A568" s="11" t="s">
        <v>39</v>
      </c>
      <c r="B568" s="12">
        <v>3592.281</v>
      </c>
      <c r="C568" s="12">
        <v>0</v>
      </c>
      <c r="D568" s="13">
        <v>0</v>
      </c>
      <c r="E568" s="12">
        <v>0</v>
      </c>
      <c r="F568" s="14">
        <v>0</v>
      </c>
      <c r="G568" s="13">
        <v>8421.6325</v>
      </c>
      <c r="H568" s="14">
        <v>30252870.418733</v>
      </c>
      <c r="I568" s="14" t="e">
        <f>=Round(681.80460000,0)</f>
        <v>#VALUE!</v>
      </c>
      <c r="J568" s="14" t="e">
        <f>=Round(0.00000000,0)</f>
        <v>#VALUE!</v>
      </c>
    </row>
    <row r="569">
      <c r="A569" s="11" t="s">
        <v>40</v>
      </c>
      <c r="B569" s="12">
        <v>3592.9125</v>
      </c>
      <c r="C569" s="12">
        <v>0</v>
      </c>
      <c r="D569" s="13">
        <v>0</v>
      </c>
      <c r="E569" s="12">
        <v>0</v>
      </c>
      <c r="F569" s="14">
        <v>0</v>
      </c>
      <c r="G569" s="13">
        <v>8421.6325</v>
      </c>
      <c r="H569" s="14">
        <v>30258188.679656</v>
      </c>
      <c r="I569" s="14" t="e">
        <f>=Round(681.92950000,0)</f>
        <v>#VALUE!</v>
      </c>
      <c r="J569" s="14" t="e">
        <f>=Round(0.00000000,0)</f>
        <v>#VALUE!</v>
      </c>
    </row>
    <row r="570">
      <c r="A570" s="11" t="s">
        <v>41</v>
      </c>
      <c r="B570" s="12">
        <v>3593.5674</v>
      </c>
      <c r="C570" s="12">
        <v>0</v>
      </c>
      <c r="D570" s="13">
        <v>0</v>
      </c>
      <c r="E570" s="12">
        <v>0</v>
      </c>
      <c r="F570" s="14">
        <v>0</v>
      </c>
      <c r="G570" s="13">
        <v>8421.6325</v>
      </c>
      <c r="H570" s="14">
        <v>30263704.006781</v>
      </c>
      <c r="I570" s="14" t="e">
        <f>=Round(682.04930000,0)</f>
        <v>#VALUE!</v>
      </c>
      <c r="J570" s="14" t="e">
        <f>=Round(0.00000000,0)</f>
        <v>#VALUE!</v>
      </c>
    </row>
    <row r="571">
      <c r="A571" s="11" t="s">
        <v>42</v>
      </c>
      <c r="B571" s="12">
        <v>3593.5674</v>
      </c>
      <c r="C571" s="12">
        <v>0</v>
      </c>
      <c r="D571" s="13">
        <v>0</v>
      </c>
      <c r="E571" s="12">
        <v>0</v>
      </c>
      <c r="F571" s="14">
        <v>0</v>
      </c>
      <c r="G571" s="13">
        <v>8421.6325</v>
      </c>
      <c r="H571" s="14">
        <v>30263704.006781</v>
      </c>
      <c r="I571" s="14" t="e">
        <f>=Round(682.17370000,0)</f>
        <v>#VALUE!</v>
      </c>
      <c r="J571" s="14" t="e">
        <f>=Round(0.00000000,0)</f>
        <v>#VALUE!</v>
      </c>
    </row>
    <row r="572">
      <c r="A572" s="11" t="s">
        <v>43</v>
      </c>
      <c r="B572" s="12">
        <v>3593.5674</v>
      </c>
      <c r="C572" s="12">
        <v>0</v>
      </c>
      <c r="D572" s="13">
        <v>0</v>
      </c>
      <c r="E572" s="12">
        <v>0</v>
      </c>
      <c r="F572" s="14">
        <v>0</v>
      </c>
      <c r="G572" s="13">
        <v>8421.6325</v>
      </c>
      <c r="H572" s="14">
        <v>30263704.006781</v>
      </c>
      <c r="I572" s="14" t="e">
        <f>=Round(682.17370000,0)</f>
        <v>#VALUE!</v>
      </c>
      <c r="J572" s="14" t="e">
        <f>=Round(0.00000000,0)</f>
        <v>#VALUE!</v>
      </c>
    </row>
    <row r="573">
      <c r="A573" s="11" t="s">
        <v>44</v>
      </c>
      <c r="B573" s="12">
        <v>3595.5366</v>
      </c>
      <c r="C573" s="12">
        <v>0</v>
      </c>
      <c r="D573" s="13">
        <v>0</v>
      </c>
      <c r="E573" s="12">
        <v>0</v>
      </c>
      <c r="F573" s="14">
        <v>0</v>
      </c>
      <c r="G573" s="13">
        <v>8421.6325</v>
      </c>
      <c r="H573" s="14">
        <v>30280287.8855</v>
      </c>
      <c r="I573" s="14" t="e">
        <f>=Round(682.17370000,0)</f>
        <v>#VALUE!</v>
      </c>
      <c r="J573" s="14" t="e">
        <f>=Round(0.00000000,0)</f>
        <v>#VALUE!</v>
      </c>
    </row>
    <row r="574">
      <c r="A574" s="11" t="s">
        <v>45</v>
      </c>
      <c r="B574" s="12">
        <v>3596.1915</v>
      </c>
      <c r="C574" s="12">
        <v>0</v>
      </c>
      <c r="D574" s="13">
        <v>0</v>
      </c>
      <c r="E574" s="12">
        <v>0</v>
      </c>
      <c r="F574" s="14">
        <v>0</v>
      </c>
      <c r="G574" s="13">
        <v>8421.6325</v>
      </c>
      <c r="H574" s="14">
        <v>30285803.212624</v>
      </c>
      <c r="I574" s="14" t="e">
        <f>=Round(682.54750000,0)</f>
        <v>#VALUE!</v>
      </c>
      <c r="J574" s="14" t="e">
        <f>=Round(0.00000000,0)</f>
        <v>#VALUE!</v>
      </c>
    </row>
    <row r="575">
      <c r="A575" s="11" t="s">
        <v>46</v>
      </c>
      <c r="B575" s="12">
        <v>3596.8461</v>
      </c>
      <c r="C575" s="12">
        <v>0</v>
      </c>
      <c r="D575" s="13">
        <v>0</v>
      </c>
      <c r="E575" s="12">
        <v>0</v>
      </c>
      <c r="F575" s="14">
        <v>0</v>
      </c>
      <c r="G575" s="13">
        <v>8421.6325</v>
      </c>
      <c r="H575" s="14">
        <v>30291316.013258</v>
      </c>
      <c r="I575" s="14" t="e">
        <f>=Round(682.67180000,0)</f>
        <v>#VALUE!</v>
      </c>
      <c r="J575" s="14" t="e">
        <f>=Round(0.00000000,0)</f>
        <v>#VALUE!</v>
      </c>
    </row>
    <row r="576">
      <c r="A576" s="11" t="s">
        <v>47</v>
      </c>
      <c r="B576" s="12">
        <v>3597.4992</v>
      </c>
      <c r="C576" s="12">
        <v>0</v>
      </c>
      <c r="D576" s="13">
        <v>0</v>
      </c>
      <c r="E576" s="12">
        <v>0</v>
      </c>
      <c r="F576" s="14">
        <v>0</v>
      </c>
      <c r="G576" s="13">
        <v>8421.6325</v>
      </c>
      <c r="H576" s="14">
        <v>30296816.181444</v>
      </c>
      <c r="I576" s="14" t="e">
        <f>=Round(682.79610000,0)</f>
        <v>#VALUE!</v>
      </c>
      <c r="J576" s="14" t="e">
        <f>=Round(0.00000000,0)</f>
        <v>#VALUE!</v>
      </c>
    </row>
    <row r="577">
      <c r="A577" s="11" t="s">
        <v>48</v>
      </c>
      <c r="B577" s="12">
        <v>3598.1558</v>
      </c>
      <c r="C577" s="12">
        <v>0</v>
      </c>
      <c r="D577" s="13">
        <v>0</v>
      </c>
      <c r="E577" s="12">
        <v>0</v>
      </c>
      <c r="F577" s="14">
        <v>0</v>
      </c>
      <c r="G577" s="13">
        <v>8421.6325</v>
      </c>
      <c r="H577" s="14">
        <v>30302345.825344</v>
      </c>
      <c r="I577" s="14" t="e">
        <f>=Round(682.92000000,0)</f>
        <v>#VALUE!</v>
      </c>
      <c r="J577" s="14" t="e">
        <f>=Round(0.00000000,0)</f>
        <v>#VALUE!</v>
      </c>
    </row>
    <row r="578">
      <c r="A578" s="11" t="s">
        <v>49</v>
      </c>
      <c r="B578" s="12">
        <v>3598.1558</v>
      </c>
      <c r="C578" s="12">
        <v>0</v>
      </c>
      <c r="D578" s="13">
        <v>0</v>
      </c>
      <c r="E578" s="12">
        <v>0</v>
      </c>
      <c r="F578" s="14">
        <v>0</v>
      </c>
      <c r="G578" s="13">
        <v>8421.6325</v>
      </c>
      <c r="H578" s="14">
        <v>30302345.825344</v>
      </c>
      <c r="I578" s="14" t="e">
        <f>=Round(683.04470000,0)</f>
        <v>#VALUE!</v>
      </c>
      <c r="J578" s="14" t="e">
        <f>=Round(0.00000000,0)</f>
        <v>#VALUE!</v>
      </c>
    </row>
    <row r="579">
      <c r="A579" s="11" t="s">
        <v>50</v>
      </c>
      <c r="B579" s="12">
        <v>3598.1558</v>
      </c>
      <c r="C579" s="12">
        <v>0</v>
      </c>
      <c r="D579" s="13">
        <v>0</v>
      </c>
      <c r="E579" s="12">
        <v>0</v>
      </c>
      <c r="F579" s="14">
        <v>0</v>
      </c>
      <c r="G579" s="13">
        <v>8421.6325</v>
      </c>
      <c r="H579" s="14">
        <v>30302345.825344</v>
      </c>
      <c r="I579" s="14" t="e">
        <f>=Round(683.04470000,0)</f>
        <v>#VALUE!</v>
      </c>
      <c r="J579" s="14" t="e">
        <f>=Round(0.00000000,0)</f>
        <v>#VALUE!</v>
      </c>
    </row>
    <row r="580">
      <c r="A580" s="11" t="s">
        <v>51</v>
      </c>
      <c r="B580" s="12">
        <v>3600.124</v>
      </c>
      <c r="C580" s="12">
        <v>0</v>
      </c>
      <c r="D580" s="13">
        <v>0</v>
      </c>
      <c r="E580" s="12">
        <v>0</v>
      </c>
      <c r="F580" s="14">
        <v>0</v>
      </c>
      <c r="G580" s="13">
        <v>8421.6325</v>
      </c>
      <c r="H580" s="14">
        <v>30318921.28243</v>
      </c>
      <c r="I580" s="14" t="e">
        <f>=Round(683.04470000,0)</f>
        <v>#VALUE!</v>
      </c>
      <c r="J580" s="14" t="e">
        <f>=Round(0.00000000,0)</f>
        <v>#VALUE!</v>
      </c>
    </row>
    <row r="581">
      <c r="A581" s="11" t="s">
        <v>52</v>
      </c>
      <c r="B581" s="12">
        <v>3600.7905</v>
      </c>
      <c r="C581" s="12">
        <v>0</v>
      </c>
      <c r="D581" s="13">
        <v>0</v>
      </c>
      <c r="E581" s="12">
        <v>0</v>
      </c>
      <c r="F581" s="14">
        <v>0</v>
      </c>
      <c r="G581" s="13">
        <v>8421.6325</v>
      </c>
      <c r="H581" s="14">
        <v>30324534.300491</v>
      </c>
      <c r="I581" s="14" t="e">
        <f>=Round(683.41830000,0)</f>
        <v>#VALUE!</v>
      </c>
      <c r="J581" s="14" t="e">
        <f>=Round(0.00000000,0)</f>
        <v>#VALUE!</v>
      </c>
    </row>
    <row r="582">
      <c r="A582" s="11" t="s">
        <v>53</v>
      </c>
      <c r="B582" s="12">
        <v>3601.445</v>
      </c>
      <c r="C582" s="12">
        <v>0</v>
      </c>
      <c r="D582" s="13">
        <v>0</v>
      </c>
      <c r="E582" s="12">
        <v>0</v>
      </c>
      <c r="F582" s="14">
        <v>0</v>
      </c>
      <c r="G582" s="13">
        <v>8421.6325</v>
      </c>
      <c r="H582" s="14">
        <v>30330046.258963</v>
      </c>
      <c r="I582" s="14" t="e">
        <f>=Round(683.54480000,0)</f>
        <v>#VALUE!</v>
      </c>
      <c r="J582" s="14" t="e">
        <f>=Round(0.00000000,0)</f>
        <v>#VALUE!</v>
      </c>
    </row>
    <row r="583">
      <c r="A583" s="11" t="s">
        <v>54</v>
      </c>
      <c r="B583" s="12">
        <v>3602.0851</v>
      </c>
      <c r="C583" s="12">
        <v>0</v>
      </c>
      <c r="D583" s="13">
        <v>0</v>
      </c>
      <c r="E583" s="12">
        <v>0</v>
      </c>
      <c r="F583" s="14">
        <v>0</v>
      </c>
      <c r="G583" s="13">
        <v>8421.6325</v>
      </c>
      <c r="H583" s="14">
        <v>30335436.945926</v>
      </c>
      <c r="I583" s="14" t="e">
        <f>=Round(683.66910000,0)</f>
        <v>#VALUE!</v>
      </c>
      <c r="J583" s="14" t="e">
        <f>=Round(0.00000000,0)</f>
        <v>#VALUE!</v>
      </c>
    </row>
    <row r="584">
      <c r="A584" s="11" t="s">
        <v>55</v>
      </c>
      <c r="B584" s="12">
        <v>3602.7417</v>
      </c>
      <c r="C584" s="12">
        <v>0</v>
      </c>
      <c r="D584" s="13">
        <v>0</v>
      </c>
      <c r="E584" s="12">
        <v>0</v>
      </c>
      <c r="F584" s="14">
        <v>0</v>
      </c>
      <c r="G584" s="13">
        <v>8421.6325</v>
      </c>
      <c r="H584" s="14">
        <v>30340966.589825</v>
      </c>
      <c r="I584" s="14" t="e">
        <f>=Round(683.79060000,0)</f>
        <v>#VALUE!</v>
      </c>
      <c r="J584" s="14" t="e">
        <f>=Round(0.00000000,0)</f>
        <v>#VALUE!</v>
      </c>
    </row>
    <row r="585" ht="-1">
      <c r="A585" s="15"/>
      <c r="B585" s="16" t="s">
        <v>56</v>
      </c>
      <c r="C585" s="15"/>
      <c r="D585" s="15"/>
      <c r="E585" s="15"/>
      <c r="F585" s="15"/>
      <c r="G585" s="15"/>
      <c r="H585" s="15"/>
      <c r="I585" s="17" t="e">
        <f>=Round(SUM(I559:I584),0)</f>
        <v>#VALUE!</v>
      </c>
      <c r="J585" s="17" t="e">
        <f>=Round(SUM(J559:J584),0)</f>
        <v>#VALUE!</v>
      </c>
    </row>
    <row r="586">
      <c r="A586" s="1" t="s">
        <v>0</v>
      </c>
      <c r="B586" s="1"/>
      <c r="C586" s="1"/>
      <c r="D586" s="1"/>
    </row>
    <row r="587">
      <c r="A587" s="0" t="s">
        <v>1</v>
      </c>
      <c r="C587" s="0" t="s">
        <v>2</v>
      </c>
      <c r="H587" s="2" t="s">
        <v>3</v>
      </c>
    </row>
    <row r="588">
      <c r="A588" s="0" t="s">
        <v>4</v>
      </c>
      <c r="C588" s="0" t="s">
        <v>71</v>
      </c>
      <c r="H588" s="3" t="s">
        <v>6</v>
      </c>
    </row>
    <row r="589">
      <c r="A589" s="0" t="s">
        <v>7</v>
      </c>
      <c r="C589" s="4" t="s">
        <v>8</v>
      </c>
      <c r="H589" s="2" t="s">
        <v>9</v>
      </c>
    </row>
    <row r="590">
      <c r="A590" s="0" t="s">
        <v>10</v>
      </c>
      <c r="C590" s="4" t="s">
        <v>11</v>
      </c>
      <c r="H590" s="2" t="s">
        <v>12</v>
      </c>
    </row>
    <row r="591">
      <c r="A591" s="0" t="s">
        <v>13</v>
      </c>
      <c r="C591" s="0" t="s">
        <v>14</v>
      </c>
    </row>
    <row r="592">
      <c r="A592" s="0" t="s">
        <v>15</v>
      </c>
      <c r="C592" s="0" t="s">
        <v>16</v>
      </c>
    </row>
    <row r="593">
      <c r="A593" s="0" t="s">
        <v>17</v>
      </c>
      <c r="C593" s="0" t="s">
        <v>18</v>
      </c>
    </row>
    <row r="596">
      <c r="A596" s="5" t="s">
        <v>19</v>
      </c>
      <c r="B596" s="5" t="s">
        <v>20</v>
      </c>
      <c r="C596" s="7" t="s">
        <v>21</v>
      </c>
      <c r="D596" s="9"/>
      <c r="E596" s="7" t="s">
        <v>22</v>
      </c>
      <c r="F596" s="9"/>
      <c r="G596" s="5" t="s">
        <v>23</v>
      </c>
      <c r="H596" s="5" t="s">
        <v>24</v>
      </c>
      <c r="I596" s="5" t="s">
        <v>25</v>
      </c>
      <c r="J596" s="5" t="s">
        <v>26</v>
      </c>
    </row>
    <row r="597">
      <c r="A597" s="6"/>
      <c r="B597" s="6"/>
      <c r="C597" s="8" t="s">
        <v>27</v>
      </c>
      <c r="D597" s="8" t="s">
        <v>28</v>
      </c>
      <c r="E597" s="8" t="s">
        <v>27</v>
      </c>
      <c r="F597" s="8" t="s">
        <v>28</v>
      </c>
      <c r="G597" s="6"/>
      <c r="H597" s="6"/>
      <c r="I597" s="10" t="s">
        <v>29</v>
      </c>
      <c r="J597" s="6"/>
    </row>
    <row r="598">
      <c r="A598" s="11" t="s">
        <v>30</v>
      </c>
      <c r="B598" s="12">
        <v>3586.4187</v>
      </c>
      <c r="C598" s="12">
        <v>0</v>
      </c>
      <c r="D598" s="13">
        <v>0</v>
      </c>
      <c r="E598" s="12">
        <v>0</v>
      </c>
      <c r="F598" s="14">
        <v>0</v>
      </c>
      <c r="G598" s="13">
        <v>1462.1642</v>
      </c>
      <c r="H598" s="14">
        <v>5243933.029351</v>
      </c>
      <c r="I598" s="14" t="e">
        <f>=Round(118.13840000,0)</f>
        <v>#VALUE!</v>
      </c>
      <c r="J598" s="14" t="e">
        <f>=Round(0.00000000,0)</f>
        <v>#VALUE!</v>
      </c>
    </row>
    <row r="599">
      <c r="A599" s="11" t="s">
        <v>31</v>
      </c>
      <c r="B599" s="12">
        <v>3587.0477</v>
      </c>
      <c r="C599" s="12">
        <v>0</v>
      </c>
      <c r="D599" s="13">
        <v>0</v>
      </c>
      <c r="E599" s="12">
        <v>0</v>
      </c>
      <c r="F599" s="14">
        <v>0</v>
      </c>
      <c r="G599" s="13">
        <v>1462.1642</v>
      </c>
      <c r="H599" s="14">
        <v>5244852.730632</v>
      </c>
      <c r="I599" s="14" t="e">
        <f>=Round(118.20340000,0)</f>
        <v>#VALUE!</v>
      </c>
      <c r="J599" s="14" t="e">
        <f>=Round(0.00000000,0)</f>
        <v>#VALUE!</v>
      </c>
    </row>
    <row r="600">
      <c r="A600" s="11" t="s">
        <v>32</v>
      </c>
      <c r="B600" s="12">
        <v>3587.6685</v>
      </c>
      <c r="C600" s="12">
        <v>0</v>
      </c>
      <c r="D600" s="13">
        <v>0</v>
      </c>
      <c r="E600" s="12">
        <v>0</v>
      </c>
      <c r="F600" s="14">
        <v>0</v>
      </c>
      <c r="G600" s="13">
        <v>1462.1642</v>
      </c>
      <c r="H600" s="14">
        <v>5245760.442168</v>
      </c>
      <c r="I600" s="14" t="e">
        <f>=Round(118.22410000,0)</f>
        <v>#VALUE!</v>
      </c>
      <c r="J600" s="14" t="e">
        <f>=Round(0.00000000,0)</f>
        <v>#VALUE!</v>
      </c>
    </row>
    <row r="601">
      <c r="A601" s="11" t="s">
        <v>33</v>
      </c>
      <c r="B601" s="12">
        <v>3588.3573</v>
      </c>
      <c r="C601" s="12">
        <v>0</v>
      </c>
      <c r="D601" s="13">
        <v>0</v>
      </c>
      <c r="E601" s="12">
        <v>0</v>
      </c>
      <c r="F601" s="14">
        <v>0</v>
      </c>
      <c r="G601" s="13">
        <v>1462.1642</v>
      </c>
      <c r="H601" s="14">
        <v>5246767.580869</v>
      </c>
      <c r="I601" s="14" t="e">
        <f>=Round(118.24460000,0)</f>
        <v>#VALUE!</v>
      </c>
      <c r="J601" s="14" t="e">
        <f>=Round(0.00000000,0)</f>
        <v>#VALUE!</v>
      </c>
    </row>
    <row r="602">
      <c r="A602" s="11" t="s">
        <v>34</v>
      </c>
      <c r="B602" s="12">
        <v>3589.0109</v>
      </c>
      <c r="C602" s="12">
        <v>0</v>
      </c>
      <c r="D602" s="13">
        <v>0</v>
      </c>
      <c r="E602" s="12">
        <v>0</v>
      </c>
      <c r="F602" s="14">
        <v>0</v>
      </c>
      <c r="G602" s="13">
        <v>1462.1642</v>
      </c>
      <c r="H602" s="14">
        <v>5247723.25139</v>
      </c>
      <c r="I602" s="14" t="e">
        <f>=Round(118.26730000,0)</f>
        <v>#VALUE!</v>
      </c>
      <c r="J602" s="14" t="e">
        <f>=Round(0.00000000,0)</f>
        <v>#VALUE!</v>
      </c>
    </row>
    <row r="603">
      <c r="A603" s="11" t="s">
        <v>35</v>
      </c>
      <c r="B603" s="12">
        <v>3589.0109</v>
      </c>
      <c r="C603" s="12">
        <v>0</v>
      </c>
      <c r="D603" s="13">
        <v>0</v>
      </c>
      <c r="E603" s="12">
        <v>0</v>
      </c>
      <c r="F603" s="14">
        <v>0</v>
      </c>
      <c r="G603" s="13">
        <v>1462.1642</v>
      </c>
      <c r="H603" s="14">
        <v>5247723.25139</v>
      </c>
      <c r="I603" s="14" t="e">
        <f>=Round(118.28880000,0)</f>
        <v>#VALUE!</v>
      </c>
      <c r="J603" s="14" t="e">
        <f>=Round(0.00000000,0)</f>
        <v>#VALUE!</v>
      </c>
    </row>
    <row r="604">
      <c r="A604" s="11" t="s">
        <v>36</v>
      </c>
      <c r="B604" s="12">
        <v>3589.0109</v>
      </c>
      <c r="C604" s="12">
        <v>0</v>
      </c>
      <c r="D604" s="13">
        <v>0</v>
      </c>
      <c r="E604" s="12">
        <v>0</v>
      </c>
      <c r="F604" s="14">
        <v>0</v>
      </c>
      <c r="G604" s="13">
        <v>1462.1642</v>
      </c>
      <c r="H604" s="14">
        <v>5247723.25139</v>
      </c>
      <c r="I604" s="14" t="e">
        <f>=Round(118.28880000,0)</f>
        <v>#VALUE!</v>
      </c>
      <c r="J604" s="14" t="e">
        <f>=Round(0.00000000,0)</f>
        <v>#VALUE!</v>
      </c>
    </row>
    <row r="605">
      <c r="A605" s="11" t="s">
        <v>37</v>
      </c>
      <c r="B605" s="12">
        <v>3590.972</v>
      </c>
      <c r="C605" s="12">
        <v>0</v>
      </c>
      <c r="D605" s="13">
        <v>0</v>
      </c>
      <c r="E605" s="12">
        <v>0</v>
      </c>
      <c r="F605" s="14">
        <v>0</v>
      </c>
      <c r="G605" s="13">
        <v>1462.1642</v>
      </c>
      <c r="H605" s="14">
        <v>5250590.701602</v>
      </c>
      <c r="I605" s="14" t="e">
        <f>=Round(118.28880000,0)</f>
        <v>#VALUE!</v>
      </c>
      <c r="J605" s="14" t="e">
        <f>=Round(0.00000000,0)</f>
        <v>#VALUE!</v>
      </c>
    </row>
    <row r="606">
      <c r="A606" s="11" t="s">
        <v>38</v>
      </c>
      <c r="B606" s="12">
        <v>3591.6235</v>
      </c>
      <c r="C606" s="12">
        <v>0</v>
      </c>
      <c r="D606" s="13">
        <v>0</v>
      </c>
      <c r="E606" s="12">
        <v>0</v>
      </c>
      <c r="F606" s="14">
        <v>0</v>
      </c>
      <c r="G606" s="13">
        <v>1462.1642</v>
      </c>
      <c r="H606" s="14">
        <v>5251543.301579</v>
      </c>
      <c r="I606" s="14" t="e">
        <f>=Round(118.35350000,0)</f>
        <v>#VALUE!</v>
      </c>
      <c r="J606" s="14" t="e">
        <f>=Round(0.00000000,0)</f>
        <v>#VALUE!</v>
      </c>
    </row>
    <row r="607">
      <c r="A607" s="11" t="s">
        <v>39</v>
      </c>
      <c r="B607" s="12">
        <v>3592.281</v>
      </c>
      <c r="C607" s="12">
        <v>0</v>
      </c>
      <c r="D607" s="13">
        <v>0</v>
      </c>
      <c r="E607" s="12">
        <v>0</v>
      </c>
      <c r="F607" s="14">
        <v>0</v>
      </c>
      <c r="G607" s="13">
        <v>1462.1642</v>
      </c>
      <c r="H607" s="14">
        <v>5252504.67454</v>
      </c>
      <c r="I607" s="14" t="e">
        <f>=Round(118.37500000,0)</f>
        <v>#VALUE!</v>
      </c>
      <c r="J607" s="14" t="e">
        <f>=Round(0.00000000,0)</f>
        <v>#VALUE!</v>
      </c>
    </row>
    <row r="608">
      <c r="A608" s="11" t="s">
        <v>40</v>
      </c>
      <c r="B608" s="12">
        <v>3592.9125</v>
      </c>
      <c r="C608" s="12">
        <v>0</v>
      </c>
      <c r="D608" s="13">
        <v>0</v>
      </c>
      <c r="E608" s="12">
        <v>0</v>
      </c>
      <c r="F608" s="14">
        <v>0</v>
      </c>
      <c r="G608" s="13">
        <v>1462.1642</v>
      </c>
      <c r="H608" s="14">
        <v>5253428.031233</v>
      </c>
      <c r="I608" s="14" t="e">
        <f>=Round(118.39660000,0)</f>
        <v>#VALUE!</v>
      </c>
      <c r="J608" s="14" t="e">
        <f>=Round(0.00000000,0)</f>
        <v>#VALUE!</v>
      </c>
    </row>
    <row r="609">
      <c r="A609" s="11" t="s">
        <v>41</v>
      </c>
      <c r="B609" s="12">
        <v>3593.5674</v>
      </c>
      <c r="C609" s="12">
        <v>0</v>
      </c>
      <c r="D609" s="13">
        <v>0</v>
      </c>
      <c r="E609" s="12">
        <v>0</v>
      </c>
      <c r="F609" s="14">
        <v>0</v>
      </c>
      <c r="G609" s="13">
        <v>1462.1642</v>
      </c>
      <c r="H609" s="14">
        <v>5254385.602567</v>
      </c>
      <c r="I609" s="14" t="e">
        <f>=Round(118.41740000,0)</f>
        <v>#VALUE!</v>
      </c>
      <c r="J609" s="14" t="e">
        <f>=Round(0.00000000,0)</f>
        <v>#VALUE!</v>
      </c>
    </row>
    <row r="610">
      <c r="A610" s="11" t="s">
        <v>42</v>
      </c>
      <c r="B610" s="12">
        <v>3593.5674</v>
      </c>
      <c r="C610" s="12">
        <v>0</v>
      </c>
      <c r="D610" s="13">
        <v>0</v>
      </c>
      <c r="E610" s="12">
        <v>0</v>
      </c>
      <c r="F610" s="14">
        <v>0</v>
      </c>
      <c r="G610" s="13">
        <v>1462.1642</v>
      </c>
      <c r="H610" s="14">
        <v>5254385.602567</v>
      </c>
      <c r="I610" s="14" t="e">
        <f>=Round(118.43900000,0)</f>
        <v>#VALUE!</v>
      </c>
      <c r="J610" s="14" t="e">
        <f>=Round(0.00000000,0)</f>
        <v>#VALUE!</v>
      </c>
    </row>
    <row r="611">
      <c r="A611" s="11" t="s">
        <v>43</v>
      </c>
      <c r="B611" s="12">
        <v>3593.5674</v>
      </c>
      <c r="C611" s="12">
        <v>0</v>
      </c>
      <c r="D611" s="13">
        <v>0</v>
      </c>
      <c r="E611" s="12">
        <v>0</v>
      </c>
      <c r="F611" s="14">
        <v>0</v>
      </c>
      <c r="G611" s="13">
        <v>1462.1642</v>
      </c>
      <c r="H611" s="14">
        <v>5254385.602567</v>
      </c>
      <c r="I611" s="14" t="e">
        <f>=Round(118.43900000,0)</f>
        <v>#VALUE!</v>
      </c>
      <c r="J611" s="14" t="e">
        <f>=Round(0.00000000,0)</f>
        <v>#VALUE!</v>
      </c>
    </row>
    <row r="612">
      <c r="A612" s="11" t="s">
        <v>44</v>
      </c>
      <c r="B612" s="12">
        <v>3595.5366</v>
      </c>
      <c r="C612" s="12">
        <v>0</v>
      </c>
      <c r="D612" s="13">
        <v>0</v>
      </c>
      <c r="E612" s="12">
        <v>0</v>
      </c>
      <c r="F612" s="14">
        <v>0</v>
      </c>
      <c r="G612" s="13">
        <v>1462.1642</v>
      </c>
      <c r="H612" s="14">
        <v>5257264.89631</v>
      </c>
      <c r="I612" s="14" t="e">
        <f>=Round(118.43900000,0)</f>
        <v>#VALUE!</v>
      </c>
      <c r="J612" s="14" t="e">
        <f>=Round(0.00000000,0)</f>
        <v>#VALUE!</v>
      </c>
    </row>
    <row r="613">
      <c r="A613" s="11" t="s">
        <v>45</v>
      </c>
      <c r="B613" s="12">
        <v>3596.1915</v>
      </c>
      <c r="C613" s="12">
        <v>0</v>
      </c>
      <c r="D613" s="13">
        <v>0</v>
      </c>
      <c r="E613" s="12">
        <v>0</v>
      </c>
      <c r="F613" s="14">
        <v>0</v>
      </c>
      <c r="G613" s="13">
        <v>1462.1642</v>
      </c>
      <c r="H613" s="14">
        <v>5258222.467644</v>
      </c>
      <c r="I613" s="14" t="e">
        <f>=Round(118.50390000,0)</f>
        <v>#VALUE!</v>
      </c>
      <c r="J613" s="14" t="e">
        <f>=Round(0.00000000,0)</f>
        <v>#VALUE!</v>
      </c>
    </row>
    <row r="614">
      <c r="A614" s="11" t="s">
        <v>46</v>
      </c>
      <c r="B614" s="12">
        <v>3596.8461</v>
      </c>
      <c r="C614" s="12">
        <v>0</v>
      </c>
      <c r="D614" s="13">
        <v>0</v>
      </c>
      <c r="E614" s="12">
        <v>0</v>
      </c>
      <c r="F614" s="14">
        <v>0</v>
      </c>
      <c r="G614" s="13">
        <v>1462.1642</v>
      </c>
      <c r="H614" s="14">
        <v>5259179.60033</v>
      </c>
      <c r="I614" s="14" t="e">
        <f>=Round(118.52550000,0)</f>
        <v>#VALUE!</v>
      </c>
      <c r="J614" s="14" t="e">
        <f>=Round(0.00000000,0)</f>
        <v>#VALUE!</v>
      </c>
    </row>
    <row r="615">
      <c r="A615" s="11" t="s">
        <v>47</v>
      </c>
      <c r="B615" s="12">
        <v>3597.4992</v>
      </c>
      <c r="C615" s="12">
        <v>0</v>
      </c>
      <c r="D615" s="13">
        <v>0</v>
      </c>
      <c r="E615" s="12">
        <v>0</v>
      </c>
      <c r="F615" s="14">
        <v>0</v>
      </c>
      <c r="G615" s="13">
        <v>1462.1642</v>
      </c>
      <c r="H615" s="14">
        <v>5260134.539769</v>
      </c>
      <c r="I615" s="14" t="e">
        <f>=Round(118.54710000,0)</f>
        <v>#VALUE!</v>
      </c>
      <c r="J615" s="14" t="e">
        <f>=Round(0.00000000,0)</f>
        <v>#VALUE!</v>
      </c>
    </row>
    <row r="616">
      <c r="A616" s="11" t="s">
        <v>48</v>
      </c>
      <c r="B616" s="12">
        <v>3598.1558</v>
      </c>
      <c r="C616" s="12">
        <v>0</v>
      </c>
      <c r="D616" s="13">
        <v>0</v>
      </c>
      <c r="E616" s="12">
        <v>0</v>
      </c>
      <c r="F616" s="14">
        <v>0</v>
      </c>
      <c r="G616" s="13">
        <v>1462.1642</v>
      </c>
      <c r="H616" s="14">
        <v>5261094.596782</v>
      </c>
      <c r="I616" s="14" t="e">
        <f>=Round(118.56860000,0)</f>
        <v>#VALUE!</v>
      </c>
      <c r="J616" s="14" t="e">
        <f>=Round(0.00000000,0)</f>
        <v>#VALUE!</v>
      </c>
    </row>
    <row r="617">
      <c r="A617" s="11" t="s">
        <v>49</v>
      </c>
      <c r="B617" s="12">
        <v>3598.1558</v>
      </c>
      <c r="C617" s="12">
        <v>0</v>
      </c>
      <c r="D617" s="13">
        <v>0</v>
      </c>
      <c r="E617" s="12">
        <v>0</v>
      </c>
      <c r="F617" s="14">
        <v>0</v>
      </c>
      <c r="G617" s="13">
        <v>1462.1642</v>
      </c>
      <c r="H617" s="14">
        <v>5261094.596782</v>
      </c>
      <c r="I617" s="14" t="e">
        <f>=Round(118.59020000,0)</f>
        <v>#VALUE!</v>
      </c>
      <c r="J617" s="14" t="e">
        <f>=Round(0.00000000,0)</f>
        <v>#VALUE!</v>
      </c>
    </row>
    <row r="618">
      <c r="A618" s="11" t="s">
        <v>50</v>
      </c>
      <c r="B618" s="12">
        <v>3598.1558</v>
      </c>
      <c r="C618" s="12">
        <v>0</v>
      </c>
      <c r="D618" s="13">
        <v>0</v>
      </c>
      <c r="E618" s="12">
        <v>0</v>
      </c>
      <c r="F618" s="14">
        <v>0</v>
      </c>
      <c r="G618" s="13">
        <v>1462.1642</v>
      </c>
      <c r="H618" s="14">
        <v>5261094.596782</v>
      </c>
      <c r="I618" s="14" t="e">
        <f>=Round(118.59020000,0)</f>
        <v>#VALUE!</v>
      </c>
      <c r="J618" s="14" t="e">
        <f>=Round(0.00000000,0)</f>
        <v>#VALUE!</v>
      </c>
    </row>
    <row r="619">
      <c r="A619" s="11" t="s">
        <v>51</v>
      </c>
      <c r="B619" s="12">
        <v>3600.124</v>
      </c>
      <c r="C619" s="12">
        <v>0</v>
      </c>
      <c r="D619" s="13">
        <v>0</v>
      </c>
      <c r="E619" s="12">
        <v>0</v>
      </c>
      <c r="F619" s="14">
        <v>0</v>
      </c>
      <c r="G619" s="13">
        <v>1462.1642</v>
      </c>
      <c r="H619" s="14">
        <v>5263972.428361</v>
      </c>
      <c r="I619" s="14" t="e">
        <f>=Round(118.59020000,0)</f>
        <v>#VALUE!</v>
      </c>
      <c r="J619" s="14" t="e">
        <f>=Round(0.00000000,0)</f>
        <v>#VALUE!</v>
      </c>
    </row>
    <row r="620">
      <c r="A620" s="11" t="s">
        <v>52</v>
      </c>
      <c r="B620" s="12">
        <v>3600.7905</v>
      </c>
      <c r="C620" s="12">
        <v>0</v>
      </c>
      <c r="D620" s="13">
        <v>0</v>
      </c>
      <c r="E620" s="12">
        <v>0</v>
      </c>
      <c r="F620" s="14">
        <v>0</v>
      </c>
      <c r="G620" s="13">
        <v>1462.1642</v>
      </c>
      <c r="H620" s="14">
        <v>5264946.9608</v>
      </c>
      <c r="I620" s="14" t="e">
        <f>=Round(118.65510000,0)</f>
        <v>#VALUE!</v>
      </c>
      <c r="J620" s="14" t="e">
        <f>=Round(0.00000000,0)</f>
        <v>#VALUE!</v>
      </c>
    </row>
    <row r="621">
      <c r="A621" s="11" t="s">
        <v>53</v>
      </c>
      <c r="B621" s="12">
        <v>3601.445</v>
      </c>
      <c r="C621" s="12">
        <v>0</v>
      </c>
      <c r="D621" s="13">
        <v>0</v>
      </c>
      <c r="E621" s="12">
        <v>0</v>
      </c>
      <c r="F621" s="14">
        <v>0</v>
      </c>
      <c r="G621" s="13">
        <v>1462.1642</v>
      </c>
      <c r="H621" s="14">
        <v>5265903.947269</v>
      </c>
      <c r="I621" s="14" t="e">
        <f>=Round(118.67710000,0)</f>
        <v>#VALUE!</v>
      </c>
      <c r="J621" s="14" t="e">
        <f>=Round(0.00000000,0)</f>
        <v>#VALUE!</v>
      </c>
    </row>
    <row r="622">
      <c r="A622" s="11" t="s">
        <v>54</v>
      </c>
      <c r="B622" s="12">
        <v>3602.0851</v>
      </c>
      <c r="C622" s="12">
        <v>0</v>
      </c>
      <c r="D622" s="13">
        <v>0</v>
      </c>
      <c r="E622" s="12">
        <v>0</v>
      </c>
      <c r="F622" s="14">
        <v>0</v>
      </c>
      <c r="G622" s="13">
        <v>1462.1642</v>
      </c>
      <c r="H622" s="14">
        <v>5266839.878573</v>
      </c>
      <c r="I622" s="14" t="e">
        <f>=Round(118.69870000,0)</f>
        <v>#VALUE!</v>
      </c>
      <c r="J622" s="14" t="e">
        <f>=Round(0.00000000,0)</f>
        <v>#VALUE!</v>
      </c>
    </row>
    <row r="623">
      <c r="A623" s="11" t="s">
        <v>55</v>
      </c>
      <c r="B623" s="12">
        <v>3602.7417</v>
      </c>
      <c r="C623" s="12">
        <v>0</v>
      </c>
      <c r="D623" s="13">
        <v>0</v>
      </c>
      <c r="E623" s="12">
        <v>0</v>
      </c>
      <c r="F623" s="14">
        <v>0</v>
      </c>
      <c r="G623" s="13">
        <v>1462.1642</v>
      </c>
      <c r="H623" s="14">
        <v>5267799.935587</v>
      </c>
      <c r="I623" s="14" t="e">
        <f>=Round(118.71980000,0)</f>
        <v>#VALUE!</v>
      </c>
      <c r="J623" s="14" t="e">
        <f>=Round(0.00000000,0)</f>
        <v>#VALUE!</v>
      </c>
    </row>
    <row r="624" ht="-1">
      <c r="A624" s="15"/>
      <c r="B624" s="16" t="s">
        <v>56</v>
      </c>
      <c r="C624" s="15"/>
      <c r="D624" s="15"/>
      <c r="E624" s="15"/>
      <c r="F624" s="15"/>
      <c r="G624" s="15"/>
      <c r="H624" s="15"/>
      <c r="I624" s="17" t="e">
        <f>=Round(SUM(I598:I623),0)</f>
        <v>#VALUE!</v>
      </c>
      <c r="J624" s="17" t="e">
        <f>=Round(SUM(J598:J623),0)</f>
        <v>#VALUE!</v>
      </c>
    </row>
    <row r="625">
      <c r="A625" s="1" t="s">
        <v>0</v>
      </c>
      <c r="B625" s="1"/>
      <c r="C625" s="1"/>
      <c r="D625" s="1"/>
    </row>
    <row r="626">
      <c r="A626" s="0" t="s">
        <v>1</v>
      </c>
      <c r="C626" s="0" t="s">
        <v>2</v>
      </c>
      <c r="H626" s="2" t="s">
        <v>3</v>
      </c>
    </row>
    <row r="627">
      <c r="A627" s="0" t="s">
        <v>4</v>
      </c>
      <c r="C627" s="0" t="s">
        <v>72</v>
      </c>
      <c r="H627" s="3" t="s">
        <v>6</v>
      </c>
    </row>
    <row r="628">
      <c r="A628" s="0" t="s">
        <v>7</v>
      </c>
      <c r="C628" s="4" t="s">
        <v>8</v>
      </c>
      <c r="H628" s="2" t="s">
        <v>9</v>
      </c>
    </row>
    <row r="629">
      <c r="A629" s="0" t="s">
        <v>10</v>
      </c>
      <c r="C629" s="4" t="s">
        <v>11</v>
      </c>
      <c r="H629" s="2" t="s">
        <v>12</v>
      </c>
    </row>
    <row r="630">
      <c r="A630" s="0" t="s">
        <v>13</v>
      </c>
      <c r="C630" s="0" t="s">
        <v>14</v>
      </c>
    </row>
    <row r="631">
      <c r="A631" s="0" t="s">
        <v>15</v>
      </c>
      <c r="C631" s="0" t="s">
        <v>16</v>
      </c>
    </row>
    <row r="632">
      <c r="A632" s="0" t="s">
        <v>17</v>
      </c>
      <c r="C632" s="0" t="s">
        <v>18</v>
      </c>
    </row>
    <row r="635">
      <c r="A635" s="5" t="s">
        <v>19</v>
      </c>
      <c r="B635" s="5" t="s">
        <v>20</v>
      </c>
      <c r="C635" s="7" t="s">
        <v>21</v>
      </c>
      <c r="D635" s="9"/>
      <c r="E635" s="7" t="s">
        <v>22</v>
      </c>
      <c r="F635" s="9"/>
      <c r="G635" s="5" t="s">
        <v>23</v>
      </c>
      <c r="H635" s="5" t="s">
        <v>24</v>
      </c>
      <c r="I635" s="5" t="s">
        <v>25</v>
      </c>
      <c r="J635" s="5" t="s">
        <v>26</v>
      </c>
    </row>
    <row r="636">
      <c r="A636" s="6"/>
      <c r="B636" s="6"/>
      <c r="C636" s="8" t="s">
        <v>27</v>
      </c>
      <c r="D636" s="8" t="s">
        <v>28</v>
      </c>
      <c r="E636" s="8" t="s">
        <v>27</v>
      </c>
      <c r="F636" s="8" t="s">
        <v>28</v>
      </c>
      <c r="G636" s="6"/>
      <c r="H636" s="6"/>
      <c r="I636" s="10" t="s">
        <v>29</v>
      </c>
      <c r="J636" s="6"/>
    </row>
    <row r="637">
      <c r="A637" s="11" t="s">
        <v>30</v>
      </c>
      <c r="B637" s="12">
        <v>3586.4187</v>
      </c>
      <c r="C637" s="12">
        <v>0</v>
      </c>
      <c r="D637" s="13">
        <v>0</v>
      </c>
      <c r="E637" s="12">
        <v>0</v>
      </c>
      <c r="F637" s="14">
        <v>0</v>
      </c>
      <c r="G637" s="13">
        <v>106.0359</v>
      </c>
      <c r="H637" s="14">
        <v>380289.134631</v>
      </c>
      <c r="I637" s="14" t="e">
        <f>=Round(8.56740000,0)</f>
        <v>#VALUE!</v>
      </c>
      <c r="J637" s="14" t="e">
        <f>=Round(0.00000000,0)</f>
        <v>#VALUE!</v>
      </c>
    </row>
    <row r="638">
      <c r="A638" s="11" t="s">
        <v>31</v>
      </c>
      <c r="B638" s="12">
        <v>3587.0477</v>
      </c>
      <c r="C638" s="12">
        <v>0</v>
      </c>
      <c r="D638" s="13">
        <v>0</v>
      </c>
      <c r="E638" s="12">
        <v>0</v>
      </c>
      <c r="F638" s="14">
        <v>0</v>
      </c>
      <c r="G638" s="13">
        <v>106.0359</v>
      </c>
      <c r="H638" s="14">
        <v>380355.831212</v>
      </c>
      <c r="I638" s="14" t="e">
        <f>=Round(8.57210000,0)</f>
        <v>#VALUE!</v>
      </c>
      <c r="J638" s="14" t="e">
        <f>=Round(0.00000000,0)</f>
        <v>#VALUE!</v>
      </c>
    </row>
    <row r="639">
      <c r="A639" s="11" t="s">
        <v>32</v>
      </c>
      <c r="B639" s="12">
        <v>3587.6685</v>
      </c>
      <c r="C639" s="12">
        <v>0</v>
      </c>
      <c r="D639" s="13">
        <v>0</v>
      </c>
      <c r="E639" s="12">
        <v>0</v>
      </c>
      <c r="F639" s="14">
        <v>0</v>
      </c>
      <c r="G639" s="13">
        <v>106.0359</v>
      </c>
      <c r="H639" s="14">
        <v>380421.658299</v>
      </c>
      <c r="I639" s="14" t="e">
        <f>=Round(8.57360000,0)</f>
        <v>#VALUE!</v>
      </c>
      <c r="J639" s="14" t="e">
        <f>=Round(0.00000000,0)</f>
        <v>#VALUE!</v>
      </c>
    </row>
    <row r="640">
      <c r="A640" s="11" t="s">
        <v>33</v>
      </c>
      <c r="B640" s="12">
        <v>3588.3573</v>
      </c>
      <c r="C640" s="12">
        <v>0</v>
      </c>
      <c r="D640" s="13">
        <v>0</v>
      </c>
      <c r="E640" s="12">
        <v>0</v>
      </c>
      <c r="F640" s="14">
        <v>0</v>
      </c>
      <c r="G640" s="13">
        <v>106.0359</v>
      </c>
      <c r="H640" s="14">
        <v>380494.695827</v>
      </c>
      <c r="I640" s="14" t="e">
        <f>=Round(8.57510000,0)</f>
        <v>#VALUE!</v>
      </c>
      <c r="J640" s="14" t="e">
        <f>=Round(0.00000000,0)</f>
        <v>#VALUE!</v>
      </c>
    </row>
    <row r="641">
      <c r="A641" s="11" t="s">
        <v>34</v>
      </c>
      <c r="B641" s="12">
        <v>3589.0109</v>
      </c>
      <c r="C641" s="12">
        <v>0</v>
      </c>
      <c r="D641" s="13">
        <v>0</v>
      </c>
      <c r="E641" s="12">
        <v>0</v>
      </c>
      <c r="F641" s="14">
        <v>0</v>
      </c>
      <c r="G641" s="13">
        <v>106.0359</v>
      </c>
      <c r="H641" s="14">
        <v>380564.000891</v>
      </c>
      <c r="I641" s="14" t="e">
        <f>=Round(8.57670000,0)</f>
        <v>#VALUE!</v>
      </c>
      <c r="J641" s="14" t="e">
        <f>=Round(0.00000000,0)</f>
        <v>#VALUE!</v>
      </c>
    </row>
    <row r="642">
      <c r="A642" s="11" t="s">
        <v>35</v>
      </c>
      <c r="B642" s="12">
        <v>3589.0109</v>
      </c>
      <c r="C642" s="12">
        <v>0</v>
      </c>
      <c r="D642" s="13">
        <v>0</v>
      </c>
      <c r="E642" s="12">
        <v>0</v>
      </c>
      <c r="F642" s="14">
        <v>0</v>
      </c>
      <c r="G642" s="13">
        <v>106.0359</v>
      </c>
      <c r="H642" s="14">
        <v>380564.000891</v>
      </c>
      <c r="I642" s="14" t="e">
        <f>=Round(8.57830000,0)</f>
        <v>#VALUE!</v>
      </c>
      <c r="J642" s="14" t="e">
        <f>=Round(0.00000000,0)</f>
        <v>#VALUE!</v>
      </c>
    </row>
    <row r="643">
      <c r="A643" s="11" t="s">
        <v>36</v>
      </c>
      <c r="B643" s="12">
        <v>3589.0109</v>
      </c>
      <c r="C643" s="12">
        <v>0</v>
      </c>
      <c r="D643" s="13">
        <v>0</v>
      </c>
      <c r="E643" s="12">
        <v>0</v>
      </c>
      <c r="F643" s="14">
        <v>0</v>
      </c>
      <c r="G643" s="13">
        <v>106.0359</v>
      </c>
      <c r="H643" s="14">
        <v>380564.000891</v>
      </c>
      <c r="I643" s="14" t="e">
        <f>=Round(8.57830000,0)</f>
        <v>#VALUE!</v>
      </c>
      <c r="J643" s="14" t="e">
        <f>=Round(0.00000000,0)</f>
        <v>#VALUE!</v>
      </c>
    </row>
    <row r="644">
      <c r="A644" s="11" t="s">
        <v>37</v>
      </c>
      <c r="B644" s="12">
        <v>3590.972</v>
      </c>
      <c r="C644" s="12">
        <v>0</v>
      </c>
      <c r="D644" s="13">
        <v>0</v>
      </c>
      <c r="E644" s="12">
        <v>0</v>
      </c>
      <c r="F644" s="14">
        <v>0</v>
      </c>
      <c r="G644" s="13">
        <v>106.0359</v>
      </c>
      <c r="H644" s="14">
        <v>380771.947895</v>
      </c>
      <c r="I644" s="14" t="e">
        <f>=Round(8.57830000,0)</f>
        <v>#VALUE!</v>
      </c>
      <c r="J644" s="14" t="e">
        <f>=Round(0.00000000,0)</f>
        <v>#VALUE!</v>
      </c>
    </row>
    <row r="645">
      <c r="A645" s="11" t="s">
        <v>38</v>
      </c>
      <c r="B645" s="12">
        <v>3591.6235</v>
      </c>
      <c r="C645" s="12">
        <v>0</v>
      </c>
      <c r="D645" s="13">
        <v>0</v>
      </c>
      <c r="E645" s="12">
        <v>0</v>
      </c>
      <c r="F645" s="14">
        <v>0</v>
      </c>
      <c r="G645" s="13">
        <v>106.0359</v>
      </c>
      <c r="H645" s="14">
        <v>380841.030284</v>
      </c>
      <c r="I645" s="14" t="e">
        <f>=Round(8.58300000,0)</f>
        <v>#VALUE!</v>
      </c>
      <c r="J645" s="14" t="e">
        <f>=Round(0.00000000,0)</f>
        <v>#VALUE!</v>
      </c>
    </row>
    <row r="646">
      <c r="A646" s="11" t="s">
        <v>39</v>
      </c>
      <c r="B646" s="12">
        <v>3592.281</v>
      </c>
      <c r="C646" s="12">
        <v>0</v>
      </c>
      <c r="D646" s="13">
        <v>0</v>
      </c>
      <c r="E646" s="12">
        <v>0</v>
      </c>
      <c r="F646" s="14">
        <v>0</v>
      </c>
      <c r="G646" s="13">
        <v>106.0359</v>
      </c>
      <c r="H646" s="14">
        <v>380910.748888</v>
      </c>
      <c r="I646" s="14" t="e">
        <f>=Round(8.58450000,0)</f>
        <v>#VALUE!</v>
      </c>
      <c r="J646" s="14" t="e">
        <f>=Round(0.00000000,0)</f>
        <v>#VALUE!</v>
      </c>
    </row>
    <row r="647">
      <c r="A647" s="11" t="s">
        <v>40</v>
      </c>
      <c r="B647" s="12">
        <v>3592.9125</v>
      </c>
      <c r="C647" s="12">
        <v>0</v>
      </c>
      <c r="D647" s="13">
        <v>0</v>
      </c>
      <c r="E647" s="12">
        <v>0</v>
      </c>
      <c r="F647" s="14">
        <v>0</v>
      </c>
      <c r="G647" s="13">
        <v>106.0359</v>
      </c>
      <c r="H647" s="14">
        <v>380977.710559</v>
      </c>
      <c r="I647" s="14" t="e">
        <f>=Round(8.58610000,0)</f>
        <v>#VALUE!</v>
      </c>
      <c r="J647" s="14" t="e">
        <f>=Round(0.00000000,0)</f>
        <v>#VALUE!</v>
      </c>
    </row>
    <row r="648">
      <c r="A648" s="11" t="s">
        <v>41</v>
      </c>
      <c r="B648" s="12">
        <v>3593.5674</v>
      </c>
      <c r="C648" s="12">
        <v>0</v>
      </c>
      <c r="D648" s="13">
        <v>0</v>
      </c>
      <c r="E648" s="12">
        <v>0</v>
      </c>
      <c r="F648" s="14">
        <v>0</v>
      </c>
      <c r="G648" s="13">
        <v>106.0359</v>
      </c>
      <c r="H648" s="14">
        <v>381047.15347</v>
      </c>
      <c r="I648" s="14" t="e">
        <f>=Round(8.58760000,0)</f>
        <v>#VALUE!</v>
      </c>
      <c r="J648" s="14" t="e">
        <f>=Round(0.00000000,0)</f>
        <v>#VALUE!</v>
      </c>
    </row>
    <row r="649">
      <c r="A649" s="11" t="s">
        <v>42</v>
      </c>
      <c r="B649" s="12">
        <v>3593.5674</v>
      </c>
      <c r="C649" s="12">
        <v>0</v>
      </c>
      <c r="D649" s="13">
        <v>0</v>
      </c>
      <c r="E649" s="12">
        <v>0</v>
      </c>
      <c r="F649" s="14">
        <v>0</v>
      </c>
      <c r="G649" s="13">
        <v>106.0359</v>
      </c>
      <c r="H649" s="14">
        <v>381047.15347</v>
      </c>
      <c r="I649" s="14" t="e">
        <f>=Round(8.58920000,0)</f>
        <v>#VALUE!</v>
      </c>
      <c r="J649" s="14" t="e">
        <f>=Round(0.00000000,0)</f>
        <v>#VALUE!</v>
      </c>
    </row>
    <row r="650">
      <c r="A650" s="11" t="s">
        <v>43</v>
      </c>
      <c r="B650" s="12">
        <v>3593.5674</v>
      </c>
      <c r="C650" s="12">
        <v>0</v>
      </c>
      <c r="D650" s="13">
        <v>0</v>
      </c>
      <c r="E650" s="12">
        <v>0</v>
      </c>
      <c r="F650" s="14">
        <v>0</v>
      </c>
      <c r="G650" s="13">
        <v>106.0359</v>
      </c>
      <c r="H650" s="14">
        <v>381047.15347</v>
      </c>
      <c r="I650" s="14" t="e">
        <f>=Round(8.58920000,0)</f>
        <v>#VALUE!</v>
      </c>
      <c r="J650" s="14" t="e">
        <f>=Round(0.00000000,0)</f>
        <v>#VALUE!</v>
      </c>
    </row>
    <row r="651">
      <c r="A651" s="11" t="s">
        <v>44</v>
      </c>
      <c r="B651" s="12">
        <v>3595.5366</v>
      </c>
      <c r="C651" s="12">
        <v>0</v>
      </c>
      <c r="D651" s="13">
        <v>0</v>
      </c>
      <c r="E651" s="12">
        <v>0</v>
      </c>
      <c r="F651" s="14">
        <v>0</v>
      </c>
      <c r="G651" s="13">
        <v>106.0359</v>
      </c>
      <c r="H651" s="14">
        <v>381255.959364</v>
      </c>
      <c r="I651" s="14" t="e">
        <f>=Round(8.58920000,0)</f>
        <v>#VALUE!</v>
      </c>
      <c r="J651" s="14" t="e">
        <f>=Round(0.00000000,0)</f>
        <v>#VALUE!</v>
      </c>
    </row>
    <row r="652">
      <c r="A652" s="11" t="s">
        <v>45</v>
      </c>
      <c r="B652" s="12">
        <v>3596.1915</v>
      </c>
      <c r="C652" s="12">
        <v>0</v>
      </c>
      <c r="D652" s="13">
        <v>0</v>
      </c>
      <c r="E652" s="12">
        <v>0</v>
      </c>
      <c r="F652" s="14">
        <v>0</v>
      </c>
      <c r="G652" s="13">
        <v>106.0359</v>
      </c>
      <c r="H652" s="14">
        <v>381325.402275</v>
      </c>
      <c r="I652" s="14" t="e">
        <f>=Round(8.59390000,0)</f>
        <v>#VALUE!</v>
      </c>
      <c r="J652" s="14" t="e">
        <f>=Round(0.00000000,0)</f>
        <v>#VALUE!</v>
      </c>
    </row>
    <row r="653">
      <c r="A653" s="11" t="s">
        <v>46</v>
      </c>
      <c r="B653" s="12">
        <v>3596.8461</v>
      </c>
      <c r="C653" s="12">
        <v>0</v>
      </c>
      <c r="D653" s="13">
        <v>0</v>
      </c>
      <c r="E653" s="12">
        <v>0</v>
      </c>
      <c r="F653" s="14">
        <v>0</v>
      </c>
      <c r="G653" s="13">
        <v>106.0359</v>
      </c>
      <c r="H653" s="14">
        <v>381394.813375</v>
      </c>
      <c r="I653" s="14" t="e">
        <f>=Round(8.59540000,0)</f>
        <v>#VALUE!</v>
      </c>
      <c r="J653" s="14" t="e">
        <f>=Round(0.00000000,0)</f>
        <v>#VALUE!</v>
      </c>
    </row>
    <row r="654">
      <c r="A654" s="11" t="s">
        <v>47</v>
      </c>
      <c r="B654" s="12">
        <v>3597.4992</v>
      </c>
      <c r="C654" s="12">
        <v>0</v>
      </c>
      <c r="D654" s="13">
        <v>0</v>
      </c>
      <c r="E654" s="12">
        <v>0</v>
      </c>
      <c r="F654" s="14">
        <v>0</v>
      </c>
      <c r="G654" s="13">
        <v>106.0359</v>
      </c>
      <c r="H654" s="14">
        <v>381464.065421</v>
      </c>
      <c r="I654" s="14" t="e">
        <f>=Round(8.59700000,0)</f>
        <v>#VALUE!</v>
      </c>
      <c r="J654" s="14" t="e">
        <f>=Round(0.00000000,0)</f>
        <v>#VALUE!</v>
      </c>
    </row>
    <row r="655">
      <c r="A655" s="11" t="s">
        <v>48</v>
      </c>
      <c r="B655" s="12">
        <v>3598.1558</v>
      </c>
      <c r="C655" s="12">
        <v>0</v>
      </c>
      <c r="D655" s="13">
        <v>0</v>
      </c>
      <c r="E655" s="12">
        <v>0</v>
      </c>
      <c r="F655" s="14">
        <v>0</v>
      </c>
      <c r="G655" s="13">
        <v>106.0359</v>
      </c>
      <c r="H655" s="14">
        <v>381533.688593</v>
      </c>
      <c r="I655" s="14" t="e">
        <f>=Round(8.59860000,0)</f>
        <v>#VALUE!</v>
      </c>
      <c r="J655" s="14" t="e">
        <f>=Round(0.00000000,0)</f>
        <v>#VALUE!</v>
      </c>
    </row>
    <row r="656">
      <c r="A656" s="11" t="s">
        <v>49</v>
      </c>
      <c r="B656" s="12">
        <v>3598.1558</v>
      </c>
      <c r="C656" s="12">
        <v>0</v>
      </c>
      <c r="D656" s="13">
        <v>0</v>
      </c>
      <c r="E656" s="12">
        <v>0</v>
      </c>
      <c r="F656" s="14">
        <v>0</v>
      </c>
      <c r="G656" s="13">
        <v>106.0359</v>
      </c>
      <c r="H656" s="14">
        <v>381533.688593</v>
      </c>
      <c r="I656" s="14" t="e">
        <f>=Round(8.60010000,0)</f>
        <v>#VALUE!</v>
      </c>
      <c r="J656" s="14" t="e">
        <f>=Round(0.00000000,0)</f>
        <v>#VALUE!</v>
      </c>
    </row>
    <row r="657">
      <c r="A657" s="11" t="s">
        <v>50</v>
      </c>
      <c r="B657" s="12">
        <v>3598.1558</v>
      </c>
      <c r="C657" s="12">
        <v>0</v>
      </c>
      <c r="D657" s="13">
        <v>0</v>
      </c>
      <c r="E657" s="12">
        <v>0</v>
      </c>
      <c r="F657" s="14">
        <v>0</v>
      </c>
      <c r="G657" s="13">
        <v>106.0359</v>
      </c>
      <c r="H657" s="14">
        <v>381533.688593</v>
      </c>
      <c r="I657" s="14" t="e">
        <f>=Round(8.60010000,0)</f>
        <v>#VALUE!</v>
      </c>
      <c r="J657" s="14" t="e">
        <f>=Round(0.00000000,0)</f>
        <v>#VALUE!</v>
      </c>
    </row>
    <row r="658">
      <c r="A658" s="11" t="s">
        <v>51</v>
      </c>
      <c r="B658" s="12">
        <v>3600.124</v>
      </c>
      <c r="C658" s="12">
        <v>0</v>
      </c>
      <c r="D658" s="13">
        <v>0</v>
      </c>
      <c r="E658" s="12">
        <v>0</v>
      </c>
      <c r="F658" s="14">
        <v>0</v>
      </c>
      <c r="G658" s="13">
        <v>106.0359</v>
      </c>
      <c r="H658" s="14">
        <v>381742.388452</v>
      </c>
      <c r="I658" s="14" t="e">
        <f>=Round(8.60010000,0)</f>
        <v>#VALUE!</v>
      </c>
      <c r="J658" s="14" t="e">
        <f>=Round(0.00000000,0)</f>
        <v>#VALUE!</v>
      </c>
    </row>
    <row r="659">
      <c r="A659" s="11" t="s">
        <v>52</v>
      </c>
      <c r="B659" s="12">
        <v>3600.7905</v>
      </c>
      <c r="C659" s="12">
        <v>0</v>
      </c>
      <c r="D659" s="13">
        <v>0</v>
      </c>
      <c r="E659" s="12">
        <v>0</v>
      </c>
      <c r="F659" s="14">
        <v>0</v>
      </c>
      <c r="G659" s="13">
        <v>106.0359</v>
      </c>
      <c r="H659" s="14">
        <v>381813.061379</v>
      </c>
      <c r="I659" s="14" t="e">
        <f>=Round(8.60480000,0)</f>
        <v>#VALUE!</v>
      </c>
      <c r="J659" s="14" t="e">
        <f>=Round(0.00000000,0)</f>
        <v>#VALUE!</v>
      </c>
    </row>
    <row r="660">
      <c r="A660" s="11" t="s">
        <v>53</v>
      </c>
      <c r="B660" s="12">
        <v>3601.445</v>
      </c>
      <c r="C660" s="12">
        <v>0</v>
      </c>
      <c r="D660" s="13">
        <v>0</v>
      </c>
      <c r="E660" s="12">
        <v>0</v>
      </c>
      <c r="F660" s="14">
        <v>0</v>
      </c>
      <c r="G660" s="13">
        <v>106.0359</v>
      </c>
      <c r="H660" s="14">
        <v>381882.461876</v>
      </c>
      <c r="I660" s="14" t="e">
        <f>=Round(8.60640000,0)</f>
        <v>#VALUE!</v>
      </c>
      <c r="J660" s="14" t="e">
        <f>=Round(0.00000000,0)</f>
        <v>#VALUE!</v>
      </c>
    </row>
    <row r="661">
      <c r="A661" s="11" t="s">
        <v>54</v>
      </c>
      <c r="B661" s="12">
        <v>3602.0851</v>
      </c>
      <c r="C661" s="12">
        <v>0</v>
      </c>
      <c r="D661" s="13">
        <v>0</v>
      </c>
      <c r="E661" s="12">
        <v>0</v>
      </c>
      <c r="F661" s="14">
        <v>0</v>
      </c>
      <c r="G661" s="13">
        <v>106.0359</v>
      </c>
      <c r="H661" s="14">
        <v>381950.335455</v>
      </c>
      <c r="I661" s="14" t="e">
        <f>=Round(8.60800000,0)</f>
        <v>#VALUE!</v>
      </c>
      <c r="J661" s="14" t="e">
        <f>=Round(0.00000000,0)</f>
        <v>#VALUE!</v>
      </c>
    </row>
    <row r="662">
      <c r="A662" s="11" t="s">
        <v>55</v>
      </c>
      <c r="B662" s="12">
        <v>3602.7417</v>
      </c>
      <c r="C662" s="12">
        <v>0</v>
      </c>
      <c r="D662" s="13">
        <v>0</v>
      </c>
      <c r="E662" s="12">
        <v>0</v>
      </c>
      <c r="F662" s="14">
        <v>0</v>
      </c>
      <c r="G662" s="13">
        <v>106.0359</v>
      </c>
      <c r="H662" s="14">
        <v>382019.958627</v>
      </c>
      <c r="I662" s="14" t="e">
        <f>=Round(8.60950000,0)</f>
        <v>#VALUE!</v>
      </c>
      <c r="J662" s="14" t="e">
        <f>=Round(0.00000000,0)</f>
        <v>#VALUE!</v>
      </c>
    </row>
    <row r="663" ht="-1">
      <c r="A663" s="15"/>
      <c r="B663" s="16" t="s">
        <v>56</v>
      </c>
      <c r="C663" s="15"/>
      <c r="D663" s="15"/>
      <c r="E663" s="15"/>
      <c r="F663" s="15"/>
      <c r="G663" s="15"/>
      <c r="H663" s="15"/>
      <c r="I663" s="17" t="e">
        <f>=Round(SUM(I637:I662),0)</f>
        <v>#VALUE!</v>
      </c>
      <c r="J663" s="17" t="e">
        <f>=Round(SUM(J637:J662),0)</f>
        <v>#VALUE!</v>
      </c>
    </row>
    <row r="664">
      <c r="A664" s="1" t="s">
        <v>0</v>
      </c>
      <c r="B664" s="1"/>
      <c r="C664" s="1"/>
      <c r="D664" s="1"/>
    </row>
    <row r="665">
      <c r="A665" s="0" t="s">
        <v>1</v>
      </c>
      <c r="C665" s="0" t="s">
        <v>2</v>
      </c>
      <c r="H665" s="2" t="s">
        <v>3</v>
      </c>
    </row>
    <row r="666">
      <c r="A666" s="0" t="s">
        <v>4</v>
      </c>
      <c r="C666" s="0" t="s">
        <v>73</v>
      </c>
      <c r="H666" s="3" t="s">
        <v>6</v>
      </c>
    </row>
    <row r="667">
      <c r="A667" s="0" t="s">
        <v>7</v>
      </c>
      <c r="C667" s="4" t="s">
        <v>8</v>
      </c>
      <c r="H667" s="2" t="s">
        <v>9</v>
      </c>
    </row>
    <row r="668">
      <c r="A668" s="0" t="s">
        <v>10</v>
      </c>
      <c r="C668" s="4" t="s">
        <v>11</v>
      </c>
      <c r="H668" s="2" t="s">
        <v>12</v>
      </c>
    </row>
    <row r="669">
      <c r="A669" s="0" t="s">
        <v>13</v>
      </c>
      <c r="C669" s="0" t="s">
        <v>14</v>
      </c>
    </row>
    <row r="670">
      <c r="A670" s="0" t="s">
        <v>15</v>
      </c>
      <c r="C670" s="0" t="s">
        <v>16</v>
      </c>
    </row>
    <row r="671">
      <c r="A671" s="0" t="s">
        <v>17</v>
      </c>
      <c r="C671" s="0" t="s">
        <v>18</v>
      </c>
    </row>
    <row r="674">
      <c r="A674" s="5" t="s">
        <v>19</v>
      </c>
      <c r="B674" s="5" t="s">
        <v>20</v>
      </c>
      <c r="C674" s="7" t="s">
        <v>21</v>
      </c>
      <c r="D674" s="9"/>
      <c r="E674" s="7" t="s">
        <v>22</v>
      </c>
      <c r="F674" s="9"/>
      <c r="G674" s="5" t="s">
        <v>23</v>
      </c>
      <c r="H674" s="5" t="s">
        <v>24</v>
      </c>
      <c r="I674" s="5" t="s">
        <v>25</v>
      </c>
      <c r="J674" s="5" t="s">
        <v>26</v>
      </c>
    </row>
    <row r="675">
      <c r="A675" s="6"/>
      <c r="B675" s="6"/>
      <c r="C675" s="8" t="s">
        <v>27</v>
      </c>
      <c r="D675" s="8" t="s">
        <v>28</v>
      </c>
      <c r="E675" s="8" t="s">
        <v>27</v>
      </c>
      <c r="F675" s="8" t="s">
        <v>28</v>
      </c>
      <c r="G675" s="6"/>
      <c r="H675" s="6"/>
      <c r="I675" s="10" t="s">
        <v>29</v>
      </c>
      <c r="J675" s="6"/>
    </row>
    <row r="676">
      <c r="A676" s="11" t="s">
        <v>30</v>
      </c>
      <c r="B676" s="12">
        <v>3586.4187</v>
      </c>
      <c r="C676" s="12">
        <v>0</v>
      </c>
      <c r="D676" s="13">
        <v>0</v>
      </c>
      <c r="E676" s="12">
        <v>0</v>
      </c>
      <c r="F676" s="14">
        <v>0</v>
      </c>
      <c r="G676" s="13">
        <v>2845.4947</v>
      </c>
      <c r="H676" s="14">
        <v>10205135.402831</v>
      </c>
      <c r="I676" s="14" t="e">
        <f>=Round(229.90730000,0)</f>
        <v>#VALUE!</v>
      </c>
      <c r="J676" s="14" t="e">
        <f>=Round(0.00000000,0)</f>
        <v>#VALUE!</v>
      </c>
    </row>
    <row r="677">
      <c r="A677" s="11" t="s">
        <v>31</v>
      </c>
      <c r="B677" s="12">
        <v>3587.0477</v>
      </c>
      <c r="C677" s="12">
        <v>0</v>
      </c>
      <c r="D677" s="13">
        <v>0</v>
      </c>
      <c r="E677" s="12">
        <v>0</v>
      </c>
      <c r="F677" s="14">
        <v>0</v>
      </c>
      <c r="G677" s="13">
        <v>2845.4947</v>
      </c>
      <c r="H677" s="14">
        <v>10206925.218997</v>
      </c>
      <c r="I677" s="14" t="e">
        <f>=Round(230.03380000,0)</f>
        <v>#VALUE!</v>
      </c>
      <c r="J677" s="14" t="e">
        <f>=Round(0.00000000,0)</f>
        <v>#VALUE!</v>
      </c>
    </row>
    <row r="678">
      <c r="A678" s="11" t="s">
        <v>32</v>
      </c>
      <c r="B678" s="12">
        <v>3587.6685</v>
      </c>
      <c r="C678" s="12">
        <v>0</v>
      </c>
      <c r="D678" s="13">
        <v>0</v>
      </c>
      <c r="E678" s="12">
        <v>0</v>
      </c>
      <c r="F678" s="14">
        <v>0</v>
      </c>
      <c r="G678" s="13">
        <v>2845.4947</v>
      </c>
      <c r="H678" s="14">
        <v>10208691.702107</v>
      </c>
      <c r="I678" s="14" t="e">
        <f>=Round(230.07410000,0)</f>
        <v>#VALUE!</v>
      </c>
      <c r="J678" s="14" t="e">
        <f>=Round(0.00000000,0)</f>
        <v>#VALUE!</v>
      </c>
    </row>
    <row r="679">
      <c r="A679" s="11" t="s">
        <v>33</v>
      </c>
      <c r="B679" s="12">
        <v>3588.3573</v>
      </c>
      <c r="C679" s="12">
        <v>0</v>
      </c>
      <c r="D679" s="13">
        <v>0</v>
      </c>
      <c r="E679" s="12">
        <v>0</v>
      </c>
      <c r="F679" s="14">
        <v>0</v>
      </c>
      <c r="G679" s="13">
        <v>2845.4947</v>
      </c>
      <c r="H679" s="14">
        <v>10210651.678856</v>
      </c>
      <c r="I679" s="14" t="e">
        <f>=Round(230.11400000,0)</f>
        <v>#VALUE!</v>
      </c>
      <c r="J679" s="14" t="e">
        <f>=Round(0.00000000,0)</f>
        <v>#VALUE!</v>
      </c>
    </row>
    <row r="680">
      <c r="A680" s="11" t="s">
        <v>34</v>
      </c>
      <c r="B680" s="12">
        <v>3589.0109</v>
      </c>
      <c r="C680" s="12">
        <v>0</v>
      </c>
      <c r="D680" s="13">
        <v>0</v>
      </c>
      <c r="E680" s="12">
        <v>0</v>
      </c>
      <c r="F680" s="14">
        <v>0</v>
      </c>
      <c r="G680" s="13">
        <v>2845.4947</v>
      </c>
      <c r="H680" s="14">
        <v>10212511.494192</v>
      </c>
      <c r="I680" s="14" t="e">
        <f>=Round(230.15810000,0)</f>
        <v>#VALUE!</v>
      </c>
      <c r="J680" s="14" t="e">
        <f>=Round(0.00000000,0)</f>
        <v>#VALUE!</v>
      </c>
    </row>
    <row r="681">
      <c r="A681" s="11" t="s">
        <v>35</v>
      </c>
      <c r="B681" s="12">
        <v>3589.0109</v>
      </c>
      <c r="C681" s="12">
        <v>0</v>
      </c>
      <c r="D681" s="13">
        <v>0</v>
      </c>
      <c r="E681" s="12">
        <v>0</v>
      </c>
      <c r="F681" s="14">
        <v>0</v>
      </c>
      <c r="G681" s="13">
        <v>2845.4947</v>
      </c>
      <c r="H681" s="14">
        <v>10212511.494192</v>
      </c>
      <c r="I681" s="14" t="e">
        <f>=Round(230.20010000,0)</f>
        <v>#VALUE!</v>
      </c>
      <c r="J681" s="14" t="e">
        <f>=Round(0.00000000,0)</f>
        <v>#VALUE!</v>
      </c>
    </row>
    <row r="682">
      <c r="A682" s="11" t="s">
        <v>36</v>
      </c>
      <c r="B682" s="12">
        <v>3589.0109</v>
      </c>
      <c r="C682" s="12">
        <v>0</v>
      </c>
      <c r="D682" s="13">
        <v>0</v>
      </c>
      <c r="E682" s="12">
        <v>0</v>
      </c>
      <c r="F682" s="14">
        <v>0</v>
      </c>
      <c r="G682" s="13">
        <v>2845.4947</v>
      </c>
      <c r="H682" s="14">
        <v>10212511.494192</v>
      </c>
      <c r="I682" s="14" t="e">
        <f>=Round(230.20010000,0)</f>
        <v>#VALUE!</v>
      </c>
      <c r="J682" s="14" t="e">
        <f>=Round(0.00000000,0)</f>
        <v>#VALUE!</v>
      </c>
    </row>
    <row r="683">
      <c r="A683" s="11" t="s">
        <v>37</v>
      </c>
      <c r="B683" s="12">
        <v>3590.972</v>
      </c>
      <c r="C683" s="12">
        <v>0</v>
      </c>
      <c r="D683" s="13">
        <v>0</v>
      </c>
      <c r="E683" s="12">
        <v>0</v>
      </c>
      <c r="F683" s="14">
        <v>0</v>
      </c>
      <c r="G683" s="13">
        <v>2845.4947</v>
      </c>
      <c r="H683" s="14">
        <v>10218091.793848</v>
      </c>
      <c r="I683" s="14" t="e">
        <f>=Round(230.20010000,0)</f>
        <v>#VALUE!</v>
      </c>
      <c r="J683" s="14" t="e">
        <f>=Round(0.00000000,0)</f>
        <v>#VALUE!</v>
      </c>
    </row>
    <row r="684">
      <c r="A684" s="11" t="s">
        <v>38</v>
      </c>
      <c r="B684" s="12">
        <v>3591.6235</v>
      </c>
      <c r="C684" s="12">
        <v>0</v>
      </c>
      <c r="D684" s="13">
        <v>0</v>
      </c>
      <c r="E684" s="12">
        <v>0</v>
      </c>
      <c r="F684" s="14">
        <v>0</v>
      </c>
      <c r="G684" s="13">
        <v>2845.4947</v>
      </c>
      <c r="H684" s="14">
        <v>10219945.633645</v>
      </c>
      <c r="I684" s="14" t="e">
        <f>=Round(230.32580000,0)</f>
        <v>#VALUE!</v>
      </c>
      <c r="J684" s="14" t="e">
        <f>=Round(0.00000000,0)</f>
        <v>#VALUE!</v>
      </c>
    </row>
    <row r="685">
      <c r="A685" s="11" t="s">
        <v>39</v>
      </c>
      <c r="B685" s="12">
        <v>3592.281</v>
      </c>
      <c r="C685" s="12">
        <v>0</v>
      </c>
      <c r="D685" s="13">
        <v>0</v>
      </c>
      <c r="E685" s="12">
        <v>0</v>
      </c>
      <c r="F685" s="14">
        <v>0</v>
      </c>
      <c r="G685" s="13">
        <v>2845.4947</v>
      </c>
      <c r="H685" s="14">
        <v>10221816.546411</v>
      </c>
      <c r="I685" s="14" t="e">
        <f>=Round(230.36760000,0)</f>
        <v>#VALUE!</v>
      </c>
      <c r="J685" s="14" t="e">
        <f>=Round(0.00000000,0)</f>
        <v>#VALUE!</v>
      </c>
    </row>
    <row r="686">
      <c r="A686" s="11" t="s">
        <v>40</v>
      </c>
      <c r="B686" s="12">
        <v>3592.9125</v>
      </c>
      <c r="C686" s="12">
        <v>0</v>
      </c>
      <c r="D686" s="13">
        <v>0</v>
      </c>
      <c r="E686" s="12">
        <v>0</v>
      </c>
      <c r="F686" s="14">
        <v>0</v>
      </c>
      <c r="G686" s="13">
        <v>2845.4947</v>
      </c>
      <c r="H686" s="14">
        <v>10223613.476314</v>
      </c>
      <c r="I686" s="14" t="e">
        <f>=Round(230.40980000,0)</f>
        <v>#VALUE!</v>
      </c>
      <c r="J686" s="14" t="e">
        <f>=Round(0.00000000,0)</f>
        <v>#VALUE!</v>
      </c>
    </row>
    <row r="687">
      <c r="A687" s="11" t="s">
        <v>41</v>
      </c>
      <c r="B687" s="12">
        <v>3593.5674</v>
      </c>
      <c r="C687" s="12">
        <v>0</v>
      </c>
      <c r="D687" s="13">
        <v>0</v>
      </c>
      <c r="E687" s="12">
        <v>0</v>
      </c>
      <c r="F687" s="14">
        <v>0</v>
      </c>
      <c r="G687" s="13">
        <v>2845.4947</v>
      </c>
      <c r="H687" s="14">
        <v>10225476.990793</v>
      </c>
      <c r="I687" s="14" t="e">
        <f>=Round(230.45030000,0)</f>
        <v>#VALUE!</v>
      </c>
      <c r="J687" s="14" t="e">
        <f>=Round(0.00000000,0)</f>
        <v>#VALUE!</v>
      </c>
    </row>
    <row r="688">
      <c r="A688" s="11" t="s">
        <v>42</v>
      </c>
      <c r="B688" s="12">
        <v>3593.5674</v>
      </c>
      <c r="C688" s="12">
        <v>0</v>
      </c>
      <c r="D688" s="13">
        <v>0</v>
      </c>
      <c r="E688" s="12">
        <v>0</v>
      </c>
      <c r="F688" s="14">
        <v>0</v>
      </c>
      <c r="G688" s="13">
        <v>2845.4947</v>
      </c>
      <c r="H688" s="14">
        <v>10225476.990793</v>
      </c>
      <c r="I688" s="14" t="e">
        <f>=Round(230.49230000,0)</f>
        <v>#VALUE!</v>
      </c>
      <c r="J688" s="14" t="e">
        <f>=Round(0.00000000,0)</f>
        <v>#VALUE!</v>
      </c>
    </row>
    <row r="689">
      <c r="A689" s="11" t="s">
        <v>43</v>
      </c>
      <c r="B689" s="12">
        <v>3593.5674</v>
      </c>
      <c r="C689" s="12">
        <v>0</v>
      </c>
      <c r="D689" s="13">
        <v>0</v>
      </c>
      <c r="E689" s="12">
        <v>0</v>
      </c>
      <c r="F689" s="14">
        <v>0</v>
      </c>
      <c r="G689" s="13">
        <v>2845.4947</v>
      </c>
      <c r="H689" s="14">
        <v>10225476.990793</v>
      </c>
      <c r="I689" s="14" t="e">
        <f>=Round(230.49230000,0)</f>
        <v>#VALUE!</v>
      </c>
      <c r="J689" s="14" t="e">
        <f>=Round(0.00000000,0)</f>
        <v>#VALUE!</v>
      </c>
    </row>
    <row r="690">
      <c r="A690" s="11" t="s">
        <v>44</v>
      </c>
      <c r="B690" s="12">
        <v>3595.5366</v>
      </c>
      <c r="C690" s="12">
        <v>0</v>
      </c>
      <c r="D690" s="13">
        <v>0</v>
      </c>
      <c r="E690" s="12">
        <v>0</v>
      </c>
      <c r="F690" s="14">
        <v>0</v>
      </c>
      <c r="G690" s="13">
        <v>2845.4947</v>
      </c>
      <c r="H690" s="14">
        <v>10231080.338956</v>
      </c>
      <c r="I690" s="14" t="e">
        <f>=Round(230.49230000,0)</f>
        <v>#VALUE!</v>
      </c>
      <c r="J690" s="14" t="e">
        <f>=Round(0.00000000,0)</f>
        <v>#VALUE!</v>
      </c>
    </row>
    <row r="691">
      <c r="A691" s="11" t="s">
        <v>45</v>
      </c>
      <c r="B691" s="12">
        <v>3596.1915</v>
      </c>
      <c r="C691" s="12">
        <v>0</v>
      </c>
      <c r="D691" s="13">
        <v>0</v>
      </c>
      <c r="E691" s="12">
        <v>0</v>
      </c>
      <c r="F691" s="14">
        <v>0</v>
      </c>
      <c r="G691" s="13">
        <v>2845.4947</v>
      </c>
      <c r="H691" s="14">
        <v>10232943.853435</v>
      </c>
      <c r="I691" s="14" t="e">
        <f>=Round(230.61860000,0)</f>
        <v>#VALUE!</v>
      </c>
      <c r="J691" s="14" t="e">
        <f>=Round(0.00000000,0)</f>
        <v>#VALUE!</v>
      </c>
    </row>
    <row r="692">
      <c r="A692" s="11" t="s">
        <v>46</v>
      </c>
      <c r="B692" s="12">
        <v>3596.8461</v>
      </c>
      <c r="C692" s="12">
        <v>0</v>
      </c>
      <c r="D692" s="13">
        <v>0</v>
      </c>
      <c r="E692" s="12">
        <v>0</v>
      </c>
      <c r="F692" s="14">
        <v>0</v>
      </c>
      <c r="G692" s="13">
        <v>2845.4947</v>
      </c>
      <c r="H692" s="14">
        <v>10234806.514266</v>
      </c>
      <c r="I692" s="14" t="e">
        <f>=Round(230.66060000,0)</f>
        <v>#VALUE!</v>
      </c>
      <c r="J692" s="14" t="e">
        <f>=Round(0.00000000,0)</f>
        <v>#VALUE!</v>
      </c>
    </row>
    <row r="693">
      <c r="A693" s="11" t="s">
        <v>47</v>
      </c>
      <c r="B693" s="12">
        <v>3597.4992</v>
      </c>
      <c r="C693" s="12">
        <v>0</v>
      </c>
      <c r="D693" s="13">
        <v>0</v>
      </c>
      <c r="E693" s="12">
        <v>0</v>
      </c>
      <c r="F693" s="14">
        <v>0</v>
      </c>
      <c r="G693" s="13">
        <v>2845.4947</v>
      </c>
      <c r="H693" s="14">
        <v>10236664.906854</v>
      </c>
      <c r="I693" s="14" t="e">
        <f>=Round(230.70260000,0)</f>
        <v>#VALUE!</v>
      </c>
      <c r="J693" s="14" t="e">
        <f>=Round(0.00000000,0)</f>
        <v>#VALUE!</v>
      </c>
    </row>
    <row r="694">
      <c r="A694" s="11" t="s">
        <v>48</v>
      </c>
      <c r="B694" s="12">
        <v>3598.1558</v>
      </c>
      <c r="C694" s="12">
        <v>0</v>
      </c>
      <c r="D694" s="13">
        <v>0</v>
      </c>
      <c r="E694" s="12">
        <v>0</v>
      </c>
      <c r="F694" s="14">
        <v>0</v>
      </c>
      <c r="G694" s="13">
        <v>2845.4947</v>
      </c>
      <c r="H694" s="14">
        <v>10238533.258674</v>
      </c>
      <c r="I694" s="14" t="e">
        <f>=Round(230.74450000,0)</f>
        <v>#VALUE!</v>
      </c>
      <c r="J694" s="14" t="e">
        <f>=Round(0.00000000,0)</f>
        <v>#VALUE!</v>
      </c>
    </row>
    <row r="695">
      <c r="A695" s="11" t="s">
        <v>49</v>
      </c>
      <c r="B695" s="12">
        <v>3598.1558</v>
      </c>
      <c r="C695" s="12">
        <v>0</v>
      </c>
      <c r="D695" s="13">
        <v>0</v>
      </c>
      <c r="E695" s="12">
        <v>0</v>
      </c>
      <c r="F695" s="14">
        <v>0</v>
      </c>
      <c r="G695" s="13">
        <v>2845.4947</v>
      </c>
      <c r="H695" s="14">
        <v>10238533.258674</v>
      </c>
      <c r="I695" s="14" t="e">
        <f>=Round(230.78660000,0)</f>
        <v>#VALUE!</v>
      </c>
      <c r="J695" s="14" t="e">
        <f>=Round(0.00000000,0)</f>
        <v>#VALUE!</v>
      </c>
    </row>
    <row r="696">
      <c r="A696" s="11" t="s">
        <v>50</v>
      </c>
      <c r="B696" s="12">
        <v>3598.1558</v>
      </c>
      <c r="C696" s="12">
        <v>0</v>
      </c>
      <c r="D696" s="13">
        <v>0</v>
      </c>
      <c r="E696" s="12">
        <v>0</v>
      </c>
      <c r="F696" s="14">
        <v>0</v>
      </c>
      <c r="G696" s="13">
        <v>2845.4947</v>
      </c>
      <c r="H696" s="14">
        <v>10238533.258674</v>
      </c>
      <c r="I696" s="14" t="e">
        <f>=Round(230.78660000,0)</f>
        <v>#VALUE!</v>
      </c>
      <c r="J696" s="14" t="e">
        <f>=Round(0.00000000,0)</f>
        <v>#VALUE!</v>
      </c>
    </row>
    <row r="697">
      <c r="A697" s="11" t="s">
        <v>51</v>
      </c>
      <c r="B697" s="12">
        <v>3600.124</v>
      </c>
      <c r="C697" s="12">
        <v>0</v>
      </c>
      <c r="D697" s="13">
        <v>0</v>
      </c>
      <c r="E697" s="12">
        <v>0</v>
      </c>
      <c r="F697" s="14">
        <v>0</v>
      </c>
      <c r="G697" s="13">
        <v>2845.4947</v>
      </c>
      <c r="H697" s="14">
        <v>10244133.761343</v>
      </c>
      <c r="I697" s="14" t="e">
        <f>=Round(230.78660000,0)</f>
        <v>#VALUE!</v>
      </c>
      <c r="J697" s="14" t="e">
        <f>=Round(0.00000000,0)</f>
        <v>#VALUE!</v>
      </c>
    </row>
    <row r="698">
      <c r="A698" s="11" t="s">
        <v>52</v>
      </c>
      <c r="B698" s="12">
        <v>3600.7905</v>
      </c>
      <c r="C698" s="12">
        <v>0</v>
      </c>
      <c r="D698" s="13">
        <v>0</v>
      </c>
      <c r="E698" s="12">
        <v>0</v>
      </c>
      <c r="F698" s="14">
        <v>0</v>
      </c>
      <c r="G698" s="13">
        <v>2845.4947</v>
      </c>
      <c r="H698" s="14">
        <v>10246030.28356</v>
      </c>
      <c r="I698" s="14" t="e">
        <f>=Round(230.91290000,0)</f>
        <v>#VALUE!</v>
      </c>
      <c r="J698" s="14" t="e">
        <f>=Round(0.00000000,0)</f>
        <v>#VALUE!</v>
      </c>
    </row>
    <row r="699">
      <c r="A699" s="11" t="s">
        <v>53</v>
      </c>
      <c r="B699" s="12">
        <v>3601.445</v>
      </c>
      <c r="C699" s="12">
        <v>0</v>
      </c>
      <c r="D699" s="13">
        <v>0</v>
      </c>
      <c r="E699" s="12">
        <v>0</v>
      </c>
      <c r="F699" s="14">
        <v>0</v>
      </c>
      <c r="G699" s="13">
        <v>2845.4947</v>
      </c>
      <c r="H699" s="14">
        <v>10247892.659842</v>
      </c>
      <c r="I699" s="14" t="e">
        <f>=Round(230.95560000,0)</f>
        <v>#VALUE!</v>
      </c>
      <c r="J699" s="14" t="e">
        <f>=Round(0.00000000,0)</f>
        <v>#VALUE!</v>
      </c>
    </row>
    <row r="700">
      <c r="A700" s="11" t="s">
        <v>54</v>
      </c>
      <c r="B700" s="12">
        <v>3602.0851</v>
      </c>
      <c r="C700" s="12">
        <v>0</v>
      </c>
      <c r="D700" s="13">
        <v>0</v>
      </c>
      <c r="E700" s="12">
        <v>0</v>
      </c>
      <c r="F700" s="14">
        <v>0</v>
      </c>
      <c r="G700" s="13">
        <v>2845.4947</v>
      </c>
      <c r="H700" s="14">
        <v>10249714.060999</v>
      </c>
      <c r="I700" s="14" t="e">
        <f>=Round(230.99760000,0)</f>
        <v>#VALUE!</v>
      </c>
      <c r="J700" s="14" t="e">
        <f>=Round(0.00000000,0)</f>
        <v>#VALUE!</v>
      </c>
    </row>
    <row r="701">
      <c r="A701" s="11" t="s">
        <v>55</v>
      </c>
      <c r="B701" s="12">
        <v>3602.7417</v>
      </c>
      <c r="C701" s="12">
        <v>0</v>
      </c>
      <c r="D701" s="13">
        <v>0</v>
      </c>
      <c r="E701" s="12">
        <v>0</v>
      </c>
      <c r="F701" s="14">
        <v>0</v>
      </c>
      <c r="G701" s="13">
        <v>2845.4947</v>
      </c>
      <c r="H701" s="14">
        <v>10251582.412819</v>
      </c>
      <c r="I701" s="14" t="e">
        <f>=Round(231.03860000,0)</f>
        <v>#VALUE!</v>
      </c>
      <c r="J701" s="14" t="e">
        <f>=Round(0.00000000,0)</f>
        <v>#VALUE!</v>
      </c>
    </row>
    <row r="702" ht="-1">
      <c r="A702" s="15"/>
      <c r="B702" s="16" t="s">
        <v>56</v>
      </c>
      <c r="C702" s="15"/>
      <c r="D702" s="15"/>
      <c r="E702" s="15"/>
      <c r="F702" s="15"/>
      <c r="G702" s="15"/>
      <c r="H702" s="15"/>
      <c r="I702" s="17" t="e">
        <f>=Round(SUM(I676:I701),0)</f>
        <v>#VALUE!</v>
      </c>
      <c r="J702" s="17" t="e">
        <f>=Round(SUM(J676:J701),0)</f>
        <v>#VALUE!</v>
      </c>
    </row>
    <row r="703">
      <c r="A703" s="1" t="s">
        <v>0</v>
      </c>
      <c r="B703" s="1"/>
      <c r="C703" s="1"/>
      <c r="D703" s="1"/>
    </row>
    <row r="704">
      <c r="A704" s="0" t="s">
        <v>1</v>
      </c>
      <c r="C704" s="0" t="s">
        <v>2</v>
      </c>
      <c r="H704" s="2" t="s">
        <v>3</v>
      </c>
    </row>
    <row r="705">
      <c r="A705" s="0" t="s">
        <v>4</v>
      </c>
      <c r="C705" s="0" t="s">
        <v>74</v>
      </c>
      <c r="H705" s="3" t="s">
        <v>6</v>
      </c>
    </row>
    <row r="706">
      <c r="A706" s="0" t="s">
        <v>7</v>
      </c>
      <c r="C706" s="4" t="s">
        <v>8</v>
      </c>
      <c r="H706" s="2" t="s">
        <v>9</v>
      </c>
    </row>
    <row r="707">
      <c r="A707" s="0" t="s">
        <v>10</v>
      </c>
      <c r="C707" s="4" t="s">
        <v>11</v>
      </c>
      <c r="H707" s="2" t="s">
        <v>12</v>
      </c>
    </row>
    <row r="708">
      <c r="A708" s="0" t="s">
        <v>13</v>
      </c>
      <c r="C708" s="0" t="s">
        <v>14</v>
      </c>
    </row>
    <row r="709">
      <c r="A709" s="0" t="s">
        <v>15</v>
      </c>
      <c r="C709" s="0" t="s">
        <v>16</v>
      </c>
    </row>
    <row r="710">
      <c r="A710" s="0" t="s">
        <v>17</v>
      </c>
      <c r="C710" s="0" t="s">
        <v>18</v>
      </c>
    </row>
    <row r="713">
      <c r="A713" s="5" t="s">
        <v>19</v>
      </c>
      <c r="B713" s="5" t="s">
        <v>20</v>
      </c>
      <c r="C713" s="7" t="s">
        <v>21</v>
      </c>
      <c r="D713" s="9"/>
      <c r="E713" s="7" t="s">
        <v>22</v>
      </c>
      <c r="F713" s="9"/>
      <c r="G713" s="5" t="s">
        <v>23</v>
      </c>
      <c r="H713" s="5" t="s">
        <v>24</v>
      </c>
      <c r="I713" s="5" t="s">
        <v>25</v>
      </c>
      <c r="J713" s="5" t="s">
        <v>26</v>
      </c>
    </row>
    <row r="714">
      <c r="A714" s="6"/>
      <c r="B714" s="6"/>
      <c r="C714" s="8" t="s">
        <v>27</v>
      </c>
      <c r="D714" s="8" t="s">
        <v>28</v>
      </c>
      <c r="E714" s="8" t="s">
        <v>27</v>
      </c>
      <c r="F714" s="8" t="s">
        <v>28</v>
      </c>
      <c r="G714" s="6"/>
      <c r="H714" s="6"/>
      <c r="I714" s="10" t="s">
        <v>29</v>
      </c>
      <c r="J714" s="6"/>
    </row>
    <row r="715">
      <c r="A715" s="11" t="s">
        <v>30</v>
      </c>
      <c r="B715" s="12">
        <v>3586.4187</v>
      </c>
      <c r="C715" s="12">
        <v>0</v>
      </c>
      <c r="D715" s="13">
        <v>0</v>
      </c>
      <c r="E715" s="12">
        <v>0</v>
      </c>
      <c r="F715" s="14">
        <v>0</v>
      </c>
      <c r="G715" s="13">
        <v>5587.4244</v>
      </c>
      <c r="H715" s="14">
        <v>20038843.352996</v>
      </c>
      <c r="I715" s="14" t="e">
        <f>=Round(451.44680000,0)</f>
        <v>#VALUE!</v>
      </c>
      <c r="J715" s="14" t="e">
        <f>=Round(0.00000000,0)</f>
        <v>#VALUE!</v>
      </c>
    </row>
    <row r="716">
      <c r="A716" s="11" t="s">
        <v>31</v>
      </c>
      <c r="B716" s="12">
        <v>3587.0477</v>
      </c>
      <c r="C716" s="12">
        <v>0</v>
      </c>
      <c r="D716" s="13">
        <v>0</v>
      </c>
      <c r="E716" s="12">
        <v>0</v>
      </c>
      <c r="F716" s="14">
        <v>0</v>
      </c>
      <c r="G716" s="13">
        <v>5587.4244</v>
      </c>
      <c r="H716" s="14">
        <v>20042357.842944</v>
      </c>
      <c r="I716" s="14" t="e">
        <f>=Round(451.69520000,0)</f>
        <v>#VALUE!</v>
      </c>
      <c r="J716" s="14" t="e">
        <f>=Round(0.00000000,0)</f>
        <v>#VALUE!</v>
      </c>
    </row>
    <row r="717">
      <c r="A717" s="11" t="s">
        <v>32</v>
      </c>
      <c r="B717" s="12">
        <v>3587.6685</v>
      </c>
      <c r="C717" s="12">
        <v>0</v>
      </c>
      <c r="D717" s="13">
        <v>0</v>
      </c>
      <c r="E717" s="12">
        <v>0</v>
      </c>
      <c r="F717" s="14">
        <v>0</v>
      </c>
      <c r="G717" s="13">
        <v>5587.4244</v>
      </c>
      <c r="H717" s="14">
        <v>20045826.516011</v>
      </c>
      <c r="I717" s="14" t="e">
        <f>=Round(451.77450000,0)</f>
        <v>#VALUE!</v>
      </c>
      <c r="J717" s="14" t="e">
        <f>=Round(0.00000000,0)</f>
        <v>#VALUE!</v>
      </c>
    </row>
    <row r="718">
      <c r="A718" s="11" t="s">
        <v>33</v>
      </c>
      <c r="B718" s="12">
        <v>3588.3573</v>
      </c>
      <c r="C718" s="12">
        <v>0</v>
      </c>
      <c r="D718" s="13">
        <v>0</v>
      </c>
      <c r="E718" s="12">
        <v>0</v>
      </c>
      <c r="F718" s="14">
        <v>0</v>
      </c>
      <c r="G718" s="13">
        <v>5587.4244</v>
      </c>
      <c r="H718" s="14">
        <v>20049675.133938</v>
      </c>
      <c r="I718" s="14" t="e">
        <f>=Round(451.85260000,0)</f>
        <v>#VALUE!</v>
      </c>
      <c r="J718" s="14" t="e">
        <f>=Round(0.00000000,0)</f>
        <v>#VALUE!</v>
      </c>
    </row>
    <row r="719">
      <c r="A719" s="11" t="s">
        <v>34</v>
      </c>
      <c r="B719" s="12">
        <v>3589.0109</v>
      </c>
      <c r="C719" s="12">
        <v>0</v>
      </c>
      <c r="D719" s="13">
        <v>0</v>
      </c>
      <c r="E719" s="12">
        <v>0</v>
      </c>
      <c r="F719" s="14">
        <v>0</v>
      </c>
      <c r="G719" s="13">
        <v>5587.4244</v>
      </c>
      <c r="H719" s="14">
        <v>20053327.074526</v>
      </c>
      <c r="I719" s="14" t="e">
        <f>=Round(451.93940000,0)</f>
        <v>#VALUE!</v>
      </c>
      <c r="J719" s="14" t="e">
        <f>=Round(0.00000000,0)</f>
        <v>#VALUE!</v>
      </c>
    </row>
    <row r="720">
      <c r="A720" s="11" t="s">
        <v>35</v>
      </c>
      <c r="B720" s="12">
        <v>3589.0109</v>
      </c>
      <c r="C720" s="12">
        <v>0</v>
      </c>
      <c r="D720" s="13">
        <v>0</v>
      </c>
      <c r="E720" s="12">
        <v>0</v>
      </c>
      <c r="F720" s="14">
        <v>0</v>
      </c>
      <c r="G720" s="13">
        <v>5587.4244</v>
      </c>
      <c r="H720" s="14">
        <v>20053327.074526</v>
      </c>
      <c r="I720" s="14" t="e">
        <f>=Round(452.02170000,0)</f>
        <v>#VALUE!</v>
      </c>
      <c r="J720" s="14" t="e">
        <f>=Round(0.00000000,0)</f>
        <v>#VALUE!</v>
      </c>
    </row>
    <row r="721">
      <c r="A721" s="11" t="s">
        <v>36</v>
      </c>
      <c r="B721" s="12">
        <v>3589.0109</v>
      </c>
      <c r="C721" s="12">
        <v>0</v>
      </c>
      <c r="D721" s="13">
        <v>0</v>
      </c>
      <c r="E721" s="12">
        <v>0</v>
      </c>
      <c r="F721" s="14">
        <v>0</v>
      </c>
      <c r="G721" s="13">
        <v>5587.4244</v>
      </c>
      <c r="H721" s="14">
        <v>20053327.074526</v>
      </c>
      <c r="I721" s="14" t="e">
        <f>=Round(452.02170000,0)</f>
        <v>#VALUE!</v>
      </c>
      <c r="J721" s="14" t="e">
        <f>=Round(0.00000000,0)</f>
        <v>#VALUE!</v>
      </c>
    </row>
    <row r="722">
      <c r="A722" s="11" t="s">
        <v>37</v>
      </c>
      <c r="B722" s="12">
        <v>3590.972</v>
      </c>
      <c r="C722" s="12">
        <v>0</v>
      </c>
      <c r="D722" s="13">
        <v>0</v>
      </c>
      <c r="E722" s="12">
        <v>0</v>
      </c>
      <c r="F722" s="14">
        <v>0</v>
      </c>
      <c r="G722" s="13">
        <v>5587.4244</v>
      </c>
      <c r="H722" s="14">
        <v>20064284.572517</v>
      </c>
      <c r="I722" s="14" t="e">
        <f>=Round(452.02170000,0)</f>
        <v>#VALUE!</v>
      </c>
      <c r="J722" s="14" t="e">
        <f>=Round(0.00000000,0)</f>
        <v>#VALUE!</v>
      </c>
    </row>
    <row r="723">
      <c r="A723" s="11" t="s">
        <v>38</v>
      </c>
      <c r="B723" s="12">
        <v>3591.6235</v>
      </c>
      <c r="C723" s="12">
        <v>0</v>
      </c>
      <c r="D723" s="13">
        <v>0</v>
      </c>
      <c r="E723" s="12">
        <v>0</v>
      </c>
      <c r="F723" s="14">
        <v>0</v>
      </c>
      <c r="G723" s="13">
        <v>5587.4244</v>
      </c>
      <c r="H723" s="14">
        <v>20067924.779513</v>
      </c>
      <c r="I723" s="14" t="e">
        <f>=Round(452.26870000,0)</f>
        <v>#VALUE!</v>
      </c>
      <c r="J723" s="14" t="e">
        <f>=Round(0.00000000,0)</f>
        <v>#VALUE!</v>
      </c>
    </row>
    <row r="724">
      <c r="A724" s="11" t="s">
        <v>39</v>
      </c>
      <c r="B724" s="12">
        <v>3592.281</v>
      </c>
      <c r="C724" s="12">
        <v>0</v>
      </c>
      <c r="D724" s="13">
        <v>0</v>
      </c>
      <c r="E724" s="12">
        <v>0</v>
      </c>
      <c r="F724" s="14">
        <v>0</v>
      </c>
      <c r="G724" s="13">
        <v>5587.4244</v>
      </c>
      <c r="H724" s="14">
        <v>20071598.511056</v>
      </c>
      <c r="I724" s="14" t="e">
        <f>=Round(452.35080000,0)</f>
        <v>#VALUE!</v>
      </c>
      <c r="J724" s="14" t="e">
        <f>=Round(0.00000000,0)</f>
        <v>#VALUE!</v>
      </c>
    </row>
    <row r="725">
      <c r="A725" s="11" t="s">
        <v>40</v>
      </c>
      <c r="B725" s="12">
        <v>3592.9125</v>
      </c>
      <c r="C725" s="12">
        <v>0</v>
      </c>
      <c r="D725" s="13">
        <v>0</v>
      </c>
      <c r="E725" s="12">
        <v>0</v>
      </c>
      <c r="F725" s="14">
        <v>0</v>
      </c>
      <c r="G725" s="13">
        <v>5587.4244</v>
      </c>
      <c r="H725" s="14">
        <v>20075126.969565</v>
      </c>
      <c r="I725" s="14" t="e">
        <f>=Round(452.43360000,0)</f>
        <v>#VALUE!</v>
      </c>
      <c r="J725" s="14" t="e">
        <f>=Round(0.00000000,0)</f>
        <v>#VALUE!</v>
      </c>
    </row>
    <row r="726">
      <c r="A726" s="11" t="s">
        <v>41</v>
      </c>
      <c r="B726" s="12">
        <v>3593.5674</v>
      </c>
      <c r="C726" s="12">
        <v>0</v>
      </c>
      <c r="D726" s="13">
        <v>0</v>
      </c>
      <c r="E726" s="12">
        <v>0</v>
      </c>
      <c r="F726" s="14">
        <v>0</v>
      </c>
      <c r="G726" s="13">
        <v>5587.4244</v>
      </c>
      <c r="H726" s="14">
        <v>20078786.173805</v>
      </c>
      <c r="I726" s="14" t="e">
        <f>=Round(452.51310000,0)</f>
        <v>#VALUE!</v>
      </c>
      <c r="J726" s="14" t="e">
        <f>=Round(0.00000000,0)</f>
        <v>#VALUE!</v>
      </c>
    </row>
    <row r="727">
      <c r="A727" s="11" t="s">
        <v>42</v>
      </c>
      <c r="B727" s="12">
        <v>3593.5674</v>
      </c>
      <c r="C727" s="12">
        <v>0</v>
      </c>
      <c r="D727" s="13">
        <v>0</v>
      </c>
      <c r="E727" s="12">
        <v>0</v>
      </c>
      <c r="F727" s="14">
        <v>0</v>
      </c>
      <c r="G727" s="13">
        <v>5587.4244</v>
      </c>
      <c r="H727" s="14">
        <v>20078786.173805</v>
      </c>
      <c r="I727" s="14" t="e">
        <f>=Round(452.59560000,0)</f>
        <v>#VALUE!</v>
      </c>
      <c r="J727" s="14" t="e">
        <f>=Round(0.00000000,0)</f>
        <v>#VALUE!</v>
      </c>
    </row>
    <row r="728">
      <c r="A728" s="11" t="s">
        <v>43</v>
      </c>
      <c r="B728" s="12">
        <v>3593.5674</v>
      </c>
      <c r="C728" s="12">
        <v>0</v>
      </c>
      <c r="D728" s="13">
        <v>0</v>
      </c>
      <c r="E728" s="12">
        <v>0</v>
      </c>
      <c r="F728" s="14">
        <v>0</v>
      </c>
      <c r="G728" s="13">
        <v>5587.4244</v>
      </c>
      <c r="H728" s="14">
        <v>20078786.173805</v>
      </c>
      <c r="I728" s="14" t="e">
        <f>=Round(452.59560000,0)</f>
        <v>#VALUE!</v>
      </c>
      <c r="J728" s="14" t="e">
        <f>=Round(0.00000000,0)</f>
        <v>#VALUE!</v>
      </c>
    </row>
    <row r="729">
      <c r="A729" s="11" t="s">
        <v>44</v>
      </c>
      <c r="B729" s="12">
        <v>3595.5366</v>
      </c>
      <c r="C729" s="12">
        <v>0</v>
      </c>
      <c r="D729" s="13">
        <v>0</v>
      </c>
      <c r="E729" s="12">
        <v>0</v>
      </c>
      <c r="F729" s="14">
        <v>0</v>
      </c>
      <c r="G729" s="13">
        <v>5587.4244</v>
      </c>
      <c r="H729" s="14">
        <v>20089788.929933</v>
      </c>
      <c r="I729" s="14" t="e">
        <f>=Round(452.59560000,0)</f>
        <v>#VALUE!</v>
      </c>
      <c r="J729" s="14" t="e">
        <f>=Round(0.00000000,0)</f>
        <v>#VALUE!</v>
      </c>
    </row>
    <row r="730">
      <c r="A730" s="11" t="s">
        <v>45</v>
      </c>
      <c r="B730" s="12">
        <v>3596.1915</v>
      </c>
      <c r="C730" s="12">
        <v>0</v>
      </c>
      <c r="D730" s="13">
        <v>0</v>
      </c>
      <c r="E730" s="12">
        <v>0</v>
      </c>
      <c r="F730" s="14">
        <v>0</v>
      </c>
      <c r="G730" s="13">
        <v>5587.4244</v>
      </c>
      <c r="H730" s="14">
        <v>20093448.134173</v>
      </c>
      <c r="I730" s="14" t="e">
        <f>=Round(452.84360000,0)</f>
        <v>#VALUE!</v>
      </c>
      <c r="J730" s="14" t="e">
        <f>=Round(0.00000000,0)</f>
        <v>#VALUE!</v>
      </c>
    </row>
    <row r="731">
      <c r="A731" s="11" t="s">
        <v>46</v>
      </c>
      <c r="B731" s="12">
        <v>3596.8461</v>
      </c>
      <c r="C731" s="12">
        <v>0</v>
      </c>
      <c r="D731" s="13">
        <v>0</v>
      </c>
      <c r="E731" s="12">
        <v>0</v>
      </c>
      <c r="F731" s="14">
        <v>0</v>
      </c>
      <c r="G731" s="13">
        <v>5587.4244</v>
      </c>
      <c r="H731" s="14">
        <v>20097105.662185</v>
      </c>
      <c r="I731" s="14" t="e">
        <f>=Round(452.92610000,0)</f>
        <v>#VALUE!</v>
      </c>
      <c r="J731" s="14" t="e">
        <f>=Round(0.00000000,0)</f>
        <v>#VALUE!</v>
      </c>
    </row>
    <row r="732">
      <c r="A732" s="11" t="s">
        <v>47</v>
      </c>
      <c r="B732" s="12">
        <v>3597.4992</v>
      </c>
      <c r="C732" s="12">
        <v>0</v>
      </c>
      <c r="D732" s="13">
        <v>0</v>
      </c>
      <c r="E732" s="12">
        <v>0</v>
      </c>
      <c r="F732" s="14">
        <v>0</v>
      </c>
      <c r="G732" s="13">
        <v>5587.4244</v>
      </c>
      <c r="H732" s="14">
        <v>20100754.80906</v>
      </c>
      <c r="I732" s="14" t="e">
        <f>=Round(453.00850000,0)</f>
        <v>#VALUE!</v>
      </c>
      <c r="J732" s="14" t="e">
        <f>=Round(0.00000000,0)</f>
        <v>#VALUE!</v>
      </c>
    </row>
    <row r="733">
      <c r="A733" s="11" t="s">
        <v>48</v>
      </c>
      <c r="B733" s="12">
        <v>3598.1558</v>
      </c>
      <c r="C733" s="12">
        <v>0</v>
      </c>
      <c r="D733" s="13">
        <v>0</v>
      </c>
      <c r="E733" s="12">
        <v>0</v>
      </c>
      <c r="F733" s="14">
        <v>0</v>
      </c>
      <c r="G733" s="13">
        <v>5587.4244</v>
      </c>
      <c r="H733" s="14">
        <v>20104423.511922</v>
      </c>
      <c r="I733" s="14" t="e">
        <f>=Round(453.09080000,0)</f>
        <v>#VALUE!</v>
      </c>
      <c r="J733" s="14" t="e">
        <f>=Round(0.00000000,0)</f>
        <v>#VALUE!</v>
      </c>
    </row>
    <row r="734">
      <c r="A734" s="11" t="s">
        <v>49</v>
      </c>
      <c r="B734" s="12">
        <v>3598.1558</v>
      </c>
      <c r="C734" s="12">
        <v>0</v>
      </c>
      <c r="D734" s="13">
        <v>0</v>
      </c>
      <c r="E734" s="12">
        <v>0</v>
      </c>
      <c r="F734" s="14">
        <v>0</v>
      </c>
      <c r="G734" s="13">
        <v>5587.4244</v>
      </c>
      <c r="H734" s="14">
        <v>20104423.511922</v>
      </c>
      <c r="I734" s="14" t="e">
        <f>=Round(453.17350000,0)</f>
        <v>#VALUE!</v>
      </c>
      <c r="J734" s="14" t="e">
        <f>=Round(0.00000000,0)</f>
        <v>#VALUE!</v>
      </c>
    </row>
    <row r="735">
      <c r="A735" s="11" t="s">
        <v>50</v>
      </c>
      <c r="B735" s="12">
        <v>3598.1558</v>
      </c>
      <c r="C735" s="12">
        <v>0</v>
      </c>
      <c r="D735" s="13">
        <v>0</v>
      </c>
      <c r="E735" s="12">
        <v>0</v>
      </c>
      <c r="F735" s="14">
        <v>0</v>
      </c>
      <c r="G735" s="13">
        <v>5587.4244</v>
      </c>
      <c r="H735" s="14">
        <v>20104423.511922</v>
      </c>
      <c r="I735" s="14" t="e">
        <f>=Round(453.17350000,0)</f>
        <v>#VALUE!</v>
      </c>
      <c r="J735" s="14" t="e">
        <f>=Round(0.00000000,0)</f>
        <v>#VALUE!</v>
      </c>
    </row>
    <row r="736">
      <c r="A736" s="11" t="s">
        <v>51</v>
      </c>
      <c r="B736" s="12">
        <v>3600.124</v>
      </c>
      <c r="C736" s="12">
        <v>0</v>
      </c>
      <c r="D736" s="13">
        <v>0</v>
      </c>
      <c r="E736" s="12">
        <v>0</v>
      </c>
      <c r="F736" s="14">
        <v>0</v>
      </c>
      <c r="G736" s="13">
        <v>5587.4244</v>
      </c>
      <c r="H736" s="14">
        <v>20115420.680626</v>
      </c>
      <c r="I736" s="14" t="e">
        <f>=Round(453.17350000,0)</f>
        <v>#VALUE!</v>
      </c>
      <c r="J736" s="14" t="e">
        <f>=Round(0.00000000,0)</f>
        <v>#VALUE!</v>
      </c>
    </row>
    <row r="737">
      <c r="A737" s="11" t="s">
        <v>52</v>
      </c>
      <c r="B737" s="12">
        <v>3600.7905</v>
      </c>
      <c r="C737" s="12">
        <v>0</v>
      </c>
      <c r="D737" s="13">
        <v>0</v>
      </c>
      <c r="E737" s="12">
        <v>0</v>
      </c>
      <c r="F737" s="14">
        <v>0</v>
      </c>
      <c r="G737" s="13">
        <v>5587.4244</v>
      </c>
      <c r="H737" s="14">
        <v>20119144.698988</v>
      </c>
      <c r="I737" s="14" t="e">
        <f>=Round(453.42140000,0)</f>
        <v>#VALUE!</v>
      </c>
      <c r="J737" s="14" t="e">
        <f>=Round(0.00000000,0)</f>
        <v>#VALUE!</v>
      </c>
    </row>
    <row r="738">
      <c r="A738" s="11" t="s">
        <v>53</v>
      </c>
      <c r="B738" s="12">
        <v>3601.445</v>
      </c>
      <c r="C738" s="12">
        <v>0</v>
      </c>
      <c r="D738" s="13">
        <v>0</v>
      </c>
      <c r="E738" s="12">
        <v>0</v>
      </c>
      <c r="F738" s="14">
        <v>0</v>
      </c>
      <c r="G738" s="13">
        <v>5587.4244</v>
      </c>
      <c r="H738" s="14">
        <v>20122801.668258</v>
      </c>
      <c r="I738" s="14" t="e">
        <f>=Round(453.50530000,0)</f>
        <v>#VALUE!</v>
      </c>
      <c r="J738" s="14" t="e">
        <f>=Round(0.00000000,0)</f>
        <v>#VALUE!</v>
      </c>
    </row>
    <row r="739">
      <c r="A739" s="11" t="s">
        <v>54</v>
      </c>
      <c r="B739" s="12">
        <v>3602.0851</v>
      </c>
      <c r="C739" s="12">
        <v>0</v>
      </c>
      <c r="D739" s="13">
        <v>0</v>
      </c>
      <c r="E739" s="12">
        <v>0</v>
      </c>
      <c r="F739" s="14">
        <v>0</v>
      </c>
      <c r="G739" s="13">
        <v>5587.4244</v>
      </c>
      <c r="H739" s="14">
        <v>20126378.178616</v>
      </c>
      <c r="I739" s="14" t="e">
        <f>=Round(453.58770000,0)</f>
        <v>#VALUE!</v>
      </c>
      <c r="J739" s="14" t="e">
        <f>=Round(0.00000000,0)</f>
        <v>#VALUE!</v>
      </c>
    </row>
    <row r="740">
      <c r="A740" s="11" t="s">
        <v>55</v>
      </c>
      <c r="B740" s="12">
        <v>3602.7417</v>
      </c>
      <c r="C740" s="12">
        <v>0</v>
      </c>
      <c r="D740" s="13">
        <v>0</v>
      </c>
      <c r="E740" s="12">
        <v>0</v>
      </c>
      <c r="F740" s="14">
        <v>0</v>
      </c>
      <c r="G740" s="13">
        <v>5587.4244</v>
      </c>
      <c r="H740" s="14">
        <v>20130046.881477</v>
      </c>
      <c r="I740" s="14" t="e">
        <f>=Round(453.66840000,0)</f>
        <v>#VALUE!</v>
      </c>
      <c r="J740" s="14" t="e">
        <f>=Round(0.00000000,0)</f>
        <v>#VALUE!</v>
      </c>
    </row>
    <row r="741" ht="-1">
      <c r="A741" s="15"/>
      <c r="B741" s="16" t="s">
        <v>56</v>
      </c>
      <c r="C741" s="15"/>
      <c r="D741" s="15"/>
      <c r="E741" s="15"/>
      <c r="F741" s="15"/>
      <c r="G741" s="15"/>
      <c r="H741" s="15"/>
      <c r="I741" s="17" t="e">
        <f>=Round(SUM(I715:I740),0)</f>
        <v>#VALUE!</v>
      </c>
      <c r="J741" s="17" t="e">
        <f>=Round(SUM(J715:J740),0)</f>
        <v>#VALUE!</v>
      </c>
    </row>
    <row r="742">
      <c r="A742" s="1" t="s">
        <v>0</v>
      </c>
      <c r="B742" s="1"/>
      <c r="C742" s="1"/>
      <c r="D742" s="1"/>
    </row>
    <row r="743">
      <c r="A743" s="0" t="s">
        <v>1</v>
      </c>
      <c r="C743" s="0" t="s">
        <v>2</v>
      </c>
      <c r="H743" s="2" t="s">
        <v>3</v>
      </c>
    </row>
    <row r="744">
      <c r="A744" s="0" t="s">
        <v>4</v>
      </c>
      <c r="C744" s="0" t="s">
        <v>75</v>
      </c>
      <c r="H744" s="3" t="s">
        <v>6</v>
      </c>
    </row>
    <row r="745">
      <c r="A745" s="0" t="s">
        <v>7</v>
      </c>
      <c r="C745" s="4" t="s">
        <v>8</v>
      </c>
      <c r="H745" s="2" t="s">
        <v>9</v>
      </c>
    </row>
    <row r="746">
      <c r="A746" s="0" t="s">
        <v>10</v>
      </c>
      <c r="C746" s="4" t="s">
        <v>11</v>
      </c>
      <c r="H746" s="2" t="s">
        <v>12</v>
      </c>
    </row>
    <row r="747">
      <c r="A747" s="0" t="s">
        <v>13</v>
      </c>
      <c r="C747" s="0" t="s">
        <v>14</v>
      </c>
    </row>
    <row r="748">
      <c r="A748" s="0" t="s">
        <v>15</v>
      </c>
      <c r="C748" s="0" t="s">
        <v>16</v>
      </c>
    </row>
    <row r="749">
      <c r="A749" s="0" t="s">
        <v>17</v>
      </c>
      <c r="C749" s="0" t="s">
        <v>18</v>
      </c>
    </row>
    <row r="752">
      <c r="A752" s="5" t="s">
        <v>19</v>
      </c>
      <c r="B752" s="5" t="s">
        <v>20</v>
      </c>
      <c r="C752" s="7" t="s">
        <v>21</v>
      </c>
      <c r="D752" s="9"/>
      <c r="E752" s="7" t="s">
        <v>22</v>
      </c>
      <c r="F752" s="9"/>
      <c r="G752" s="5" t="s">
        <v>23</v>
      </c>
      <c r="H752" s="5" t="s">
        <v>24</v>
      </c>
      <c r="I752" s="5" t="s">
        <v>25</v>
      </c>
      <c r="J752" s="5" t="s">
        <v>26</v>
      </c>
    </row>
    <row r="753">
      <c r="A753" s="6"/>
      <c r="B753" s="6"/>
      <c r="C753" s="8" t="s">
        <v>27</v>
      </c>
      <c r="D753" s="8" t="s">
        <v>28</v>
      </c>
      <c r="E753" s="8" t="s">
        <v>27</v>
      </c>
      <c r="F753" s="8" t="s">
        <v>28</v>
      </c>
      <c r="G753" s="6"/>
      <c r="H753" s="6"/>
      <c r="I753" s="10" t="s">
        <v>29</v>
      </c>
      <c r="J753" s="6"/>
    </row>
    <row r="754">
      <c r="A754" s="11" t="s">
        <v>30</v>
      </c>
      <c r="B754" s="12">
        <v>3586.4187</v>
      </c>
      <c r="C754" s="12">
        <v>0</v>
      </c>
      <c r="D754" s="13">
        <v>0</v>
      </c>
      <c r="E754" s="12">
        <v>0</v>
      </c>
      <c r="F754" s="14">
        <v>0</v>
      </c>
      <c r="G754" s="13">
        <v>922.7072</v>
      </c>
      <c r="H754" s="14">
        <v>3309214.356705</v>
      </c>
      <c r="I754" s="14" t="e">
        <f>=Round(74.55190000,0)</f>
        <v>#VALUE!</v>
      </c>
      <c r="J754" s="14" t="e">
        <f>=Round(0.00000000,0)</f>
        <v>#VALUE!</v>
      </c>
    </row>
    <row r="755">
      <c r="A755" s="11" t="s">
        <v>31</v>
      </c>
      <c r="B755" s="12">
        <v>3587.0477</v>
      </c>
      <c r="C755" s="12">
        <v>0</v>
      </c>
      <c r="D755" s="13">
        <v>0</v>
      </c>
      <c r="E755" s="12">
        <v>0</v>
      </c>
      <c r="F755" s="14">
        <v>0</v>
      </c>
      <c r="G755" s="13">
        <v>922.7072</v>
      </c>
      <c r="H755" s="14">
        <v>3309794.739533</v>
      </c>
      <c r="I755" s="14" t="e">
        <f>=Round(74.59290000,0)</f>
        <v>#VALUE!</v>
      </c>
      <c r="J755" s="14" t="e">
        <f>=Round(0.00000000,0)</f>
        <v>#VALUE!</v>
      </c>
    </row>
    <row r="756">
      <c r="A756" s="11" t="s">
        <v>32</v>
      </c>
      <c r="B756" s="12">
        <v>3587.6685</v>
      </c>
      <c r="C756" s="12">
        <v>0</v>
      </c>
      <c r="D756" s="13">
        <v>0</v>
      </c>
      <c r="E756" s="12">
        <v>0</v>
      </c>
      <c r="F756" s="14">
        <v>0</v>
      </c>
      <c r="G756" s="13">
        <v>922.7072</v>
      </c>
      <c r="H756" s="14">
        <v>3310367.556163</v>
      </c>
      <c r="I756" s="14" t="e">
        <f>=Round(74.60600000,0)</f>
        <v>#VALUE!</v>
      </c>
      <c r="J756" s="14" t="e">
        <f>=Round(0.00000000,0)</f>
        <v>#VALUE!</v>
      </c>
    </row>
    <row r="757">
      <c r="A757" s="11" t="s">
        <v>33</v>
      </c>
      <c r="B757" s="12">
        <v>3588.3573</v>
      </c>
      <c r="C757" s="12">
        <v>0</v>
      </c>
      <c r="D757" s="13">
        <v>0</v>
      </c>
      <c r="E757" s="12">
        <v>0</v>
      </c>
      <c r="F757" s="14">
        <v>0</v>
      </c>
      <c r="G757" s="13">
        <v>922.7072</v>
      </c>
      <c r="H757" s="14">
        <v>3311003.116883</v>
      </c>
      <c r="I757" s="14" t="e">
        <f>=Round(74.61890000,0)</f>
        <v>#VALUE!</v>
      </c>
      <c r="J757" s="14" t="e">
        <f>=Round(0.00000000,0)</f>
        <v>#VALUE!</v>
      </c>
    </row>
    <row r="758">
      <c r="A758" s="11" t="s">
        <v>34</v>
      </c>
      <c r="B758" s="12">
        <v>3589.0109</v>
      </c>
      <c r="C758" s="12">
        <v>0</v>
      </c>
      <c r="D758" s="13">
        <v>0</v>
      </c>
      <c r="E758" s="12">
        <v>0</v>
      </c>
      <c r="F758" s="14">
        <v>0</v>
      </c>
      <c r="G758" s="13">
        <v>922.7072</v>
      </c>
      <c r="H758" s="14">
        <v>3311606.198308</v>
      </c>
      <c r="I758" s="14" t="e">
        <f>=Round(74.63330000,0)</f>
        <v>#VALUE!</v>
      </c>
      <c r="J758" s="14" t="e">
        <f>=Round(0.00000000,0)</f>
        <v>#VALUE!</v>
      </c>
    </row>
    <row r="759">
      <c r="A759" s="11" t="s">
        <v>35</v>
      </c>
      <c r="B759" s="12">
        <v>3589.0109</v>
      </c>
      <c r="C759" s="12">
        <v>0</v>
      </c>
      <c r="D759" s="13">
        <v>0</v>
      </c>
      <c r="E759" s="12">
        <v>0</v>
      </c>
      <c r="F759" s="14">
        <v>0</v>
      </c>
      <c r="G759" s="13">
        <v>922.7072</v>
      </c>
      <c r="H759" s="14">
        <v>3311606.198308</v>
      </c>
      <c r="I759" s="14" t="e">
        <f>=Round(74.64690000,0)</f>
        <v>#VALUE!</v>
      </c>
      <c r="J759" s="14" t="e">
        <f>=Round(0.00000000,0)</f>
        <v>#VALUE!</v>
      </c>
    </row>
    <row r="760">
      <c r="A760" s="11" t="s">
        <v>36</v>
      </c>
      <c r="B760" s="12">
        <v>3589.0109</v>
      </c>
      <c r="C760" s="12">
        <v>0</v>
      </c>
      <c r="D760" s="13">
        <v>0</v>
      </c>
      <c r="E760" s="12">
        <v>0</v>
      </c>
      <c r="F760" s="14">
        <v>0</v>
      </c>
      <c r="G760" s="13">
        <v>922.7072</v>
      </c>
      <c r="H760" s="14">
        <v>3311606.198308</v>
      </c>
      <c r="I760" s="14" t="e">
        <f>=Round(74.64690000,0)</f>
        <v>#VALUE!</v>
      </c>
      <c r="J760" s="14" t="e">
        <f>=Round(0.00000000,0)</f>
        <v>#VALUE!</v>
      </c>
    </row>
    <row r="761">
      <c r="A761" s="11" t="s">
        <v>37</v>
      </c>
      <c r="B761" s="12">
        <v>3590.972</v>
      </c>
      <c r="C761" s="12">
        <v>0</v>
      </c>
      <c r="D761" s="13">
        <v>0</v>
      </c>
      <c r="E761" s="12">
        <v>0</v>
      </c>
      <c r="F761" s="14">
        <v>0</v>
      </c>
      <c r="G761" s="13">
        <v>922.7072</v>
      </c>
      <c r="H761" s="14">
        <v>3313415.719398</v>
      </c>
      <c r="I761" s="14" t="e">
        <f>=Round(74.64690000,0)</f>
        <v>#VALUE!</v>
      </c>
      <c r="J761" s="14" t="e">
        <f>=Round(0.00000000,0)</f>
        <v>#VALUE!</v>
      </c>
    </row>
    <row r="762">
      <c r="A762" s="11" t="s">
        <v>38</v>
      </c>
      <c r="B762" s="12">
        <v>3591.6235</v>
      </c>
      <c r="C762" s="12">
        <v>0</v>
      </c>
      <c r="D762" s="13">
        <v>0</v>
      </c>
      <c r="E762" s="12">
        <v>0</v>
      </c>
      <c r="F762" s="14">
        <v>0</v>
      </c>
      <c r="G762" s="13">
        <v>922.7072</v>
      </c>
      <c r="H762" s="14">
        <v>3314016.863139</v>
      </c>
      <c r="I762" s="14" t="e">
        <f>=Round(74.68760000,0)</f>
        <v>#VALUE!</v>
      </c>
      <c r="J762" s="14" t="e">
        <f>=Round(0.00000000,0)</f>
        <v>#VALUE!</v>
      </c>
    </row>
    <row r="763">
      <c r="A763" s="11" t="s">
        <v>39</v>
      </c>
      <c r="B763" s="12">
        <v>3592.281</v>
      </c>
      <c r="C763" s="12">
        <v>0</v>
      </c>
      <c r="D763" s="13">
        <v>0</v>
      </c>
      <c r="E763" s="12">
        <v>0</v>
      </c>
      <c r="F763" s="14">
        <v>0</v>
      </c>
      <c r="G763" s="13">
        <v>922.7072</v>
      </c>
      <c r="H763" s="14">
        <v>3314623.543123</v>
      </c>
      <c r="I763" s="14" t="e">
        <f>=Round(74.70120000,0)</f>
        <v>#VALUE!</v>
      </c>
      <c r="J763" s="14" t="e">
        <f>=Round(0.00000000,0)</f>
        <v>#VALUE!</v>
      </c>
    </row>
    <row r="764">
      <c r="A764" s="11" t="s">
        <v>40</v>
      </c>
      <c r="B764" s="12">
        <v>3592.9125</v>
      </c>
      <c r="C764" s="12">
        <v>0</v>
      </c>
      <c r="D764" s="13">
        <v>0</v>
      </c>
      <c r="E764" s="12">
        <v>0</v>
      </c>
      <c r="F764" s="14">
        <v>0</v>
      </c>
      <c r="G764" s="13">
        <v>922.7072</v>
      </c>
      <c r="H764" s="14">
        <v>3315206.23272</v>
      </c>
      <c r="I764" s="14" t="e">
        <f>=Round(74.71490000,0)</f>
        <v>#VALUE!</v>
      </c>
      <c r="J764" s="14" t="e">
        <f>=Round(0.00000000,0)</f>
        <v>#VALUE!</v>
      </c>
    </row>
    <row r="765">
      <c r="A765" s="11" t="s">
        <v>41</v>
      </c>
      <c r="B765" s="12">
        <v>3593.5674</v>
      </c>
      <c r="C765" s="12">
        <v>0</v>
      </c>
      <c r="D765" s="13">
        <v>0</v>
      </c>
      <c r="E765" s="12">
        <v>0</v>
      </c>
      <c r="F765" s="14">
        <v>0</v>
      </c>
      <c r="G765" s="13">
        <v>922.7072</v>
      </c>
      <c r="H765" s="14">
        <v>3315810.513665</v>
      </c>
      <c r="I765" s="14" t="e">
        <f>=Round(74.72800000,0)</f>
        <v>#VALUE!</v>
      </c>
      <c r="J765" s="14" t="e">
        <f>=Round(0.00000000,0)</f>
        <v>#VALUE!</v>
      </c>
    </row>
    <row r="766">
      <c r="A766" s="11" t="s">
        <v>42</v>
      </c>
      <c r="B766" s="12">
        <v>3593.5674</v>
      </c>
      <c r="C766" s="12">
        <v>0</v>
      </c>
      <c r="D766" s="13">
        <v>0</v>
      </c>
      <c r="E766" s="12">
        <v>0</v>
      </c>
      <c r="F766" s="14">
        <v>0</v>
      </c>
      <c r="G766" s="13">
        <v>922.7072</v>
      </c>
      <c r="H766" s="14">
        <v>3315810.513665</v>
      </c>
      <c r="I766" s="14" t="e">
        <f>=Round(74.74160000,0)</f>
        <v>#VALUE!</v>
      </c>
      <c r="J766" s="14" t="e">
        <f>=Round(0.00000000,0)</f>
        <v>#VALUE!</v>
      </c>
    </row>
    <row r="767">
      <c r="A767" s="11" t="s">
        <v>43</v>
      </c>
      <c r="B767" s="12">
        <v>3593.5674</v>
      </c>
      <c r="C767" s="12">
        <v>0</v>
      </c>
      <c r="D767" s="13">
        <v>0</v>
      </c>
      <c r="E767" s="12">
        <v>0</v>
      </c>
      <c r="F767" s="14">
        <v>0</v>
      </c>
      <c r="G767" s="13">
        <v>922.7072</v>
      </c>
      <c r="H767" s="14">
        <v>3315810.513665</v>
      </c>
      <c r="I767" s="14" t="e">
        <f>=Round(74.74160000,0)</f>
        <v>#VALUE!</v>
      </c>
      <c r="J767" s="14" t="e">
        <f>=Round(0.00000000,0)</f>
        <v>#VALUE!</v>
      </c>
    </row>
    <row r="768">
      <c r="A768" s="11" t="s">
        <v>44</v>
      </c>
      <c r="B768" s="12">
        <v>3595.5366</v>
      </c>
      <c r="C768" s="12">
        <v>0</v>
      </c>
      <c r="D768" s="13">
        <v>0</v>
      </c>
      <c r="E768" s="12">
        <v>0</v>
      </c>
      <c r="F768" s="14">
        <v>0</v>
      </c>
      <c r="G768" s="13">
        <v>922.7072</v>
      </c>
      <c r="H768" s="14">
        <v>3317627.508684</v>
      </c>
      <c r="I768" s="14" t="e">
        <f>=Round(74.74160000,0)</f>
        <v>#VALUE!</v>
      </c>
      <c r="J768" s="14" t="e">
        <f>=Round(0.00000000,0)</f>
        <v>#VALUE!</v>
      </c>
    </row>
    <row r="769">
      <c r="A769" s="11" t="s">
        <v>45</v>
      </c>
      <c r="B769" s="12">
        <v>3596.1915</v>
      </c>
      <c r="C769" s="12">
        <v>0</v>
      </c>
      <c r="D769" s="13">
        <v>0</v>
      </c>
      <c r="E769" s="12">
        <v>0</v>
      </c>
      <c r="F769" s="14">
        <v>0</v>
      </c>
      <c r="G769" s="13">
        <v>922.7072</v>
      </c>
      <c r="H769" s="14">
        <v>3318231.789629</v>
      </c>
      <c r="I769" s="14" t="e">
        <f>=Round(74.78260000,0)</f>
        <v>#VALUE!</v>
      </c>
      <c r="J769" s="14" t="e">
        <f>=Round(0.00000000,0)</f>
        <v>#VALUE!</v>
      </c>
    </row>
    <row r="770">
      <c r="A770" s="11" t="s">
        <v>46</v>
      </c>
      <c r="B770" s="12">
        <v>3596.8461</v>
      </c>
      <c r="C770" s="12">
        <v>0</v>
      </c>
      <c r="D770" s="13">
        <v>0</v>
      </c>
      <c r="E770" s="12">
        <v>0</v>
      </c>
      <c r="F770" s="14">
        <v>0</v>
      </c>
      <c r="G770" s="13">
        <v>922.7072</v>
      </c>
      <c r="H770" s="14">
        <v>3318835.793762</v>
      </c>
      <c r="I770" s="14" t="e">
        <f>=Round(74.79620000,0)</f>
        <v>#VALUE!</v>
      </c>
      <c r="J770" s="14" t="e">
        <f>=Round(0.00000000,0)</f>
        <v>#VALUE!</v>
      </c>
    </row>
    <row r="771">
      <c r="A771" s="11" t="s">
        <v>47</v>
      </c>
      <c r="B771" s="12">
        <v>3597.4992</v>
      </c>
      <c r="C771" s="12">
        <v>0</v>
      </c>
      <c r="D771" s="13">
        <v>0</v>
      </c>
      <c r="E771" s="12">
        <v>0</v>
      </c>
      <c r="F771" s="14">
        <v>0</v>
      </c>
      <c r="G771" s="13">
        <v>922.7072</v>
      </c>
      <c r="H771" s="14">
        <v>3319438.413834</v>
      </c>
      <c r="I771" s="14" t="e">
        <f>=Round(74.80980000,0)</f>
        <v>#VALUE!</v>
      </c>
      <c r="J771" s="14" t="e">
        <f>=Round(0.00000000,0)</f>
        <v>#VALUE!</v>
      </c>
    </row>
    <row r="772">
      <c r="A772" s="11" t="s">
        <v>48</v>
      </c>
      <c r="B772" s="12">
        <v>3598.1558</v>
      </c>
      <c r="C772" s="12">
        <v>0</v>
      </c>
      <c r="D772" s="13">
        <v>0</v>
      </c>
      <c r="E772" s="12">
        <v>0</v>
      </c>
      <c r="F772" s="14">
        <v>0</v>
      </c>
      <c r="G772" s="13">
        <v>922.7072</v>
      </c>
      <c r="H772" s="14">
        <v>3320044.263382</v>
      </c>
      <c r="I772" s="14" t="e">
        <f>=Round(74.82340000,0)</f>
        <v>#VALUE!</v>
      </c>
      <c r="J772" s="14" t="e">
        <f>=Round(0.00000000,0)</f>
        <v>#VALUE!</v>
      </c>
    </row>
    <row r="773">
      <c r="A773" s="11" t="s">
        <v>49</v>
      </c>
      <c r="B773" s="12">
        <v>3598.1558</v>
      </c>
      <c r="C773" s="12">
        <v>0</v>
      </c>
      <c r="D773" s="13">
        <v>0</v>
      </c>
      <c r="E773" s="12">
        <v>0</v>
      </c>
      <c r="F773" s="14">
        <v>0</v>
      </c>
      <c r="G773" s="13">
        <v>922.7072</v>
      </c>
      <c r="H773" s="14">
        <v>3320044.263382</v>
      </c>
      <c r="I773" s="14" t="e">
        <f>=Round(74.83710000,0)</f>
        <v>#VALUE!</v>
      </c>
      <c r="J773" s="14" t="e">
        <f>=Round(0.00000000,0)</f>
        <v>#VALUE!</v>
      </c>
    </row>
    <row r="774">
      <c r="A774" s="11" t="s">
        <v>50</v>
      </c>
      <c r="B774" s="12">
        <v>3598.1558</v>
      </c>
      <c r="C774" s="12">
        <v>0</v>
      </c>
      <c r="D774" s="13">
        <v>0</v>
      </c>
      <c r="E774" s="12">
        <v>0</v>
      </c>
      <c r="F774" s="14">
        <v>0</v>
      </c>
      <c r="G774" s="13">
        <v>922.7072</v>
      </c>
      <c r="H774" s="14">
        <v>3320044.263382</v>
      </c>
      <c r="I774" s="14" t="e">
        <f>=Round(74.83710000,0)</f>
        <v>#VALUE!</v>
      </c>
      <c r="J774" s="14" t="e">
        <f>=Round(0.00000000,0)</f>
        <v>#VALUE!</v>
      </c>
    </row>
    <row r="775">
      <c r="A775" s="11" t="s">
        <v>51</v>
      </c>
      <c r="B775" s="12">
        <v>3600.124</v>
      </c>
      <c r="C775" s="12">
        <v>0</v>
      </c>
      <c r="D775" s="13">
        <v>0</v>
      </c>
      <c r="E775" s="12">
        <v>0</v>
      </c>
      <c r="F775" s="14">
        <v>0</v>
      </c>
      <c r="G775" s="13">
        <v>922.7072</v>
      </c>
      <c r="H775" s="14">
        <v>3321860.335693</v>
      </c>
      <c r="I775" s="14" t="e">
        <f>=Round(74.83710000,0)</f>
        <v>#VALUE!</v>
      </c>
      <c r="J775" s="14" t="e">
        <f>=Round(0.00000000,0)</f>
        <v>#VALUE!</v>
      </c>
    </row>
    <row r="776">
      <c r="A776" s="11" t="s">
        <v>52</v>
      </c>
      <c r="B776" s="12">
        <v>3600.7905</v>
      </c>
      <c r="C776" s="12">
        <v>0</v>
      </c>
      <c r="D776" s="13">
        <v>0</v>
      </c>
      <c r="E776" s="12">
        <v>0</v>
      </c>
      <c r="F776" s="14">
        <v>0</v>
      </c>
      <c r="G776" s="13">
        <v>922.7072</v>
      </c>
      <c r="H776" s="14">
        <v>3322475.320042</v>
      </c>
      <c r="I776" s="14" t="e">
        <f>=Round(74.87800000,0)</f>
        <v>#VALUE!</v>
      </c>
      <c r="J776" s="14" t="e">
        <f>=Round(0.00000000,0)</f>
        <v>#VALUE!</v>
      </c>
    </row>
    <row r="777">
      <c r="A777" s="11" t="s">
        <v>53</v>
      </c>
      <c r="B777" s="12">
        <v>3601.445</v>
      </c>
      <c r="C777" s="12">
        <v>0</v>
      </c>
      <c r="D777" s="13">
        <v>0</v>
      </c>
      <c r="E777" s="12">
        <v>0</v>
      </c>
      <c r="F777" s="14">
        <v>0</v>
      </c>
      <c r="G777" s="13">
        <v>922.7072</v>
      </c>
      <c r="H777" s="14">
        <v>3323079.231904</v>
      </c>
      <c r="I777" s="14" t="e">
        <f>=Round(74.89190000,0)</f>
        <v>#VALUE!</v>
      </c>
      <c r="J777" s="14" t="e">
        <f>=Round(0.00000000,0)</f>
        <v>#VALUE!</v>
      </c>
    </row>
    <row r="778">
      <c r="A778" s="11" t="s">
        <v>54</v>
      </c>
      <c r="B778" s="12">
        <v>3602.0851</v>
      </c>
      <c r="C778" s="12">
        <v>0</v>
      </c>
      <c r="D778" s="13">
        <v>0</v>
      </c>
      <c r="E778" s="12">
        <v>0</v>
      </c>
      <c r="F778" s="14">
        <v>0</v>
      </c>
      <c r="G778" s="13">
        <v>922.7072</v>
      </c>
      <c r="H778" s="14">
        <v>3323669.856783</v>
      </c>
      <c r="I778" s="14" t="e">
        <f>=Round(74.90550000,0)</f>
        <v>#VALUE!</v>
      </c>
      <c r="J778" s="14" t="e">
        <f>=Round(0.00000000,0)</f>
        <v>#VALUE!</v>
      </c>
    </row>
    <row r="779">
      <c r="A779" s="11" t="s">
        <v>55</v>
      </c>
      <c r="B779" s="12">
        <v>3602.7417</v>
      </c>
      <c r="C779" s="12">
        <v>0</v>
      </c>
      <c r="D779" s="13">
        <v>0</v>
      </c>
      <c r="E779" s="12">
        <v>0</v>
      </c>
      <c r="F779" s="14">
        <v>0</v>
      </c>
      <c r="G779" s="13">
        <v>922.7072</v>
      </c>
      <c r="H779" s="14">
        <v>3324275.70633</v>
      </c>
      <c r="I779" s="14" t="e">
        <f>=Round(74.91880000,0)</f>
        <v>#VALUE!</v>
      </c>
      <c r="J779" s="14" t="e">
        <f>=Round(0.00000000,0)</f>
        <v>#VALUE!</v>
      </c>
    </row>
    <row r="780" ht="-1">
      <c r="A780" s="15"/>
      <c r="B780" s="16" t="s">
        <v>56</v>
      </c>
      <c r="C780" s="15"/>
      <c r="D780" s="15"/>
      <c r="E780" s="15"/>
      <c r="F780" s="15"/>
      <c r="G780" s="15"/>
      <c r="H780" s="15"/>
      <c r="I780" s="17" t="e">
        <f>=Round(SUM(I754:I779),0)</f>
        <v>#VALUE!</v>
      </c>
      <c r="J780" s="17" t="e">
        <f>=Round(SUM(J754:J779),0)</f>
        <v>#VALUE!</v>
      </c>
    </row>
    <row r="781">
      <c r="A781" s="1" t="s">
        <v>0</v>
      </c>
      <c r="B781" s="1"/>
      <c r="C781" s="1"/>
      <c r="D781" s="1"/>
    </row>
    <row r="782">
      <c r="A782" s="0" t="s">
        <v>1</v>
      </c>
      <c r="C782" s="0" t="s">
        <v>2</v>
      </c>
      <c r="H782" s="2" t="s">
        <v>3</v>
      </c>
    </row>
    <row r="783">
      <c r="A783" s="0" t="s">
        <v>4</v>
      </c>
      <c r="C783" s="0" t="s">
        <v>76</v>
      </c>
      <c r="H783" s="3" t="s">
        <v>6</v>
      </c>
    </row>
    <row r="784">
      <c r="A784" s="0" t="s">
        <v>7</v>
      </c>
      <c r="C784" s="4" t="s">
        <v>8</v>
      </c>
      <c r="H784" s="2" t="s">
        <v>9</v>
      </c>
    </row>
    <row r="785">
      <c r="A785" s="0" t="s">
        <v>10</v>
      </c>
      <c r="C785" s="4" t="s">
        <v>11</v>
      </c>
      <c r="H785" s="2" t="s">
        <v>12</v>
      </c>
    </row>
    <row r="786">
      <c r="A786" s="0" t="s">
        <v>13</v>
      </c>
      <c r="C786" s="0" t="s">
        <v>14</v>
      </c>
    </row>
    <row r="787">
      <c r="A787" s="0" t="s">
        <v>15</v>
      </c>
      <c r="C787" s="0" t="s">
        <v>16</v>
      </c>
    </row>
    <row r="788">
      <c r="A788" s="0" t="s">
        <v>17</v>
      </c>
      <c r="C788" s="0" t="s">
        <v>18</v>
      </c>
    </row>
    <row r="791">
      <c r="A791" s="5" t="s">
        <v>19</v>
      </c>
      <c r="B791" s="5" t="s">
        <v>20</v>
      </c>
      <c r="C791" s="7" t="s">
        <v>21</v>
      </c>
      <c r="D791" s="9"/>
      <c r="E791" s="7" t="s">
        <v>22</v>
      </c>
      <c r="F791" s="9"/>
      <c r="G791" s="5" t="s">
        <v>23</v>
      </c>
      <c r="H791" s="5" t="s">
        <v>24</v>
      </c>
      <c r="I791" s="5" t="s">
        <v>25</v>
      </c>
      <c r="J791" s="5" t="s">
        <v>26</v>
      </c>
    </row>
    <row r="792">
      <c r="A792" s="6"/>
      <c r="B792" s="6"/>
      <c r="C792" s="8" t="s">
        <v>27</v>
      </c>
      <c r="D792" s="8" t="s">
        <v>28</v>
      </c>
      <c r="E792" s="8" t="s">
        <v>27</v>
      </c>
      <c r="F792" s="8" t="s">
        <v>28</v>
      </c>
      <c r="G792" s="6"/>
      <c r="H792" s="6"/>
      <c r="I792" s="10" t="s">
        <v>29</v>
      </c>
      <c r="J792" s="6"/>
    </row>
    <row r="793">
      <c r="A793" s="11" t="s">
        <v>30</v>
      </c>
      <c r="B793" s="12">
        <v>3586.4187</v>
      </c>
      <c r="C793" s="12">
        <v>0</v>
      </c>
      <c r="D793" s="13">
        <v>0</v>
      </c>
      <c r="E793" s="12">
        <v>0</v>
      </c>
      <c r="F793" s="14">
        <v>0</v>
      </c>
      <c r="G793" s="13">
        <v>501.8537</v>
      </c>
      <c r="H793" s="14">
        <v>1799857.494344</v>
      </c>
      <c r="I793" s="14" t="e">
        <f>=Round(40.54820000,0)</f>
        <v>#VALUE!</v>
      </c>
      <c r="J793" s="14" t="e">
        <f>=Round(0.00000000,0)</f>
        <v>#VALUE!</v>
      </c>
    </row>
    <row r="794">
      <c r="A794" s="11" t="s">
        <v>31</v>
      </c>
      <c r="B794" s="12">
        <v>3587.0477</v>
      </c>
      <c r="C794" s="12">
        <v>0</v>
      </c>
      <c r="D794" s="13">
        <v>0</v>
      </c>
      <c r="E794" s="12">
        <v>0</v>
      </c>
      <c r="F794" s="14">
        <v>0</v>
      </c>
      <c r="G794" s="13">
        <v>501.8537</v>
      </c>
      <c r="H794" s="14">
        <v>1800173.160321</v>
      </c>
      <c r="I794" s="14" t="e">
        <f>=Round(40.57060000,0)</f>
        <v>#VALUE!</v>
      </c>
      <c r="J794" s="14" t="e">
        <f>=Round(0.00000000,0)</f>
        <v>#VALUE!</v>
      </c>
    </row>
    <row r="795">
      <c r="A795" s="11" t="s">
        <v>32</v>
      </c>
      <c r="B795" s="12">
        <v>3587.6685</v>
      </c>
      <c r="C795" s="12">
        <v>0</v>
      </c>
      <c r="D795" s="13">
        <v>0</v>
      </c>
      <c r="E795" s="12">
        <v>0</v>
      </c>
      <c r="F795" s="14">
        <v>0</v>
      </c>
      <c r="G795" s="13">
        <v>501.8537</v>
      </c>
      <c r="H795" s="14">
        <v>1800484.711098</v>
      </c>
      <c r="I795" s="14" t="e">
        <f>=Round(40.57770000,0)</f>
        <v>#VALUE!</v>
      </c>
      <c r="J795" s="14" t="e">
        <f>=Round(0.00000000,0)</f>
        <v>#VALUE!</v>
      </c>
    </row>
    <row r="796">
      <c r="A796" s="11" t="s">
        <v>33</v>
      </c>
      <c r="B796" s="12">
        <v>3588.3573</v>
      </c>
      <c r="C796" s="12">
        <v>0</v>
      </c>
      <c r="D796" s="13">
        <v>0</v>
      </c>
      <c r="E796" s="12">
        <v>0</v>
      </c>
      <c r="F796" s="14">
        <v>0</v>
      </c>
      <c r="G796" s="13">
        <v>501.8537</v>
      </c>
      <c r="H796" s="14">
        <v>1800830.387927</v>
      </c>
      <c r="I796" s="14" t="e">
        <f>=Round(40.58470000,0)</f>
        <v>#VALUE!</v>
      </c>
      <c r="J796" s="14" t="e">
        <f>=Round(0.00000000,0)</f>
        <v>#VALUE!</v>
      </c>
    </row>
    <row r="797">
      <c r="A797" s="11" t="s">
        <v>34</v>
      </c>
      <c r="B797" s="12">
        <v>3589.0109</v>
      </c>
      <c r="C797" s="12">
        <v>0</v>
      </c>
      <c r="D797" s="13">
        <v>0</v>
      </c>
      <c r="E797" s="12">
        <v>0</v>
      </c>
      <c r="F797" s="14">
        <v>0</v>
      </c>
      <c r="G797" s="13">
        <v>501.8537</v>
      </c>
      <c r="H797" s="14">
        <v>1801158.399505</v>
      </c>
      <c r="I797" s="14" t="e">
        <f>=Round(40.59250000,0)</f>
        <v>#VALUE!</v>
      </c>
      <c r="J797" s="14" t="e">
        <f>=Round(0.00000000,0)</f>
        <v>#VALUE!</v>
      </c>
    </row>
    <row r="798">
      <c r="A798" s="11" t="s">
        <v>35</v>
      </c>
      <c r="B798" s="12">
        <v>3589.0109</v>
      </c>
      <c r="C798" s="12">
        <v>0</v>
      </c>
      <c r="D798" s="13">
        <v>0</v>
      </c>
      <c r="E798" s="12">
        <v>0</v>
      </c>
      <c r="F798" s="14">
        <v>0</v>
      </c>
      <c r="G798" s="13">
        <v>501.8537</v>
      </c>
      <c r="H798" s="14">
        <v>1801158.399505</v>
      </c>
      <c r="I798" s="14" t="e">
        <f>=Round(40.59990000,0)</f>
        <v>#VALUE!</v>
      </c>
      <c r="J798" s="14" t="e">
        <f>=Round(0.00000000,0)</f>
        <v>#VALUE!</v>
      </c>
    </row>
    <row r="799">
      <c r="A799" s="11" t="s">
        <v>36</v>
      </c>
      <c r="B799" s="12">
        <v>3589.0109</v>
      </c>
      <c r="C799" s="12">
        <v>0</v>
      </c>
      <c r="D799" s="13">
        <v>0</v>
      </c>
      <c r="E799" s="12">
        <v>0</v>
      </c>
      <c r="F799" s="14">
        <v>0</v>
      </c>
      <c r="G799" s="13">
        <v>501.8537</v>
      </c>
      <c r="H799" s="14">
        <v>1801158.399505</v>
      </c>
      <c r="I799" s="14" t="e">
        <f>=Round(40.59990000,0)</f>
        <v>#VALUE!</v>
      </c>
      <c r="J799" s="14" t="e">
        <f>=Round(0.00000000,0)</f>
        <v>#VALUE!</v>
      </c>
    </row>
    <row r="800">
      <c r="A800" s="11" t="s">
        <v>37</v>
      </c>
      <c r="B800" s="12">
        <v>3590.972</v>
      </c>
      <c r="C800" s="12">
        <v>0</v>
      </c>
      <c r="D800" s="13">
        <v>0</v>
      </c>
      <c r="E800" s="12">
        <v>0</v>
      </c>
      <c r="F800" s="14">
        <v>0</v>
      </c>
      <c r="G800" s="13">
        <v>501.8537</v>
      </c>
      <c r="H800" s="14">
        <v>1802142.584796</v>
      </c>
      <c r="I800" s="14" t="e">
        <f>=Round(40.59990000,0)</f>
        <v>#VALUE!</v>
      </c>
      <c r="J800" s="14" t="e">
        <f>=Round(0.00000000,0)</f>
        <v>#VALUE!</v>
      </c>
    </row>
    <row r="801">
      <c r="A801" s="11" t="s">
        <v>38</v>
      </c>
      <c r="B801" s="12">
        <v>3591.6235</v>
      </c>
      <c r="C801" s="12">
        <v>0</v>
      </c>
      <c r="D801" s="13">
        <v>0</v>
      </c>
      <c r="E801" s="12">
        <v>0</v>
      </c>
      <c r="F801" s="14">
        <v>0</v>
      </c>
      <c r="G801" s="13">
        <v>501.8537</v>
      </c>
      <c r="H801" s="14">
        <v>1802469.542482</v>
      </c>
      <c r="I801" s="14" t="e">
        <f>=Round(40.62210000,0)</f>
        <v>#VALUE!</v>
      </c>
      <c r="J801" s="14" t="e">
        <f>=Round(0.00000000,0)</f>
        <v>#VALUE!</v>
      </c>
    </row>
    <row r="802">
      <c r="A802" s="11" t="s">
        <v>39</v>
      </c>
      <c r="B802" s="12">
        <v>3592.281</v>
      </c>
      <c r="C802" s="12">
        <v>0</v>
      </c>
      <c r="D802" s="13">
        <v>0</v>
      </c>
      <c r="E802" s="12">
        <v>0</v>
      </c>
      <c r="F802" s="14">
        <v>0</v>
      </c>
      <c r="G802" s="13">
        <v>501.8537</v>
      </c>
      <c r="H802" s="14">
        <v>1802799.51129</v>
      </c>
      <c r="I802" s="14" t="e">
        <f>=Round(40.62940000,0)</f>
        <v>#VALUE!</v>
      </c>
      <c r="J802" s="14" t="e">
        <f>=Round(0.00000000,0)</f>
        <v>#VALUE!</v>
      </c>
    </row>
    <row r="803">
      <c r="A803" s="11" t="s">
        <v>40</v>
      </c>
      <c r="B803" s="12">
        <v>3592.9125</v>
      </c>
      <c r="C803" s="12">
        <v>0</v>
      </c>
      <c r="D803" s="13">
        <v>0</v>
      </c>
      <c r="E803" s="12">
        <v>0</v>
      </c>
      <c r="F803" s="14">
        <v>0</v>
      </c>
      <c r="G803" s="13">
        <v>501.8537</v>
      </c>
      <c r="H803" s="14">
        <v>1803116.431901</v>
      </c>
      <c r="I803" s="14" t="e">
        <f>=Round(40.63690000,0)</f>
        <v>#VALUE!</v>
      </c>
      <c r="J803" s="14" t="e">
        <f>=Round(0.00000000,0)</f>
        <v>#VALUE!</v>
      </c>
    </row>
    <row r="804">
      <c r="A804" s="11" t="s">
        <v>41</v>
      </c>
      <c r="B804" s="12">
        <v>3593.5674</v>
      </c>
      <c r="C804" s="12">
        <v>0</v>
      </c>
      <c r="D804" s="13">
        <v>0</v>
      </c>
      <c r="E804" s="12">
        <v>0</v>
      </c>
      <c r="F804" s="14">
        <v>0</v>
      </c>
      <c r="G804" s="13">
        <v>501.8537</v>
      </c>
      <c r="H804" s="14">
        <v>1803445.095889</v>
      </c>
      <c r="I804" s="14" t="e">
        <f>=Round(40.64400000,0)</f>
        <v>#VALUE!</v>
      </c>
      <c r="J804" s="14" t="e">
        <f>=Round(0.00000000,0)</f>
        <v>#VALUE!</v>
      </c>
    </row>
    <row r="805">
      <c r="A805" s="11" t="s">
        <v>42</v>
      </c>
      <c r="B805" s="12">
        <v>3593.5674</v>
      </c>
      <c r="C805" s="12">
        <v>0</v>
      </c>
      <c r="D805" s="13">
        <v>0</v>
      </c>
      <c r="E805" s="12">
        <v>0</v>
      </c>
      <c r="F805" s="14">
        <v>0</v>
      </c>
      <c r="G805" s="13">
        <v>501.8537</v>
      </c>
      <c r="H805" s="14">
        <v>1803445.095889</v>
      </c>
      <c r="I805" s="14" t="e">
        <f>=Round(40.65140000,0)</f>
        <v>#VALUE!</v>
      </c>
      <c r="J805" s="14" t="e">
        <f>=Round(0.00000000,0)</f>
        <v>#VALUE!</v>
      </c>
    </row>
    <row r="806">
      <c r="A806" s="11" t="s">
        <v>43</v>
      </c>
      <c r="B806" s="12">
        <v>3593.5674</v>
      </c>
      <c r="C806" s="12">
        <v>0</v>
      </c>
      <c r="D806" s="13">
        <v>0</v>
      </c>
      <c r="E806" s="12">
        <v>0</v>
      </c>
      <c r="F806" s="14">
        <v>0</v>
      </c>
      <c r="G806" s="13">
        <v>501.8537</v>
      </c>
      <c r="H806" s="14">
        <v>1803445.095889</v>
      </c>
      <c r="I806" s="14" t="e">
        <f>=Round(40.65140000,0)</f>
        <v>#VALUE!</v>
      </c>
      <c r="J806" s="14" t="e">
        <f>=Round(0.00000000,0)</f>
        <v>#VALUE!</v>
      </c>
    </row>
    <row r="807">
      <c r="A807" s="11" t="s">
        <v>44</v>
      </c>
      <c r="B807" s="12">
        <v>3595.5366</v>
      </c>
      <c r="C807" s="12">
        <v>0</v>
      </c>
      <c r="D807" s="13">
        <v>0</v>
      </c>
      <c r="E807" s="12">
        <v>0</v>
      </c>
      <c r="F807" s="14">
        <v>0</v>
      </c>
      <c r="G807" s="13">
        <v>501.8537</v>
      </c>
      <c r="H807" s="14">
        <v>1804433.346195</v>
      </c>
      <c r="I807" s="14" t="e">
        <f>=Round(40.65140000,0)</f>
        <v>#VALUE!</v>
      </c>
      <c r="J807" s="14" t="e">
        <f>=Round(0.00000000,0)</f>
        <v>#VALUE!</v>
      </c>
    </row>
    <row r="808">
      <c r="A808" s="11" t="s">
        <v>45</v>
      </c>
      <c r="B808" s="12">
        <v>3596.1915</v>
      </c>
      <c r="C808" s="12">
        <v>0</v>
      </c>
      <c r="D808" s="13">
        <v>0</v>
      </c>
      <c r="E808" s="12">
        <v>0</v>
      </c>
      <c r="F808" s="14">
        <v>0</v>
      </c>
      <c r="G808" s="13">
        <v>501.8537</v>
      </c>
      <c r="H808" s="14">
        <v>1804762.010184</v>
      </c>
      <c r="I808" s="14" t="e">
        <f>=Round(40.67370000,0)</f>
        <v>#VALUE!</v>
      </c>
      <c r="J808" s="14" t="e">
        <f>=Round(0.00000000,0)</f>
        <v>#VALUE!</v>
      </c>
    </row>
    <row r="809">
      <c r="A809" s="11" t="s">
        <v>46</v>
      </c>
      <c r="B809" s="12">
        <v>3596.8461</v>
      </c>
      <c r="C809" s="12">
        <v>0</v>
      </c>
      <c r="D809" s="13">
        <v>0</v>
      </c>
      <c r="E809" s="12">
        <v>0</v>
      </c>
      <c r="F809" s="14">
        <v>0</v>
      </c>
      <c r="G809" s="13">
        <v>501.8537</v>
      </c>
      <c r="H809" s="14">
        <v>1805090.523616</v>
      </c>
      <c r="I809" s="14" t="e">
        <f>=Round(40.68110000,0)</f>
        <v>#VALUE!</v>
      </c>
      <c r="J809" s="14" t="e">
        <f>=Round(0.00000000,0)</f>
        <v>#VALUE!</v>
      </c>
    </row>
    <row r="810">
      <c r="A810" s="11" t="s">
        <v>47</v>
      </c>
      <c r="B810" s="12">
        <v>3597.4992</v>
      </c>
      <c r="C810" s="12">
        <v>0</v>
      </c>
      <c r="D810" s="13">
        <v>0</v>
      </c>
      <c r="E810" s="12">
        <v>0</v>
      </c>
      <c r="F810" s="14">
        <v>0</v>
      </c>
      <c r="G810" s="13">
        <v>501.8537</v>
      </c>
      <c r="H810" s="14">
        <v>1805418.284267</v>
      </c>
      <c r="I810" s="14" t="e">
        <f>=Round(40.68850000,0)</f>
        <v>#VALUE!</v>
      </c>
      <c r="J810" s="14" t="e">
        <f>=Round(0.00000000,0)</f>
        <v>#VALUE!</v>
      </c>
    </row>
    <row r="811">
      <c r="A811" s="11" t="s">
        <v>48</v>
      </c>
      <c r="B811" s="12">
        <v>3598.1558</v>
      </c>
      <c r="C811" s="12">
        <v>0</v>
      </c>
      <c r="D811" s="13">
        <v>0</v>
      </c>
      <c r="E811" s="12">
        <v>0</v>
      </c>
      <c r="F811" s="14">
        <v>0</v>
      </c>
      <c r="G811" s="13">
        <v>501.8537</v>
      </c>
      <c r="H811" s="14">
        <v>1805747.801406</v>
      </c>
      <c r="I811" s="14" t="e">
        <f>=Round(40.69590000,0)</f>
        <v>#VALUE!</v>
      </c>
      <c r="J811" s="14" t="e">
        <f>=Round(0.00000000,0)</f>
        <v>#VALUE!</v>
      </c>
    </row>
    <row r="812">
      <c r="A812" s="11" t="s">
        <v>49</v>
      </c>
      <c r="B812" s="12">
        <v>3598.1558</v>
      </c>
      <c r="C812" s="12">
        <v>0</v>
      </c>
      <c r="D812" s="13">
        <v>0</v>
      </c>
      <c r="E812" s="12">
        <v>0</v>
      </c>
      <c r="F812" s="14">
        <v>0</v>
      </c>
      <c r="G812" s="13">
        <v>501.8537</v>
      </c>
      <c r="H812" s="14">
        <v>1805747.801406</v>
      </c>
      <c r="I812" s="14" t="e">
        <f>=Round(40.70330000,0)</f>
        <v>#VALUE!</v>
      </c>
      <c r="J812" s="14" t="e">
        <f>=Round(0.00000000,0)</f>
        <v>#VALUE!</v>
      </c>
    </row>
    <row r="813">
      <c r="A813" s="11" t="s">
        <v>50</v>
      </c>
      <c r="B813" s="12">
        <v>3598.1558</v>
      </c>
      <c r="C813" s="12">
        <v>0</v>
      </c>
      <c r="D813" s="13">
        <v>0</v>
      </c>
      <c r="E813" s="12">
        <v>0</v>
      </c>
      <c r="F813" s="14">
        <v>0</v>
      </c>
      <c r="G813" s="13">
        <v>501.8537</v>
      </c>
      <c r="H813" s="14">
        <v>1805747.801406</v>
      </c>
      <c r="I813" s="14" t="e">
        <f>=Round(40.70330000,0)</f>
        <v>#VALUE!</v>
      </c>
      <c r="J813" s="14" t="e">
        <f>=Round(0.00000000,0)</f>
        <v>#VALUE!</v>
      </c>
    </row>
    <row r="814">
      <c r="A814" s="11" t="s">
        <v>51</v>
      </c>
      <c r="B814" s="12">
        <v>3600.124</v>
      </c>
      <c r="C814" s="12">
        <v>0</v>
      </c>
      <c r="D814" s="13">
        <v>0</v>
      </c>
      <c r="E814" s="12">
        <v>0</v>
      </c>
      <c r="F814" s="14">
        <v>0</v>
      </c>
      <c r="G814" s="13">
        <v>501.8537</v>
      </c>
      <c r="H814" s="14">
        <v>1806735.549859</v>
      </c>
      <c r="I814" s="14" t="e">
        <f>=Round(40.70330000,0)</f>
        <v>#VALUE!</v>
      </c>
      <c r="J814" s="14" t="e">
        <f>=Round(0.00000000,0)</f>
        <v>#VALUE!</v>
      </c>
    </row>
    <row r="815">
      <c r="A815" s="11" t="s">
        <v>52</v>
      </c>
      <c r="B815" s="12">
        <v>3600.7905</v>
      </c>
      <c r="C815" s="12">
        <v>0</v>
      </c>
      <c r="D815" s="13">
        <v>0</v>
      </c>
      <c r="E815" s="12">
        <v>0</v>
      </c>
      <c r="F815" s="14">
        <v>0</v>
      </c>
      <c r="G815" s="13">
        <v>501.8537</v>
      </c>
      <c r="H815" s="14">
        <v>1807070.03535</v>
      </c>
      <c r="I815" s="14" t="e">
        <f>=Round(40.72560000,0)</f>
        <v>#VALUE!</v>
      </c>
      <c r="J815" s="14" t="e">
        <f>=Round(0.00000000,0)</f>
        <v>#VALUE!</v>
      </c>
    </row>
    <row r="816">
      <c r="A816" s="11" t="s">
        <v>53</v>
      </c>
      <c r="B816" s="12">
        <v>3601.445</v>
      </c>
      <c r="C816" s="12">
        <v>0</v>
      </c>
      <c r="D816" s="13">
        <v>0</v>
      </c>
      <c r="E816" s="12">
        <v>0</v>
      </c>
      <c r="F816" s="14">
        <v>0</v>
      </c>
      <c r="G816" s="13">
        <v>501.8537</v>
      </c>
      <c r="H816" s="14">
        <v>1807398.498597</v>
      </c>
      <c r="I816" s="14" t="e">
        <f>=Round(40.73310000,0)</f>
        <v>#VALUE!</v>
      </c>
      <c r="J816" s="14" t="e">
        <f>=Round(0.00000000,0)</f>
        <v>#VALUE!</v>
      </c>
    </row>
    <row r="817">
      <c r="A817" s="11" t="s">
        <v>54</v>
      </c>
      <c r="B817" s="12">
        <v>3602.0851</v>
      </c>
      <c r="C817" s="12">
        <v>0</v>
      </c>
      <c r="D817" s="13">
        <v>0</v>
      </c>
      <c r="E817" s="12">
        <v>0</v>
      </c>
      <c r="F817" s="14">
        <v>0</v>
      </c>
      <c r="G817" s="13">
        <v>501.8537</v>
      </c>
      <c r="H817" s="14">
        <v>1807719.73515</v>
      </c>
      <c r="I817" s="14" t="e">
        <f>=Round(40.74050000,0)</f>
        <v>#VALUE!</v>
      </c>
      <c r="J817" s="14" t="e">
        <f>=Round(0.00000000,0)</f>
        <v>#VALUE!</v>
      </c>
    </row>
    <row r="818">
      <c r="A818" s="11" t="s">
        <v>55</v>
      </c>
      <c r="B818" s="12">
        <v>3602.7417</v>
      </c>
      <c r="C818" s="12">
        <v>0</v>
      </c>
      <c r="D818" s="13">
        <v>0</v>
      </c>
      <c r="E818" s="12">
        <v>0</v>
      </c>
      <c r="F818" s="14">
        <v>0</v>
      </c>
      <c r="G818" s="13">
        <v>501.8537</v>
      </c>
      <c r="H818" s="14">
        <v>1808049.252289</v>
      </c>
      <c r="I818" s="14" t="e">
        <f>=Round(40.74780000,0)</f>
        <v>#VALUE!</v>
      </c>
      <c r="J818" s="14" t="e">
        <f>=Round(0.00000000,0)</f>
        <v>#VALUE!</v>
      </c>
    </row>
    <row r="819" ht="-1">
      <c r="A819" s="15"/>
      <c r="B819" s="16" t="s">
        <v>56</v>
      </c>
      <c r="C819" s="15"/>
      <c r="D819" s="15"/>
      <c r="E819" s="15"/>
      <c r="F819" s="15"/>
      <c r="G819" s="15"/>
      <c r="H819" s="15"/>
      <c r="I819" s="17" t="e">
        <f>=Round(SUM(I793:I818),0)</f>
        <v>#VALUE!</v>
      </c>
      <c r="J819" s="17" t="e">
        <f>=Round(SUM(J793:J818),0)</f>
        <v>#VALUE!</v>
      </c>
    </row>
    <row r="820">
      <c r="A820" s="1" t="s">
        <v>0</v>
      </c>
      <c r="B820" s="1"/>
      <c r="C820" s="1"/>
      <c r="D820" s="1"/>
    </row>
    <row r="821">
      <c r="A821" s="0" t="s">
        <v>1</v>
      </c>
      <c r="C821" s="0" t="s">
        <v>2</v>
      </c>
      <c r="H821" s="2" t="s">
        <v>3</v>
      </c>
    </row>
    <row r="822">
      <c r="A822" s="0" t="s">
        <v>4</v>
      </c>
      <c r="C822" s="0" t="s">
        <v>77</v>
      </c>
      <c r="H822" s="3" t="s">
        <v>6</v>
      </c>
    </row>
    <row r="823">
      <c r="A823" s="0" t="s">
        <v>7</v>
      </c>
      <c r="C823" s="4" t="s">
        <v>8</v>
      </c>
      <c r="H823" s="2" t="s">
        <v>9</v>
      </c>
    </row>
    <row r="824">
      <c r="A824" s="0" t="s">
        <v>10</v>
      </c>
      <c r="C824" s="4" t="s">
        <v>11</v>
      </c>
      <c r="H824" s="2" t="s">
        <v>12</v>
      </c>
    </row>
    <row r="825">
      <c r="A825" s="0" t="s">
        <v>13</v>
      </c>
      <c r="C825" s="0" t="s">
        <v>14</v>
      </c>
    </row>
    <row r="826">
      <c r="A826" s="0" t="s">
        <v>15</v>
      </c>
      <c r="C826" s="0" t="s">
        <v>16</v>
      </c>
    </row>
    <row r="827">
      <c r="A827" s="0" t="s">
        <v>17</v>
      </c>
      <c r="C827" s="0" t="s">
        <v>18</v>
      </c>
    </row>
    <row r="830">
      <c r="A830" s="5" t="s">
        <v>19</v>
      </c>
      <c r="B830" s="5" t="s">
        <v>20</v>
      </c>
      <c r="C830" s="7" t="s">
        <v>21</v>
      </c>
      <c r="D830" s="9"/>
      <c r="E830" s="7" t="s">
        <v>22</v>
      </c>
      <c r="F830" s="9"/>
      <c r="G830" s="5" t="s">
        <v>23</v>
      </c>
      <c r="H830" s="5" t="s">
        <v>24</v>
      </c>
      <c r="I830" s="5" t="s">
        <v>25</v>
      </c>
      <c r="J830" s="5" t="s">
        <v>26</v>
      </c>
    </row>
    <row r="831">
      <c r="A831" s="6"/>
      <c r="B831" s="6"/>
      <c r="C831" s="8" t="s">
        <v>27</v>
      </c>
      <c r="D831" s="8" t="s">
        <v>28</v>
      </c>
      <c r="E831" s="8" t="s">
        <v>27</v>
      </c>
      <c r="F831" s="8" t="s">
        <v>28</v>
      </c>
      <c r="G831" s="6"/>
      <c r="H831" s="6"/>
      <c r="I831" s="10" t="s">
        <v>29</v>
      </c>
      <c r="J831" s="6"/>
    </row>
    <row r="832">
      <c r="A832" s="11" t="s">
        <v>30</v>
      </c>
      <c r="B832" s="12">
        <v>3586.4187</v>
      </c>
      <c r="C832" s="12">
        <v>0</v>
      </c>
      <c r="D832" s="13">
        <v>0</v>
      </c>
      <c r="E832" s="12">
        <v>0</v>
      </c>
      <c r="F832" s="14">
        <v>0</v>
      </c>
      <c r="G832" s="13">
        <v>855.3804</v>
      </c>
      <c r="H832" s="14">
        <v>3067752.262173</v>
      </c>
      <c r="I832" s="14" t="e">
        <f>=Round(69.11210000,0)</f>
        <v>#VALUE!</v>
      </c>
      <c r="J832" s="14" t="e">
        <f>=Round(0.00000000,0)</f>
        <v>#VALUE!</v>
      </c>
    </row>
    <row r="833">
      <c r="A833" s="11" t="s">
        <v>31</v>
      </c>
      <c r="B833" s="12">
        <v>3587.0477</v>
      </c>
      <c r="C833" s="12">
        <v>0</v>
      </c>
      <c r="D833" s="13">
        <v>0</v>
      </c>
      <c r="E833" s="12">
        <v>0</v>
      </c>
      <c r="F833" s="14">
        <v>0</v>
      </c>
      <c r="G833" s="13">
        <v>855.3804</v>
      </c>
      <c r="H833" s="14">
        <v>3068290.296445</v>
      </c>
      <c r="I833" s="14" t="e">
        <f>=Round(69.15020000,0)</f>
        <v>#VALUE!</v>
      </c>
      <c r="J833" s="14" t="e">
        <f>=Round(0.00000000,0)</f>
        <v>#VALUE!</v>
      </c>
    </row>
    <row r="834">
      <c r="A834" s="11" t="s">
        <v>32</v>
      </c>
      <c r="B834" s="12">
        <v>3587.6685</v>
      </c>
      <c r="C834" s="12">
        <v>0</v>
      </c>
      <c r="D834" s="13">
        <v>0</v>
      </c>
      <c r="E834" s="12">
        <v>0</v>
      </c>
      <c r="F834" s="14">
        <v>0</v>
      </c>
      <c r="G834" s="13">
        <v>855.3804</v>
      </c>
      <c r="H834" s="14">
        <v>3068821.316597</v>
      </c>
      <c r="I834" s="14" t="e">
        <f>=Round(69.16230000,0)</f>
        <v>#VALUE!</v>
      </c>
      <c r="J834" s="14" t="e">
        <f>=Round(0.00000000,0)</f>
        <v>#VALUE!</v>
      </c>
    </row>
    <row r="835">
      <c r="A835" s="11" t="s">
        <v>33</v>
      </c>
      <c r="B835" s="12">
        <v>3588.3573</v>
      </c>
      <c r="C835" s="12">
        <v>0</v>
      </c>
      <c r="D835" s="13">
        <v>0</v>
      </c>
      <c r="E835" s="12">
        <v>0</v>
      </c>
      <c r="F835" s="14">
        <v>0</v>
      </c>
      <c r="G835" s="13">
        <v>855.3804</v>
      </c>
      <c r="H835" s="14">
        <v>3069410.502617</v>
      </c>
      <c r="I835" s="14" t="e">
        <f>=Round(69.17430000,0)</f>
        <v>#VALUE!</v>
      </c>
      <c r="J835" s="14" t="e">
        <f>=Round(0.00000000,0)</f>
        <v>#VALUE!</v>
      </c>
    </row>
    <row r="836">
      <c r="A836" s="11" t="s">
        <v>34</v>
      </c>
      <c r="B836" s="12">
        <v>3589.0109</v>
      </c>
      <c r="C836" s="12">
        <v>0</v>
      </c>
      <c r="D836" s="13">
        <v>0</v>
      </c>
      <c r="E836" s="12">
        <v>0</v>
      </c>
      <c r="F836" s="14">
        <v>0</v>
      </c>
      <c r="G836" s="13">
        <v>855.3804</v>
      </c>
      <c r="H836" s="14">
        <v>3069969.579246</v>
      </c>
      <c r="I836" s="14" t="e">
        <f>=Round(69.18750000,0)</f>
        <v>#VALUE!</v>
      </c>
      <c r="J836" s="14" t="e">
        <f>=Round(0.00000000,0)</f>
        <v>#VALUE!</v>
      </c>
    </row>
    <row r="837">
      <c r="A837" s="11" t="s">
        <v>35</v>
      </c>
      <c r="B837" s="12">
        <v>3589.0109</v>
      </c>
      <c r="C837" s="12">
        <v>0</v>
      </c>
      <c r="D837" s="13">
        <v>0</v>
      </c>
      <c r="E837" s="12">
        <v>0</v>
      </c>
      <c r="F837" s="14">
        <v>0</v>
      </c>
      <c r="G837" s="13">
        <v>855.3804</v>
      </c>
      <c r="H837" s="14">
        <v>3069969.579246</v>
      </c>
      <c r="I837" s="14" t="e">
        <f>=Round(69.20010000,0)</f>
        <v>#VALUE!</v>
      </c>
      <c r="J837" s="14" t="e">
        <f>=Round(0.00000000,0)</f>
        <v>#VALUE!</v>
      </c>
    </row>
    <row r="838">
      <c r="A838" s="11" t="s">
        <v>36</v>
      </c>
      <c r="B838" s="12">
        <v>3589.0109</v>
      </c>
      <c r="C838" s="12">
        <v>0</v>
      </c>
      <c r="D838" s="13">
        <v>0</v>
      </c>
      <c r="E838" s="12">
        <v>0</v>
      </c>
      <c r="F838" s="14">
        <v>0</v>
      </c>
      <c r="G838" s="13">
        <v>855.3804</v>
      </c>
      <c r="H838" s="14">
        <v>3069969.579246</v>
      </c>
      <c r="I838" s="14" t="e">
        <f>=Round(69.20010000,0)</f>
        <v>#VALUE!</v>
      </c>
      <c r="J838" s="14" t="e">
        <f>=Round(0.00000000,0)</f>
        <v>#VALUE!</v>
      </c>
    </row>
    <row r="839">
      <c r="A839" s="11" t="s">
        <v>37</v>
      </c>
      <c r="B839" s="12">
        <v>3590.972</v>
      </c>
      <c r="C839" s="12">
        <v>0</v>
      </c>
      <c r="D839" s="13">
        <v>0</v>
      </c>
      <c r="E839" s="12">
        <v>0</v>
      </c>
      <c r="F839" s="14">
        <v>0</v>
      </c>
      <c r="G839" s="13">
        <v>855.3804</v>
      </c>
      <c r="H839" s="14">
        <v>3071647.065749</v>
      </c>
      <c r="I839" s="14" t="e">
        <f>=Round(69.20010000,0)</f>
        <v>#VALUE!</v>
      </c>
      <c r="J839" s="14" t="e">
        <f>=Round(0.00000000,0)</f>
        <v>#VALUE!</v>
      </c>
    </row>
    <row r="840">
      <c r="A840" s="11" t="s">
        <v>38</v>
      </c>
      <c r="B840" s="12">
        <v>3591.6235</v>
      </c>
      <c r="C840" s="12">
        <v>0</v>
      </c>
      <c r="D840" s="13">
        <v>0</v>
      </c>
      <c r="E840" s="12">
        <v>0</v>
      </c>
      <c r="F840" s="14">
        <v>0</v>
      </c>
      <c r="G840" s="13">
        <v>855.3804</v>
      </c>
      <c r="H840" s="14">
        <v>3072204.346079</v>
      </c>
      <c r="I840" s="14" t="e">
        <f>=Round(69.23790000,0)</f>
        <v>#VALUE!</v>
      </c>
      <c r="J840" s="14" t="e">
        <f>=Round(0.00000000,0)</f>
        <v>#VALUE!</v>
      </c>
    </row>
    <row r="841">
      <c r="A841" s="11" t="s">
        <v>39</v>
      </c>
      <c r="B841" s="12">
        <v>3592.281</v>
      </c>
      <c r="C841" s="12">
        <v>0</v>
      </c>
      <c r="D841" s="13">
        <v>0</v>
      </c>
      <c r="E841" s="12">
        <v>0</v>
      </c>
      <c r="F841" s="14">
        <v>0</v>
      </c>
      <c r="G841" s="13">
        <v>855.3804</v>
      </c>
      <c r="H841" s="14">
        <v>3072766.758692</v>
      </c>
      <c r="I841" s="14" t="e">
        <f>=Round(69.25050000,0)</f>
        <v>#VALUE!</v>
      </c>
      <c r="J841" s="14" t="e">
        <f>=Round(0.00000000,0)</f>
        <v>#VALUE!</v>
      </c>
    </row>
    <row r="842">
      <c r="A842" s="11" t="s">
        <v>40</v>
      </c>
      <c r="B842" s="12">
        <v>3592.9125</v>
      </c>
      <c r="C842" s="12">
        <v>0</v>
      </c>
      <c r="D842" s="13">
        <v>0</v>
      </c>
      <c r="E842" s="12">
        <v>0</v>
      </c>
      <c r="F842" s="14">
        <v>0</v>
      </c>
      <c r="G842" s="13">
        <v>855.3804</v>
      </c>
      <c r="H842" s="14">
        <v>3073306.931415</v>
      </c>
      <c r="I842" s="14" t="e">
        <f>=Round(69.26320000,0)</f>
        <v>#VALUE!</v>
      </c>
      <c r="J842" s="14" t="e">
        <f>=Round(0.00000000,0)</f>
        <v>#VALUE!</v>
      </c>
    </row>
    <row r="843">
      <c r="A843" s="11" t="s">
        <v>41</v>
      </c>
      <c r="B843" s="12">
        <v>3593.5674</v>
      </c>
      <c r="C843" s="12">
        <v>0</v>
      </c>
      <c r="D843" s="13">
        <v>0</v>
      </c>
      <c r="E843" s="12">
        <v>0</v>
      </c>
      <c r="F843" s="14">
        <v>0</v>
      </c>
      <c r="G843" s="13">
        <v>855.3804</v>
      </c>
      <c r="H843" s="14">
        <v>3073867.120039</v>
      </c>
      <c r="I843" s="14" t="e">
        <f>=Round(69.27540000,0)</f>
        <v>#VALUE!</v>
      </c>
      <c r="J843" s="14" t="e">
        <f>=Round(0.00000000,0)</f>
        <v>#VALUE!</v>
      </c>
    </row>
    <row r="844">
      <c r="A844" s="11" t="s">
        <v>42</v>
      </c>
      <c r="B844" s="12">
        <v>3593.5674</v>
      </c>
      <c r="C844" s="12">
        <v>0</v>
      </c>
      <c r="D844" s="13">
        <v>0</v>
      </c>
      <c r="E844" s="12">
        <v>0</v>
      </c>
      <c r="F844" s="14">
        <v>0</v>
      </c>
      <c r="G844" s="13">
        <v>855.3804</v>
      </c>
      <c r="H844" s="14">
        <v>3073867.120039</v>
      </c>
      <c r="I844" s="14" t="e">
        <f>=Round(69.28800000,0)</f>
        <v>#VALUE!</v>
      </c>
      <c r="J844" s="14" t="e">
        <f>=Round(0.00000000,0)</f>
        <v>#VALUE!</v>
      </c>
    </row>
    <row r="845">
      <c r="A845" s="11" t="s">
        <v>43</v>
      </c>
      <c r="B845" s="12">
        <v>3593.5674</v>
      </c>
      <c r="C845" s="12">
        <v>0</v>
      </c>
      <c r="D845" s="13">
        <v>0</v>
      </c>
      <c r="E845" s="12">
        <v>0</v>
      </c>
      <c r="F845" s="14">
        <v>0</v>
      </c>
      <c r="G845" s="13">
        <v>855.3804</v>
      </c>
      <c r="H845" s="14">
        <v>3073867.120039</v>
      </c>
      <c r="I845" s="14" t="e">
        <f>=Round(69.28800000,0)</f>
        <v>#VALUE!</v>
      </c>
      <c r="J845" s="14" t="e">
        <f>=Round(0.00000000,0)</f>
        <v>#VALUE!</v>
      </c>
    </row>
    <row r="846">
      <c r="A846" s="11" t="s">
        <v>44</v>
      </c>
      <c r="B846" s="12">
        <v>3595.5366</v>
      </c>
      <c r="C846" s="12">
        <v>0</v>
      </c>
      <c r="D846" s="13">
        <v>0</v>
      </c>
      <c r="E846" s="12">
        <v>0</v>
      </c>
      <c r="F846" s="14">
        <v>0</v>
      </c>
      <c r="G846" s="13">
        <v>855.3804</v>
      </c>
      <c r="H846" s="14">
        <v>3075551.535123</v>
      </c>
      <c r="I846" s="14" t="e">
        <f>=Round(69.28800000,0)</f>
        <v>#VALUE!</v>
      </c>
      <c r="J846" s="14" t="e">
        <f>=Round(0.00000000,0)</f>
        <v>#VALUE!</v>
      </c>
    </row>
    <row r="847">
      <c r="A847" s="11" t="s">
        <v>45</v>
      </c>
      <c r="B847" s="12">
        <v>3596.1915</v>
      </c>
      <c r="C847" s="12">
        <v>0</v>
      </c>
      <c r="D847" s="13">
        <v>0</v>
      </c>
      <c r="E847" s="12">
        <v>0</v>
      </c>
      <c r="F847" s="14">
        <v>0</v>
      </c>
      <c r="G847" s="13">
        <v>855.3804</v>
      </c>
      <c r="H847" s="14">
        <v>3076111.723747</v>
      </c>
      <c r="I847" s="14" t="e">
        <f>=Round(69.32600000,0)</f>
        <v>#VALUE!</v>
      </c>
      <c r="J847" s="14" t="e">
        <f>=Round(0.00000000,0)</f>
        <v>#VALUE!</v>
      </c>
    </row>
    <row r="848">
      <c r="A848" s="11" t="s">
        <v>46</v>
      </c>
      <c r="B848" s="12">
        <v>3596.8461</v>
      </c>
      <c r="C848" s="12">
        <v>0</v>
      </c>
      <c r="D848" s="13">
        <v>0</v>
      </c>
      <c r="E848" s="12">
        <v>0</v>
      </c>
      <c r="F848" s="14">
        <v>0</v>
      </c>
      <c r="G848" s="13">
        <v>855.3804</v>
      </c>
      <c r="H848" s="14">
        <v>3076671.655756</v>
      </c>
      <c r="I848" s="14" t="e">
        <f>=Round(69.33860000,0)</f>
        <v>#VALUE!</v>
      </c>
      <c r="J848" s="14" t="e">
        <f>=Round(0.00000000,0)</f>
        <v>#VALUE!</v>
      </c>
    </row>
    <row r="849">
      <c r="A849" s="11" t="s">
        <v>47</v>
      </c>
      <c r="B849" s="12">
        <v>3597.4992</v>
      </c>
      <c r="C849" s="12">
        <v>0</v>
      </c>
      <c r="D849" s="13">
        <v>0</v>
      </c>
      <c r="E849" s="12">
        <v>0</v>
      </c>
      <c r="F849" s="14">
        <v>0</v>
      </c>
      <c r="G849" s="13">
        <v>855.3804</v>
      </c>
      <c r="H849" s="14">
        <v>3077230.304696</v>
      </c>
      <c r="I849" s="14" t="e">
        <f>=Round(69.35120000,0)</f>
        <v>#VALUE!</v>
      </c>
      <c r="J849" s="14" t="e">
        <f>=Round(0.00000000,0)</f>
        <v>#VALUE!</v>
      </c>
    </row>
    <row r="850">
      <c r="A850" s="11" t="s">
        <v>48</v>
      </c>
      <c r="B850" s="12">
        <v>3598.1558</v>
      </c>
      <c r="C850" s="12">
        <v>0</v>
      </c>
      <c r="D850" s="13">
        <v>0</v>
      </c>
      <c r="E850" s="12">
        <v>0</v>
      </c>
      <c r="F850" s="14">
        <v>0</v>
      </c>
      <c r="G850" s="13">
        <v>855.3804</v>
      </c>
      <c r="H850" s="14">
        <v>3077791.947466</v>
      </c>
      <c r="I850" s="14" t="e">
        <f>=Round(69.36380000,0)</f>
        <v>#VALUE!</v>
      </c>
      <c r="J850" s="14" t="e">
        <f>=Round(0.00000000,0)</f>
        <v>#VALUE!</v>
      </c>
    </row>
    <row r="851">
      <c r="A851" s="11" t="s">
        <v>49</v>
      </c>
      <c r="B851" s="12">
        <v>3598.1558</v>
      </c>
      <c r="C851" s="12">
        <v>0</v>
      </c>
      <c r="D851" s="13">
        <v>0</v>
      </c>
      <c r="E851" s="12">
        <v>0</v>
      </c>
      <c r="F851" s="14">
        <v>0</v>
      </c>
      <c r="G851" s="13">
        <v>855.3804</v>
      </c>
      <c r="H851" s="14">
        <v>3077791.947466</v>
      </c>
      <c r="I851" s="14" t="e">
        <f>=Round(69.37650000,0)</f>
        <v>#VALUE!</v>
      </c>
      <c r="J851" s="14" t="e">
        <f>=Round(0.00000000,0)</f>
        <v>#VALUE!</v>
      </c>
    </row>
    <row r="852">
      <c r="A852" s="11" t="s">
        <v>50</v>
      </c>
      <c r="B852" s="12">
        <v>3598.1558</v>
      </c>
      <c r="C852" s="12">
        <v>0</v>
      </c>
      <c r="D852" s="13">
        <v>0</v>
      </c>
      <c r="E852" s="12">
        <v>0</v>
      </c>
      <c r="F852" s="14">
        <v>0</v>
      </c>
      <c r="G852" s="13">
        <v>855.3804</v>
      </c>
      <c r="H852" s="14">
        <v>3077791.947466</v>
      </c>
      <c r="I852" s="14" t="e">
        <f>=Round(69.37650000,0)</f>
        <v>#VALUE!</v>
      </c>
      <c r="J852" s="14" t="e">
        <f>=Round(0.00000000,0)</f>
        <v>#VALUE!</v>
      </c>
    </row>
    <row r="853">
      <c r="A853" s="11" t="s">
        <v>51</v>
      </c>
      <c r="B853" s="12">
        <v>3600.124</v>
      </c>
      <c r="C853" s="12">
        <v>0</v>
      </c>
      <c r="D853" s="13">
        <v>0</v>
      </c>
      <c r="E853" s="12">
        <v>0</v>
      </c>
      <c r="F853" s="14">
        <v>0</v>
      </c>
      <c r="G853" s="13">
        <v>855.3804</v>
      </c>
      <c r="H853" s="14">
        <v>3079475.50717</v>
      </c>
      <c r="I853" s="14" t="e">
        <f>=Round(69.37650000,0)</f>
        <v>#VALUE!</v>
      </c>
      <c r="J853" s="14" t="e">
        <f>=Round(0.00000000,0)</f>
        <v>#VALUE!</v>
      </c>
    </row>
    <row r="854">
      <c r="A854" s="11" t="s">
        <v>52</v>
      </c>
      <c r="B854" s="12">
        <v>3600.7905</v>
      </c>
      <c r="C854" s="12">
        <v>0</v>
      </c>
      <c r="D854" s="13">
        <v>0</v>
      </c>
      <c r="E854" s="12">
        <v>0</v>
      </c>
      <c r="F854" s="14">
        <v>0</v>
      </c>
      <c r="G854" s="13">
        <v>855.3804</v>
      </c>
      <c r="H854" s="14">
        <v>3080045.618206</v>
      </c>
      <c r="I854" s="14" t="e">
        <f>=Round(69.41440000,0)</f>
        <v>#VALUE!</v>
      </c>
      <c r="J854" s="14" t="e">
        <f>=Round(0.00000000,0)</f>
        <v>#VALUE!</v>
      </c>
    </row>
    <row r="855">
      <c r="A855" s="11" t="s">
        <v>53</v>
      </c>
      <c r="B855" s="12">
        <v>3601.445</v>
      </c>
      <c r="C855" s="12">
        <v>0</v>
      </c>
      <c r="D855" s="13">
        <v>0</v>
      </c>
      <c r="E855" s="12">
        <v>0</v>
      </c>
      <c r="F855" s="14">
        <v>0</v>
      </c>
      <c r="G855" s="13">
        <v>855.3804</v>
      </c>
      <c r="H855" s="14">
        <v>3080605.464678</v>
      </c>
      <c r="I855" s="14" t="e">
        <f>=Round(69.42730000,0)</f>
        <v>#VALUE!</v>
      </c>
      <c r="J855" s="14" t="e">
        <f>=Round(0.00000000,0)</f>
        <v>#VALUE!</v>
      </c>
    </row>
    <row r="856">
      <c r="A856" s="11" t="s">
        <v>54</v>
      </c>
      <c r="B856" s="12">
        <v>3602.0851</v>
      </c>
      <c r="C856" s="12">
        <v>0</v>
      </c>
      <c r="D856" s="13">
        <v>0</v>
      </c>
      <c r="E856" s="12">
        <v>0</v>
      </c>
      <c r="F856" s="14">
        <v>0</v>
      </c>
      <c r="G856" s="13">
        <v>855.3804</v>
      </c>
      <c r="H856" s="14">
        <v>3081152.993672</v>
      </c>
      <c r="I856" s="14" t="e">
        <f>=Round(69.43990000,0)</f>
        <v>#VALUE!</v>
      </c>
      <c r="J856" s="14" t="e">
        <f>=Round(0.00000000,0)</f>
        <v>#VALUE!</v>
      </c>
    </row>
    <row r="857">
      <c r="A857" s="11" t="s">
        <v>55</v>
      </c>
      <c r="B857" s="12">
        <v>3602.7417</v>
      </c>
      <c r="C857" s="12">
        <v>0</v>
      </c>
      <c r="D857" s="13">
        <v>0</v>
      </c>
      <c r="E857" s="12">
        <v>0</v>
      </c>
      <c r="F857" s="14">
        <v>0</v>
      </c>
      <c r="G857" s="13">
        <v>855.3804</v>
      </c>
      <c r="H857" s="14">
        <v>3081714.636443</v>
      </c>
      <c r="I857" s="14" t="e">
        <f>=Round(69.45220000,0)</f>
        <v>#VALUE!</v>
      </c>
      <c r="J857" s="14" t="e">
        <f>=Round(0.00000000,0)</f>
        <v>#VALUE!</v>
      </c>
    </row>
    <row r="858" ht="-1">
      <c r="A858" s="15"/>
      <c r="B858" s="16" t="s">
        <v>56</v>
      </c>
      <c r="C858" s="15"/>
      <c r="D858" s="15"/>
      <c r="E858" s="15"/>
      <c r="F858" s="15"/>
      <c r="G858" s="15"/>
      <c r="H858" s="15"/>
      <c r="I858" s="17" t="e">
        <f>=Round(SUM(I832:I857),0)</f>
        <v>#VALUE!</v>
      </c>
      <c r="J858" s="17" t="e">
        <f>=Round(SUM(J832:J857),0)</f>
        <v>#VALUE!</v>
      </c>
    </row>
    <row r="859">
      <c r="A859" s="1" t="s">
        <v>0</v>
      </c>
      <c r="B859" s="1"/>
      <c r="C859" s="1"/>
      <c r="D859" s="1"/>
    </row>
    <row r="860">
      <c r="A860" s="0" t="s">
        <v>1</v>
      </c>
      <c r="C860" s="0" t="s">
        <v>2</v>
      </c>
      <c r="H860" s="2" t="s">
        <v>3</v>
      </c>
    </row>
    <row r="861">
      <c r="A861" s="0" t="s">
        <v>4</v>
      </c>
      <c r="C861" s="0" t="s">
        <v>78</v>
      </c>
      <c r="H861" s="3" t="s">
        <v>6</v>
      </c>
    </row>
    <row r="862">
      <c r="A862" s="0" t="s">
        <v>7</v>
      </c>
      <c r="C862" s="4" t="s">
        <v>8</v>
      </c>
      <c r="H862" s="2" t="s">
        <v>9</v>
      </c>
    </row>
    <row r="863">
      <c r="A863" s="0" t="s">
        <v>10</v>
      </c>
      <c r="C863" s="4" t="s">
        <v>11</v>
      </c>
      <c r="H863" s="2" t="s">
        <v>12</v>
      </c>
    </row>
    <row r="864">
      <c r="A864" s="0" t="s">
        <v>13</v>
      </c>
      <c r="C864" s="0" t="s">
        <v>14</v>
      </c>
    </row>
    <row r="865">
      <c r="A865" s="0" t="s">
        <v>15</v>
      </c>
      <c r="C865" s="0" t="s">
        <v>16</v>
      </c>
    </row>
    <row r="866">
      <c r="A866" s="0" t="s">
        <v>17</v>
      </c>
      <c r="C866" s="0" t="s">
        <v>18</v>
      </c>
    </row>
    <row r="869">
      <c r="A869" s="5" t="s">
        <v>19</v>
      </c>
      <c r="B869" s="5" t="s">
        <v>20</v>
      </c>
      <c r="C869" s="7" t="s">
        <v>21</v>
      </c>
      <c r="D869" s="9"/>
      <c r="E869" s="7" t="s">
        <v>22</v>
      </c>
      <c r="F869" s="9"/>
      <c r="G869" s="5" t="s">
        <v>23</v>
      </c>
      <c r="H869" s="5" t="s">
        <v>24</v>
      </c>
      <c r="I869" s="5" t="s">
        <v>25</v>
      </c>
      <c r="J869" s="5" t="s">
        <v>26</v>
      </c>
    </row>
    <row r="870">
      <c r="A870" s="6"/>
      <c r="B870" s="6"/>
      <c r="C870" s="8" t="s">
        <v>27</v>
      </c>
      <c r="D870" s="8" t="s">
        <v>28</v>
      </c>
      <c r="E870" s="8" t="s">
        <v>27</v>
      </c>
      <c r="F870" s="8" t="s">
        <v>28</v>
      </c>
      <c r="G870" s="6"/>
      <c r="H870" s="6"/>
      <c r="I870" s="10" t="s">
        <v>29</v>
      </c>
      <c r="J870" s="6"/>
    </row>
    <row r="871">
      <c r="A871" s="11" t="s">
        <v>30</v>
      </c>
      <c r="B871" s="12">
        <v>3586.4187</v>
      </c>
      <c r="C871" s="12">
        <v>0</v>
      </c>
      <c r="D871" s="13">
        <v>0</v>
      </c>
      <c r="E871" s="12">
        <v>0</v>
      </c>
      <c r="F871" s="14">
        <v>0</v>
      </c>
      <c r="G871" s="13">
        <v>3714.3718</v>
      </c>
      <c r="H871" s="14">
        <v>13321292.482273</v>
      </c>
      <c r="I871" s="14" t="e">
        <f>=Round(300.10990000,0)</f>
        <v>#VALUE!</v>
      </c>
      <c r="J871" s="14" t="e">
        <f>=Round(0.00000000,0)</f>
        <v>#VALUE!</v>
      </c>
    </row>
    <row r="872">
      <c r="A872" s="11" t="s">
        <v>31</v>
      </c>
      <c r="B872" s="12">
        <v>3587.0477</v>
      </c>
      <c r="C872" s="12">
        <v>0</v>
      </c>
      <c r="D872" s="13">
        <v>0</v>
      </c>
      <c r="E872" s="12">
        <v>0</v>
      </c>
      <c r="F872" s="14">
        <v>0</v>
      </c>
      <c r="G872" s="13">
        <v>3714.3718</v>
      </c>
      <c r="H872" s="14">
        <v>13323628.822135</v>
      </c>
      <c r="I872" s="14" t="e">
        <f>=Round(300.27500000,0)</f>
        <v>#VALUE!</v>
      </c>
      <c r="J872" s="14" t="e">
        <f>=Round(0.00000000,0)</f>
        <v>#VALUE!</v>
      </c>
    </row>
    <row r="873">
      <c r="A873" s="11" t="s">
        <v>32</v>
      </c>
      <c r="B873" s="12">
        <v>3587.6685</v>
      </c>
      <c r="C873" s="12">
        <v>0</v>
      </c>
      <c r="D873" s="13">
        <v>0</v>
      </c>
      <c r="E873" s="12">
        <v>0</v>
      </c>
      <c r="F873" s="14">
        <v>0</v>
      </c>
      <c r="G873" s="13">
        <v>3714.3718</v>
      </c>
      <c r="H873" s="14">
        <v>13325934.704148</v>
      </c>
      <c r="I873" s="14" t="e">
        <f>=Round(300.32770000,0)</f>
        <v>#VALUE!</v>
      </c>
      <c r="J873" s="14" t="e">
        <f>=Round(0.00000000,0)</f>
        <v>#VALUE!</v>
      </c>
    </row>
    <row r="874">
      <c r="A874" s="11" t="s">
        <v>33</v>
      </c>
      <c r="B874" s="12">
        <v>3588.3573</v>
      </c>
      <c r="C874" s="12">
        <v>0</v>
      </c>
      <c r="D874" s="13">
        <v>0</v>
      </c>
      <c r="E874" s="12">
        <v>0</v>
      </c>
      <c r="F874" s="14">
        <v>0</v>
      </c>
      <c r="G874" s="13">
        <v>3714.3718</v>
      </c>
      <c r="H874" s="14">
        <v>13328493.163444</v>
      </c>
      <c r="I874" s="14" t="e">
        <f>=Round(300.37970000,0)</f>
        <v>#VALUE!</v>
      </c>
      <c r="J874" s="14" t="e">
        <f>=Round(0.00000000,0)</f>
        <v>#VALUE!</v>
      </c>
    </row>
    <row r="875">
      <c r="A875" s="11" t="s">
        <v>34</v>
      </c>
      <c r="B875" s="12">
        <v>3589.0109</v>
      </c>
      <c r="C875" s="12">
        <v>0</v>
      </c>
      <c r="D875" s="13">
        <v>0</v>
      </c>
      <c r="E875" s="12">
        <v>0</v>
      </c>
      <c r="F875" s="14">
        <v>0</v>
      </c>
      <c r="G875" s="13">
        <v>3714.3718</v>
      </c>
      <c r="H875" s="14">
        <v>13330920.876853</v>
      </c>
      <c r="I875" s="14" t="e">
        <f>=Round(300.43730000,0)</f>
        <v>#VALUE!</v>
      </c>
      <c r="J875" s="14" t="e">
        <f>=Round(0.00000000,0)</f>
        <v>#VALUE!</v>
      </c>
    </row>
    <row r="876">
      <c r="A876" s="11" t="s">
        <v>35</v>
      </c>
      <c r="B876" s="12">
        <v>3589.0109</v>
      </c>
      <c r="C876" s="12">
        <v>0</v>
      </c>
      <c r="D876" s="13">
        <v>0</v>
      </c>
      <c r="E876" s="12">
        <v>0</v>
      </c>
      <c r="F876" s="14">
        <v>0</v>
      </c>
      <c r="G876" s="13">
        <v>3714.3718</v>
      </c>
      <c r="H876" s="14">
        <v>13330920.876853</v>
      </c>
      <c r="I876" s="14" t="e">
        <f>=Round(300.49210000,0)</f>
        <v>#VALUE!</v>
      </c>
      <c r="J876" s="14" t="e">
        <f>=Round(0.00000000,0)</f>
        <v>#VALUE!</v>
      </c>
    </row>
    <row r="877">
      <c r="A877" s="11" t="s">
        <v>36</v>
      </c>
      <c r="B877" s="12">
        <v>3589.0109</v>
      </c>
      <c r="C877" s="12">
        <v>0</v>
      </c>
      <c r="D877" s="13">
        <v>0</v>
      </c>
      <c r="E877" s="12">
        <v>0</v>
      </c>
      <c r="F877" s="14">
        <v>0</v>
      </c>
      <c r="G877" s="13">
        <v>3714.3718</v>
      </c>
      <c r="H877" s="14">
        <v>13330920.876853</v>
      </c>
      <c r="I877" s="14" t="e">
        <f>=Round(300.49210000,0)</f>
        <v>#VALUE!</v>
      </c>
      <c r="J877" s="14" t="e">
        <f>=Round(0.00000000,0)</f>
        <v>#VALUE!</v>
      </c>
    </row>
    <row r="878">
      <c r="A878" s="11" t="s">
        <v>37</v>
      </c>
      <c r="B878" s="12">
        <v>3590.972</v>
      </c>
      <c r="C878" s="12">
        <v>0</v>
      </c>
      <c r="D878" s="13">
        <v>0</v>
      </c>
      <c r="E878" s="12">
        <v>0</v>
      </c>
      <c r="F878" s="14">
        <v>0</v>
      </c>
      <c r="G878" s="13">
        <v>3714.3718</v>
      </c>
      <c r="H878" s="14">
        <v>13338205.13139</v>
      </c>
      <c r="I878" s="14" t="e">
        <f>=Round(300.49210000,0)</f>
        <v>#VALUE!</v>
      </c>
      <c r="J878" s="14" t="e">
        <f>=Round(0.00000000,0)</f>
        <v>#VALUE!</v>
      </c>
    </row>
    <row r="879">
      <c r="A879" s="11" t="s">
        <v>38</v>
      </c>
      <c r="B879" s="12">
        <v>3591.6235</v>
      </c>
      <c r="C879" s="12">
        <v>0</v>
      </c>
      <c r="D879" s="13">
        <v>0</v>
      </c>
      <c r="E879" s="12">
        <v>0</v>
      </c>
      <c r="F879" s="14">
        <v>0</v>
      </c>
      <c r="G879" s="13">
        <v>3714.3718</v>
      </c>
      <c r="H879" s="14">
        <v>13340625.044617</v>
      </c>
      <c r="I879" s="14" t="e">
        <f>=Round(300.65630000,0)</f>
        <v>#VALUE!</v>
      </c>
      <c r="J879" s="14" t="e">
        <f>=Round(0.00000000,0)</f>
        <v>#VALUE!</v>
      </c>
    </row>
    <row r="880">
      <c r="A880" s="11" t="s">
        <v>39</v>
      </c>
      <c r="B880" s="12">
        <v>3592.281</v>
      </c>
      <c r="C880" s="12">
        <v>0</v>
      </c>
      <c r="D880" s="13">
        <v>0</v>
      </c>
      <c r="E880" s="12">
        <v>0</v>
      </c>
      <c r="F880" s="14">
        <v>0</v>
      </c>
      <c r="G880" s="13">
        <v>3714.3718</v>
      </c>
      <c r="H880" s="14">
        <v>13343067.244076</v>
      </c>
      <c r="I880" s="14" t="e">
        <f>=Round(300.71080000,0)</f>
        <v>#VALUE!</v>
      </c>
      <c r="J880" s="14" t="e">
        <f>=Round(0.00000000,0)</f>
        <v>#VALUE!</v>
      </c>
    </row>
    <row r="881">
      <c r="A881" s="11" t="s">
        <v>40</v>
      </c>
      <c r="B881" s="12">
        <v>3592.9125</v>
      </c>
      <c r="C881" s="12">
        <v>0</v>
      </c>
      <c r="D881" s="13">
        <v>0</v>
      </c>
      <c r="E881" s="12">
        <v>0</v>
      </c>
      <c r="F881" s="14">
        <v>0</v>
      </c>
      <c r="G881" s="13">
        <v>3714.3718</v>
      </c>
      <c r="H881" s="14">
        <v>13345412.869868</v>
      </c>
      <c r="I881" s="14" t="e">
        <f>=Round(300.76590000,0)</f>
        <v>#VALUE!</v>
      </c>
      <c r="J881" s="14" t="e">
        <f>=Round(0.00000000,0)</f>
        <v>#VALUE!</v>
      </c>
    </row>
    <row r="882">
      <c r="A882" s="11" t="s">
        <v>41</v>
      </c>
      <c r="B882" s="12">
        <v>3593.5674</v>
      </c>
      <c r="C882" s="12">
        <v>0</v>
      </c>
      <c r="D882" s="13">
        <v>0</v>
      </c>
      <c r="E882" s="12">
        <v>0</v>
      </c>
      <c r="F882" s="14">
        <v>0</v>
      </c>
      <c r="G882" s="13">
        <v>3714.3718</v>
      </c>
      <c r="H882" s="14">
        <v>13347845.411959</v>
      </c>
      <c r="I882" s="14" t="e">
        <f>=Round(300.81870000,0)</f>
        <v>#VALUE!</v>
      </c>
      <c r="J882" s="14" t="e">
        <f>=Round(0.00000000,0)</f>
        <v>#VALUE!</v>
      </c>
    </row>
    <row r="883">
      <c r="A883" s="11" t="s">
        <v>42</v>
      </c>
      <c r="B883" s="12">
        <v>3593.5674</v>
      </c>
      <c r="C883" s="12">
        <v>0</v>
      </c>
      <c r="D883" s="13">
        <v>0</v>
      </c>
      <c r="E883" s="12">
        <v>0</v>
      </c>
      <c r="F883" s="14">
        <v>0</v>
      </c>
      <c r="G883" s="13">
        <v>3714.3718</v>
      </c>
      <c r="H883" s="14">
        <v>13347845.411959</v>
      </c>
      <c r="I883" s="14" t="e">
        <f>=Round(300.87360000,0)</f>
        <v>#VALUE!</v>
      </c>
      <c r="J883" s="14" t="e">
        <f>=Round(0.00000000,0)</f>
        <v>#VALUE!</v>
      </c>
    </row>
    <row r="884">
      <c r="A884" s="11" t="s">
        <v>43</v>
      </c>
      <c r="B884" s="12">
        <v>3593.5674</v>
      </c>
      <c r="C884" s="12">
        <v>0</v>
      </c>
      <c r="D884" s="13">
        <v>0</v>
      </c>
      <c r="E884" s="12">
        <v>0</v>
      </c>
      <c r="F884" s="14">
        <v>0</v>
      </c>
      <c r="G884" s="13">
        <v>3714.3718</v>
      </c>
      <c r="H884" s="14">
        <v>13347845.411959</v>
      </c>
      <c r="I884" s="14" t="e">
        <f>=Round(300.87360000,0)</f>
        <v>#VALUE!</v>
      </c>
      <c r="J884" s="14" t="e">
        <f>=Round(0.00000000,0)</f>
        <v>#VALUE!</v>
      </c>
    </row>
    <row r="885">
      <c r="A885" s="11" t="s">
        <v>44</v>
      </c>
      <c r="B885" s="12">
        <v>3595.5366</v>
      </c>
      <c r="C885" s="12">
        <v>0</v>
      </c>
      <c r="D885" s="13">
        <v>0</v>
      </c>
      <c r="E885" s="12">
        <v>0</v>
      </c>
      <c r="F885" s="14">
        <v>0</v>
      </c>
      <c r="G885" s="13">
        <v>3714.3718</v>
      </c>
      <c r="H885" s="14">
        <v>13355159.752908</v>
      </c>
      <c r="I885" s="14" t="e">
        <f>=Round(300.87360000,0)</f>
        <v>#VALUE!</v>
      </c>
      <c r="J885" s="14" t="e">
        <f>=Round(0.00000000,0)</f>
        <v>#VALUE!</v>
      </c>
    </row>
    <row r="886">
      <c r="A886" s="11" t="s">
        <v>45</v>
      </c>
      <c r="B886" s="12">
        <v>3596.1915</v>
      </c>
      <c r="C886" s="12">
        <v>0</v>
      </c>
      <c r="D886" s="13">
        <v>0</v>
      </c>
      <c r="E886" s="12">
        <v>0</v>
      </c>
      <c r="F886" s="14">
        <v>0</v>
      </c>
      <c r="G886" s="13">
        <v>3714.3718</v>
      </c>
      <c r="H886" s="14">
        <v>13357592.295</v>
      </c>
      <c r="I886" s="14" t="e">
        <f>=Round(301.03840000,0)</f>
        <v>#VALUE!</v>
      </c>
      <c r="J886" s="14" t="e">
        <f>=Round(0.00000000,0)</f>
        <v>#VALUE!</v>
      </c>
    </row>
    <row r="887">
      <c r="A887" s="11" t="s">
        <v>46</v>
      </c>
      <c r="B887" s="12">
        <v>3596.8461</v>
      </c>
      <c r="C887" s="12">
        <v>0</v>
      </c>
      <c r="D887" s="13">
        <v>0</v>
      </c>
      <c r="E887" s="12">
        <v>0</v>
      </c>
      <c r="F887" s="14">
        <v>0</v>
      </c>
      <c r="G887" s="13">
        <v>3714.3718</v>
      </c>
      <c r="H887" s="14">
        <v>13360023.72278</v>
      </c>
      <c r="I887" s="14" t="e">
        <f>=Round(301.09330000,0)</f>
        <v>#VALUE!</v>
      </c>
      <c r="J887" s="14" t="e">
        <f>=Round(0.00000000,0)</f>
        <v>#VALUE!</v>
      </c>
    </row>
    <row r="888">
      <c r="A888" s="11" t="s">
        <v>47</v>
      </c>
      <c r="B888" s="12">
        <v>3597.4992</v>
      </c>
      <c r="C888" s="12">
        <v>0</v>
      </c>
      <c r="D888" s="13">
        <v>0</v>
      </c>
      <c r="E888" s="12">
        <v>0</v>
      </c>
      <c r="F888" s="14">
        <v>0</v>
      </c>
      <c r="G888" s="13">
        <v>3714.3718</v>
      </c>
      <c r="H888" s="14">
        <v>13362449.579003</v>
      </c>
      <c r="I888" s="14" t="e">
        <f>=Round(301.14810000,0)</f>
        <v>#VALUE!</v>
      </c>
      <c r="J888" s="14" t="e">
        <f>=Round(0.00000000,0)</f>
        <v>#VALUE!</v>
      </c>
    </row>
    <row r="889">
      <c r="A889" s="11" t="s">
        <v>48</v>
      </c>
      <c r="B889" s="12">
        <v>3598.1558</v>
      </c>
      <c r="C889" s="12">
        <v>0</v>
      </c>
      <c r="D889" s="13">
        <v>0</v>
      </c>
      <c r="E889" s="12">
        <v>0</v>
      </c>
      <c r="F889" s="14">
        <v>0</v>
      </c>
      <c r="G889" s="13">
        <v>3714.3718</v>
      </c>
      <c r="H889" s="14">
        <v>13364888.435526</v>
      </c>
      <c r="I889" s="14" t="e">
        <f>=Round(301.20280000,0)</f>
        <v>#VALUE!</v>
      </c>
      <c r="J889" s="14" t="e">
        <f>=Round(0.00000000,0)</f>
        <v>#VALUE!</v>
      </c>
    </row>
    <row r="890">
      <c r="A890" s="11" t="s">
        <v>49</v>
      </c>
      <c r="B890" s="12">
        <v>3598.1558</v>
      </c>
      <c r="C890" s="12">
        <v>0</v>
      </c>
      <c r="D890" s="13">
        <v>0</v>
      </c>
      <c r="E890" s="12">
        <v>0</v>
      </c>
      <c r="F890" s="14">
        <v>0</v>
      </c>
      <c r="G890" s="13">
        <v>3714.3718</v>
      </c>
      <c r="H890" s="14">
        <v>13364888.435526</v>
      </c>
      <c r="I890" s="14" t="e">
        <f>=Round(301.25770000,0)</f>
        <v>#VALUE!</v>
      </c>
      <c r="J890" s="14" t="e">
        <f>=Round(0.00000000,0)</f>
        <v>#VALUE!</v>
      </c>
    </row>
    <row r="891">
      <c r="A891" s="11" t="s">
        <v>50</v>
      </c>
      <c r="B891" s="12">
        <v>3598.1558</v>
      </c>
      <c r="C891" s="12">
        <v>0</v>
      </c>
      <c r="D891" s="13">
        <v>0</v>
      </c>
      <c r="E891" s="12">
        <v>0</v>
      </c>
      <c r="F891" s="14">
        <v>0</v>
      </c>
      <c r="G891" s="13">
        <v>3714.3718</v>
      </c>
      <c r="H891" s="14">
        <v>13364888.435526</v>
      </c>
      <c r="I891" s="14" t="e">
        <f>=Round(301.25770000,0)</f>
        <v>#VALUE!</v>
      </c>
      <c r="J891" s="14" t="e">
        <f>=Round(0.00000000,0)</f>
        <v>#VALUE!</v>
      </c>
    </row>
    <row r="892">
      <c r="A892" s="11" t="s">
        <v>51</v>
      </c>
      <c r="B892" s="12">
        <v>3600.124</v>
      </c>
      <c r="C892" s="12">
        <v>0</v>
      </c>
      <c r="D892" s="13">
        <v>0</v>
      </c>
      <c r="E892" s="12">
        <v>0</v>
      </c>
      <c r="F892" s="14">
        <v>0</v>
      </c>
      <c r="G892" s="13">
        <v>3714.3718</v>
      </c>
      <c r="H892" s="14">
        <v>13372199.062103</v>
      </c>
      <c r="I892" s="14" t="e">
        <f>=Round(301.25770000,0)</f>
        <v>#VALUE!</v>
      </c>
      <c r="J892" s="14" t="e">
        <f>=Round(0.00000000,0)</f>
        <v>#VALUE!</v>
      </c>
    </row>
    <row r="893">
      <c r="A893" s="11" t="s">
        <v>52</v>
      </c>
      <c r="B893" s="12">
        <v>3600.7905</v>
      </c>
      <c r="C893" s="12">
        <v>0</v>
      </c>
      <c r="D893" s="13">
        <v>0</v>
      </c>
      <c r="E893" s="12">
        <v>0</v>
      </c>
      <c r="F893" s="14">
        <v>0</v>
      </c>
      <c r="G893" s="13">
        <v>3714.3718</v>
      </c>
      <c r="H893" s="14">
        <v>13374674.690908</v>
      </c>
      <c r="I893" s="14" t="e">
        <f>=Round(301.42250000,0)</f>
        <v>#VALUE!</v>
      </c>
      <c r="J893" s="14" t="e">
        <f>=Round(0.00000000,0)</f>
        <v>#VALUE!</v>
      </c>
    </row>
    <row r="894">
      <c r="A894" s="11" t="s">
        <v>53</v>
      </c>
      <c r="B894" s="12">
        <v>3601.445</v>
      </c>
      <c r="C894" s="12">
        <v>0</v>
      </c>
      <c r="D894" s="13">
        <v>0</v>
      </c>
      <c r="E894" s="12">
        <v>0</v>
      </c>
      <c r="F894" s="14">
        <v>0</v>
      </c>
      <c r="G894" s="13">
        <v>3714.3718</v>
      </c>
      <c r="H894" s="14">
        <v>13377105.747251</v>
      </c>
      <c r="I894" s="14" t="e">
        <f>=Round(301.47830000,0)</f>
        <v>#VALUE!</v>
      </c>
      <c r="J894" s="14" t="e">
        <f>=Round(0.00000000,0)</f>
        <v>#VALUE!</v>
      </c>
    </row>
    <row r="895">
      <c r="A895" s="11" t="s">
        <v>54</v>
      </c>
      <c r="B895" s="12">
        <v>3602.0851</v>
      </c>
      <c r="C895" s="12">
        <v>0</v>
      </c>
      <c r="D895" s="13">
        <v>0</v>
      </c>
      <c r="E895" s="12">
        <v>0</v>
      </c>
      <c r="F895" s="14">
        <v>0</v>
      </c>
      <c r="G895" s="13">
        <v>3714.3718</v>
      </c>
      <c r="H895" s="14">
        <v>13379483.31664</v>
      </c>
      <c r="I895" s="14" t="e">
        <f>=Round(301.53310000,0)</f>
        <v>#VALUE!</v>
      </c>
      <c r="J895" s="14" t="e">
        <f>=Round(0.00000000,0)</f>
        <v>#VALUE!</v>
      </c>
    </row>
    <row r="896">
      <c r="A896" s="11" t="s">
        <v>55</v>
      </c>
      <c r="B896" s="12">
        <v>3602.7417</v>
      </c>
      <c r="C896" s="12">
        <v>0</v>
      </c>
      <c r="D896" s="13">
        <v>0</v>
      </c>
      <c r="E896" s="12">
        <v>0</v>
      </c>
      <c r="F896" s="14">
        <v>0</v>
      </c>
      <c r="G896" s="13">
        <v>3714.3718</v>
      </c>
      <c r="H896" s="14">
        <v>13381922.173164</v>
      </c>
      <c r="I896" s="14" t="e">
        <f>=Round(301.58670000,0)</f>
        <v>#VALUE!</v>
      </c>
      <c r="J896" s="14" t="e">
        <f>=Round(0.00000000,0)</f>
        <v>#VALUE!</v>
      </c>
    </row>
    <row r="897" ht="-1">
      <c r="A897" s="15"/>
      <c r="B897" s="16" t="s">
        <v>56</v>
      </c>
      <c r="C897" s="15"/>
      <c r="D897" s="15"/>
      <c r="E897" s="15"/>
      <c r="F897" s="15"/>
      <c r="G897" s="15"/>
      <c r="H897" s="15"/>
      <c r="I897" s="17" t="e">
        <f>=Round(SUM(I871:I896),0)</f>
        <v>#VALUE!</v>
      </c>
      <c r="J897" s="17" t="e">
        <f>=Round(SUM(J871:J896),0)</f>
        <v>#VALUE!</v>
      </c>
    </row>
    <row r="898">
      <c r="A898" s="1" t="s">
        <v>0</v>
      </c>
      <c r="B898" s="1"/>
      <c r="C898" s="1"/>
      <c r="D898" s="1"/>
    </row>
    <row r="899">
      <c r="A899" s="0" t="s">
        <v>1</v>
      </c>
      <c r="C899" s="0" t="s">
        <v>2</v>
      </c>
      <c r="H899" s="2" t="s">
        <v>3</v>
      </c>
    </row>
    <row r="900">
      <c r="A900" s="0" t="s">
        <v>4</v>
      </c>
      <c r="C900" s="0" t="s">
        <v>79</v>
      </c>
      <c r="H900" s="3" t="s">
        <v>6</v>
      </c>
    </row>
    <row r="901">
      <c r="A901" s="0" t="s">
        <v>7</v>
      </c>
      <c r="C901" s="4" t="s">
        <v>8</v>
      </c>
      <c r="H901" s="2" t="s">
        <v>9</v>
      </c>
    </row>
    <row r="902">
      <c r="A902" s="0" t="s">
        <v>10</v>
      </c>
      <c r="C902" s="4" t="s">
        <v>11</v>
      </c>
      <c r="H902" s="2" t="s">
        <v>12</v>
      </c>
    </row>
    <row r="903">
      <c r="A903" s="0" t="s">
        <v>13</v>
      </c>
      <c r="C903" s="0" t="s">
        <v>14</v>
      </c>
    </row>
    <row r="904">
      <c r="A904" s="0" t="s">
        <v>15</v>
      </c>
      <c r="C904" s="0" t="s">
        <v>16</v>
      </c>
    </row>
    <row r="905">
      <c r="A905" s="0" t="s">
        <v>17</v>
      </c>
      <c r="C905" s="0" t="s">
        <v>18</v>
      </c>
    </row>
    <row r="908">
      <c r="A908" s="5" t="s">
        <v>19</v>
      </c>
      <c r="B908" s="5" t="s">
        <v>20</v>
      </c>
      <c r="C908" s="7" t="s">
        <v>21</v>
      </c>
      <c r="D908" s="9"/>
      <c r="E908" s="7" t="s">
        <v>22</v>
      </c>
      <c r="F908" s="9"/>
      <c r="G908" s="5" t="s">
        <v>23</v>
      </c>
      <c r="H908" s="5" t="s">
        <v>24</v>
      </c>
      <c r="I908" s="5" t="s">
        <v>25</v>
      </c>
      <c r="J908" s="5" t="s">
        <v>26</v>
      </c>
    </row>
    <row r="909">
      <c r="A909" s="6"/>
      <c r="B909" s="6"/>
      <c r="C909" s="8" t="s">
        <v>27</v>
      </c>
      <c r="D909" s="8" t="s">
        <v>28</v>
      </c>
      <c r="E909" s="8" t="s">
        <v>27</v>
      </c>
      <c r="F909" s="8" t="s">
        <v>28</v>
      </c>
      <c r="G909" s="6"/>
      <c r="H909" s="6"/>
      <c r="I909" s="10" t="s">
        <v>29</v>
      </c>
      <c r="J909" s="6"/>
    </row>
    <row r="910">
      <c r="A910" s="11" t="s">
        <v>30</v>
      </c>
      <c r="B910" s="12">
        <v>3586.4187</v>
      </c>
      <c r="C910" s="12">
        <v>0</v>
      </c>
      <c r="D910" s="13">
        <v>0</v>
      </c>
      <c r="E910" s="12">
        <v>0</v>
      </c>
      <c r="F910" s="14">
        <v>0</v>
      </c>
      <c r="G910" s="13">
        <v>2677.362</v>
      </c>
      <c r="H910" s="14">
        <v>9602141.143469</v>
      </c>
      <c r="I910" s="14" t="e">
        <f>=Round(216.32270000,0)</f>
        <v>#VALUE!</v>
      </c>
      <c r="J910" s="14" t="e">
        <f>=Round(0.00000000,0)</f>
        <v>#VALUE!</v>
      </c>
    </row>
    <row r="911">
      <c r="A911" s="11" t="s">
        <v>31</v>
      </c>
      <c r="B911" s="12">
        <v>3587.0477</v>
      </c>
      <c r="C911" s="12">
        <v>0</v>
      </c>
      <c r="D911" s="13">
        <v>0</v>
      </c>
      <c r="E911" s="12">
        <v>0</v>
      </c>
      <c r="F911" s="14">
        <v>0</v>
      </c>
      <c r="G911" s="13">
        <v>2677.362</v>
      </c>
      <c r="H911" s="14">
        <v>9603825.204167</v>
      </c>
      <c r="I911" s="14" t="e">
        <f>=Round(216.44170000,0)</f>
        <v>#VALUE!</v>
      </c>
      <c r="J911" s="14" t="e">
        <f>=Round(0.00000000,0)</f>
        <v>#VALUE!</v>
      </c>
    </row>
    <row r="912">
      <c r="A912" s="11" t="s">
        <v>32</v>
      </c>
      <c r="B912" s="12">
        <v>3587.6685</v>
      </c>
      <c r="C912" s="12">
        <v>0</v>
      </c>
      <c r="D912" s="13">
        <v>0</v>
      </c>
      <c r="E912" s="12">
        <v>0</v>
      </c>
      <c r="F912" s="14">
        <v>0</v>
      </c>
      <c r="G912" s="13">
        <v>2677.362</v>
      </c>
      <c r="H912" s="14">
        <v>9605487.310497</v>
      </c>
      <c r="I912" s="14" t="e">
        <f>=Round(216.47970000,0)</f>
        <v>#VALUE!</v>
      </c>
      <c r="J912" s="14" t="e">
        <f>=Round(0.00000000,0)</f>
        <v>#VALUE!</v>
      </c>
    </row>
    <row r="913">
      <c r="A913" s="11" t="s">
        <v>33</v>
      </c>
      <c r="B913" s="12">
        <v>3588.3573</v>
      </c>
      <c r="C913" s="12">
        <v>0</v>
      </c>
      <c r="D913" s="13">
        <v>0</v>
      </c>
      <c r="E913" s="12">
        <v>0</v>
      </c>
      <c r="F913" s="14">
        <v>0</v>
      </c>
      <c r="G913" s="13">
        <v>2677.362</v>
      </c>
      <c r="H913" s="14">
        <v>9607331.477443</v>
      </c>
      <c r="I913" s="14" t="e">
        <f>=Round(216.51710000,0)</f>
        <v>#VALUE!</v>
      </c>
      <c r="J913" s="14" t="e">
        <f>=Round(0.00000000,0)</f>
        <v>#VALUE!</v>
      </c>
    </row>
    <row r="914">
      <c r="A914" s="11" t="s">
        <v>34</v>
      </c>
      <c r="B914" s="12">
        <v>3589.0109</v>
      </c>
      <c r="C914" s="12">
        <v>0</v>
      </c>
      <c r="D914" s="13">
        <v>0</v>
      </c>
      <c r="E914" s="12">
        <v>0</v>
      </c>
      <c r="F914" s="14">
        <v>0</v>
      </c>
      <c r="G914" s="13">
        <v>2677.362</v>
      </c>
      <c r="H914" s="14">
        <v>9609081.401246</v>
      </c>
      <c r="I914" s="14" t="e">
        <f>=Round(216.55870000,0)</f>
        <v>#VALUE!</v>
      </c>
      <c r="J914" s="14" t="e">
        <f>=Round(0.00000000,0)</f>
        <v>#VALUE!</v>
      </c>
    </row>
    <row r="915">
      <c r="A915" s="11" t="s">
        <v>35</v>
      </c>
      <c r="B915" s="12">
        <v>3589.0109</v>
      </c>
      <c r="C915" s="12">
        <v>0</v>
      </c>
      <c r="D915" s="13">
        <v>0</v>
      </c>
      <c r="E915" s="12">
        <v>0</v>
      </c>
      <c r="F915" s="14">
        <v>0</v>
      </c>
      <c r="G915" s="13">
        <v>2677.362</v>
      </c>
      <c r="H915" s="14">
        <v>9609081.401246</v>
      </c>
      <c r="I915" s="14" t="e">
        <f>=Round(216.59810000,0)</f>
        <v>#VALUE!</v>
      </c>
      <c r="J915" s="14" t="e">
        <f>=Round(0.00000000,0)</f>
        <v>#VALUE!</v>
      </c>
    </row>
    <row r="916">
      <c r="A916" s="11" t="s">
        <v>36</v>
      </c>
      <c r="B916" s="12">
        <v>3589.0109</v>
      </c>
      <c r="C916" s="12">
        <v>0</v>
      </c>
      <c r="D916" s="13">
        <v>0</v>
      </c>
      <c r="E916" s="12">
        <v>0</v>
      </c>
      <c r="F916" s="14">
        <v>0</v>
      </c>
      <c r="G916" s="13">
        <v>2677.362</v>
      </c>
      <c r="H916" s="14">
        <v>9609081.401246</v>
      </c>
      <c r="I916" s="14" t="e">
        <f>=Round(216.59810000,0)</f>
        <v>#VALUE!</v>
      </c>
      <c r="J916" s="14" t="e">
        <f>=Round(0.00000000,0)</f>
        <v>#VALUE!</v>
      </c>
    </row>
    <row r="917">
      <c r="A917" s="11" t="s">
        <v>37</v>
      </c>
      <c r="B917" s="12">
        <v>3590.972</v>
      </c>
      <c r="C917" s="12">
        <v>0</v>
      </c>
      <c r="D917" s="13">
        <v>0</v>
      </c>
      <c r="E917" s="12">
        <v>0</v>
      </c>
      <c r="F917" s="14">
        <v>0</v>
      </c>
      <c r="G917" s="13">
        <v>2677.362</v>
      </c>
      <c r="H917" s="14">
        <v>9614331.975864</v>
      </c>
      <c r="I917" s="14" t="e">
        <f>=Round(216.59810000,0)</f>
        <v>#VALUE!</v>
      </c>
      <c r="J917" s="14" t="e">
        <f>=Round(0.00000000,0)</f>
        <v>#VALUE!</v>
      </c>
    </row>
    <row r="918">
      <c r="A918" s="11" t="s">
        <v>38</v>
      </c>
      <c r="B918" s="12">
        <v>3591.6235</v>
      </c>
      <c r="C918" s="12">
        <v>0</v>
      </c>
      <c r="D918" s="13">
        <v>0</v>
      </c>
      <c r="E918" s="12">
        <v>0</v>
      </c>
      <c r="F918" s="14">
        <v>0</v>
      </c>
      <c r="G918" s="13">
        <v>2677.362</v>
      </c>
      <c r="H918" s="14">
        <v>9616076.277207</v>
      </c>
      <c r="I918" s="14" t="e">
        <f>=Round(216.71650000,0)</f>
        <v>#VALUE!</v>
      </c>
      <c r="J918" s="14" t="e">
        <f>=Round(0.00000000,0)</f>
        <v>#VALUE!</v>
      </c>
    </row>
    <row r="919">
      <c r="A919" s="11" t="s">
        <v>39</v>
      </c>
      <c r="B919" s="12">
        <v>3592.281</v>
      </c>
      <c r="C919" s="12">
        <v>0</v>
      </c>
      <c r="D919" s="13">
        <v>0</v>
      </c>
      <c r="E919" s="12">
        <v>0</v>
      </c>
      <c r="F919" s="14">
        <v>0</v>
      </c>
      <c r="G919" s="13">
        <v>2677.362</v>
      </c>
      <c r="H919" s="14">
        <v>9617836.642722</v>
      </c>
      <c r="I919" s="14" t="e">
        <f>=Round(216.75580000,0)</f>
        <v>#VALUE!</v>
      </c>
      <c r="J919" s="14" t="e">
        <f>=Round(0.00000000,0)</f>
        <v>#VALUE!</v>
      </c>
    </row>
    <row r="920">
      <c r="A920" s="11" t="s">
        <v>40</v>
      </c>
      <c r="B920" s="12">
        <v>3592.9125</v>
      </c>
      <c r="C920" s="12">
        <v>0</v>
      </c>
      <c r="D920" s="13">
        <v>0</v>
      </c>
      <c r="E920" s="12">
        <v>0</v>
      </c>
      <c r="F920" s="14">
        <v>0</v>
      </c>
      <c r="G920" s="13">
        <v>2677.362</v>
      </c>
      <c r="H920" s="14">
        <v>9619527.396825</v>
      </c>
      <c r="I920" s="14" t="e">
        <f>=Round(216.79550000,0)</f>
        <v>#VALUE!</v>
      </c>
      <c r="J920" s="14" t="e">
        <f>=Round(0.00000000,0)</f>
        <v>#VALUE!</v>
      </c>
    </row>
    <row r="921">
      <c r="A921" s="11" t="s">
        <v>41</v>
      </c>
      <c r="B921" s="12">
        <v>3593.5674</v>
      </c>
      <c r="C921" s="12">
        <v>0</v>
      </c>
      <c r="D921" s="13">
        <v>0</v>
      </c>
      <c r="E921" s="12">
        <v>0</v>
      </c>
      <c r="F921" s="14">
        <v>0</v>
      </c>
      <c r="G921" s="13">
        <v>2677.362</v>
      </c>
      <c r="H921" s="14">
        <v>9621280.801199</v>
      </c>
      <c r="I921" s="14" t="e">
        <f>=Round(216.83360000,0)</f>
        <v>#VALUE!</v>
      </c>
      <c r="J921" s="14" t="e">
        <f>=Round(0.00000000,0)</f>
        <v>#VALUE!</v>
      </c>
    </row>
    <row r="922">
      <c r="A922" s="11" t="s">
        <v>42</v>
      </c>
      <c r="B922" s="12">
        <v>3593.5674</v>
      </c>
      <c r="C922" s="12">
        <v>0</v>
      </c>
      <c r="D922" s="13">
        <v>0</v>
      </c>
      <c r="E922" s="12">
        <v>0</v>
      </c>
      <c r="F922" s="14">
        <v>0</v>
      </c>
      <c r="G922" s="13">
        <v>2677.362</v>
      </c>
      <c r="H922" s="14">
        <v>9621280.801199</v>
      </c>
      <c r="I922" s="14" t="e">
        <f>=Round(216.87310000,0)</f>
        <v>#VALUE!</v>
      </c>
      <c r="J922" s="14" t="e">
        <f>=Round(0.00000000,0)</f>
        <v>#VALUE!</v>
      </c>
    </row>
    <row r="923">
      <c r="A923" s="11" t="s">
        <v>43</v>
      </c>
      <c r="B923" s="12">
        <v>3593.5674</v>
      </c>
      <c r="C923" s="12">
        <v>0</v>
      </c>
      <c r="D923" s="13">
        <v>0</v>
      </c>
      <c r="E923" s="12">
        <v>0</v>
      </c>
      <c r="F923" s="14">
        <v>0</v>
      </c>
      <c r="G923" s="13">
        <v>2677.362</v>
      </c>
      <c r="H923" s="14">
        <v>9621280.801199</v>
      </c>
      <c r="I923" s="14" t="e">
        <f>=Round(216.87310000,0)</f>
        <v>#VALUE!</v>
      </c>
      <c r="J923" s="14" t="e">
        <f>=Round(0.00000000,0)</f>
        <v>#VALUE!</v>
      </c>
    </row>
    <row r="924">
      <c r="A924" s="11" t="s">
        <v>44</v>
      </c>
      <c r="B924" s="12">
        <v>3595.5366</v>
      </c>
      <c r="C924" s="12">
        <v>0</v>
      </c>
      <c r="D924" s="13">
        <v>0</v>
      </c>
      <c r="E924" s="12">
        <v>0</v>
      </c>
      <c r="F924" s="14">
        <v>0</v>
      </c>
      <c r="G924" s="13">
        <v>2677.362</v>
      </c>
      <c r="H924" s="14">
        <v>9626553.062449</v>
      </c>
      <c r="I924" s="14" t="e">
        <f>=Round(216.87310000,0)</f>
        <v>#VALUE!</v>
      </c>
      <c r="J924" s="14" t="e">
        <f>=Round(0.00000000,0)</f>
        <v>#VALUE!</v>
      </c>
    </row>
    <row r="925">
      <c r="A925" s="11" t="s">
        <v>45</v>
      </c>
      <c r="B925" s="12">
        <v>3596.1915</v>
      </c>
      <c r="C925" s="12">
        <v>0</v>
      </c>
      <c r="D925" s="13">
        <v>0</v>
      </c>
      <c r="E925" s="12">
        <v>0</v>
      </c>
      <c r="F925" s="14">
        <v>0</v>
      </c>
      <c r="G925" s="13">
        <v>2677.362</v>
      </c>
      <c r="H925" s="14">
        <v>9628306.466823</v>
      </c>
      <c r="I925" s="14" t="e">
        <f>=Round(216.99200000,0)</f>
        <v>#VALUE!</v>
      </c>
      <c r="J925" s="14" t="e">
        <f>=Round(0.00000000,0)</f>
        <v>#VALUE!</v>
      </c>
    </row>
    <row r="926">
      <c r="A926" s="11" t="s">
        <v>46</v>
      </c>
      <c r="B926" s="12">
        <v>3596.8461</v>
      </c>
      <c r="C926" s="12">
        <v>0</v>
      </c>
      <c r="D926" s="13">
        <v>0</v>
      </c>
      <c r="E926" s="12">
        <v>0</v>
      </c>
      <c r="F926" s="14">
        <v>0</v>
      </c>
      <c r="G926" s="13">
        <v>2677.362</v>
      </c>
      <c r="H926" s="14">
        <v>9630059.067988</v>
      </c>
      <c r="I926" s="14" t="e">
        <f>=Round(217.03150000,0)</f>
        <v>#VALUE!</v>
      </c>
      <c r="J926" s="14" t="e">
        <f>=Round(0.00000000,0)</f>
        <v>#VALUE!</v>
      </c>
    </row>
    <row r="927">
      <c r="A927" s="11" t="s">
        <v>47</v>
      </c>
      <c r="B927" s="12">
        <v>3597.4992</v>
      </c>
      <c r="C927" s="12">
        <v>0</v>
      </c>
      <c r="D927" s="13">
        <v>0</v>
      </c>
      <c r="E927" s="12">
        <v>0</v>
      </c>
      <c r="F927" s="14">
        <v>0</v>
      </c>
      <c r="G927" s="13">
        <v>2677.362</v>
      </c>
      <c r="H927" s="14">
        <v>9631807.65311</v>
      </c>
      <c r="I927" s="14" t="e">
        <f>=Round(217.07100000,0)</f>
        <v>#VALUE!</v>
      </c>
      <c r="J927" s="14" t="e">
        <f>=Round(0.00000000,0)</f>
        <v>#VALUE!</v>
      </c>
    </row>
    <row r="928">
      <c r="A928" s="11" t="s">
        <v>48</v>
      </c>
      <c r="B928" s="12">
        <v>3598.1558</v>
      </c>
      <c r="C928" s="12">
        <v>0</v>
      </c>
      <c r="D928" s="13">
        <v>0</v>
      </c>
      <c r="E928" s="12">
        <v>0</v>
      </c>
      <c r="F928" s="14">
        <v>0</v>
      </c>
      <c r="G928" s="13">
        <v>2677.362</v>
      </c>
      <c r="H928" s="14">
        <v>9633565.609</v>
      </c>
      <c r="I928" s="14" t="e">
        <f>=Round(217.11040000,0)</f>
        <v>#VALUE!</v>
      </c>
      <c r="J928" s="14" t="e">
        <f>=Round(0.00000000,0)</f>
        <v>#VALUE!</v>
      </c>
    </row>
    <row r="929">
      <c r="A929" s="11" t="s">
        <v>49</v>
      </c>
      <c r="B929" s="12">
        <v>3598.1558</v>
      </c>
      <c r="C929" s="12">
        <v>0</v>
      </c>
      <c r="D929" s="13">
        <v>0</v>
      </c>
      <c r="E929" s="12">
        <v>0</v>
      </c>
      <c r="F929" s="14">
        <v>0</v>
      </c>
      <c r="G929" s="13">
        <v>2677.362</v>
      </c>
      <c r="H929" s="14">
        <v>9633565.609</v>
      </c>
      <c r="I929" s="14" t="e">
        <f>=Round(217.15000000,0)</f>
        <v>#VALUE!</v>
      </c>
      <c r="J929" s="14" t="e">
        <f>=Round(0.00000000,0)</f>
        <v>#VALUE!</v>
      </c>
    </row>
    <row r="930">
      <c r="A930" s="11" t="s">
        <v>50</v>
      </c>
      <c r="B930" s="12">
        <v>3598.1558</v>
      </c>
      <c r="C930" s="12">
        <v>0</v>
      </c>
      <c r="D930" s="13">
        <v>0</v>
      </c>
      <c r="E930" s="12">
        <v>0</v>
      </c>
      <c r="F930" s="14">
        <v>0</v>
      </c>
      <c r="G930" s="13">
        <v>2677.362</v>
      </c>
      <c r="H930" s="14">
        <v>9633565.609</v>
      </c>
      <c r="I930" s="14" t="e">
        <f>=Round(217.15000000,0)</f>
        <v>#VALUE!</v>
      </c>
      <c r="J930" s="14" t="e">
        <f>=Round(0.00000000,0)</f>
        <v>#VALUE!</v>
      </c>
    </row>
    <row r="931">
      <c r="A931" s="11" t="s">
        <v>51</v>
      </c>
      <c r="B931" s="12">
        <v>3600.124</v>
      </c>
      <c r="C931" s="12">
        <v>0</v>
      </c>
      <c r="D931" s="13">
        <v>0</v>
      </c>
      <c r="E931" s="12">
        <v>0</v>
      </c>
      <c r="F931" s="14">
        <v>0</v>
      </c>
      <c r="G931" s="13">
        <v>2677.362</v>
      </c>
      <c r="H931" s="14">
        <v>9638835.192888</v>
      </c>
      <c r="I931" s="14" t="e">
        <f>=Round(217.15000000,0)</f>
        <v>#VALUE!</v>
      </c>
      <c r="J931" s="14" t="e">
        <f>=Round(0.00000000,0)</f>
        <v>#VALUE!</v>
      </c>
    </row>
    <row r="932">
      <c r="A932" s="11" t="s">
        <v>52</v>
      </c>
      <c r="B932" s="12">
        <v>3600.7905</v>
      </c>
      <c r="C932" s="12">
        <v>0</v>
      </c>
      <c r="D932" s="13">
        <v>0</v>
      </c>
      <c r="E932" s="12">
        <v>0</v>
      </c>
      <c r="F932" s="14">
        <v>0</v>
      </c>
      <c r="G932" s="13">
        <v>2677.362</v>
      </c>
      <c r="H932" s="14">
        <v>9640619.654661</v>
      </c>
      <c r="I932" s="14" t="e">
        <f>=Round(217.26880000,0)</f>
        <v>#VALUE!</v>
      </c>
      <c r="J932" s="14" t="e">
        <f>=Round(0.00000000,0)</f>
        <v>#VALUE!</v>
      </c>
    </row>
    <row r="933">
      <c r="A933" s="11" t="s">
        <v>53</v>
      </c>
      <c r="B933" s="12">
        <v>3601.445</v>
      </c>
      <c r="C933" s="12">
        <v>0</v>
      </c>
      <c r="D933" s="13">
        <v>0</v>
      </c>
      <c r="E933" s="12">
        <v>0</v>
      </c>
      <c r="F933" s="14">
        <v>0</v>
      </c>
      <c r="G933" s="13">
        <v>2677.362</v>
      </c>
      <c r="H933" s="14">
        <v>9642371.98809</v>
      </c>
      <c r="I933" s="14" t="e">
        <f>=Round(217.30900000,0)</f>
        <v>#VALUE!</v>
      </c>
      <c r="J933" s="14" t="e">
        <f>=Round(0.00000000,0)</f>
        <v>#VALUE!</v>
      </c>
    </row>
    <row r="934">
      <c r="A934" s="11" t="s">
        <v>54</v>
      </c>
      <c r="B934" s="12">
        <v>3602.0851</v>
      </c>
      <c r="C934" s="12">
        <v>0</v>
      </c>
      <c r="D934" s="13">
        <v>0</v>
      </c>
      <c r="E934" s="12">
        <v>0</v>
      </c>
      <c r="F934" s="14">
        <v>0</v>
      </c>
      <c r="G934" s="13">
        <v>2677.362</v>
      </c>
      <c r="H934" s="14">
        <v>9644085.767506</v>
      </c>
      <c r="I934" s="14" t="e">
        <f>=Round(217.34850000,0)</f>
        <v>#VALUE!</v>
      </c>
      <c r="J934" s="14" t="e">
        <f>=Round(0.00000000,0)</f>
        <v>#VALUE!</v>
      </c>
    </row>
    <row r="935">
      <c r="A935" s="11" t="s">
        <v>55</v>
      </c>
      <c r="B935" s="12">
        <v>3602.7417</v>
      </c>
      <c r="C935" s="12">
        <v>0</v>
      </c>
      <c r="D935" s="13">
        <v>0</v>
      </c>
      <c r="E935" s="12">
        <v>0</v>
      </c>
      <c r="F935" s="14">
        <v>0</v>
      </c>
      <c r="G935" s="13">
        <v>2677.362</v>
      </c>
      <c r="H935" s="14">
        <v>9645843.723395</v>
      </c>
      <c r="I935" s="14" t="e">
        <f>=Round(217.38720000,0)</f>
        <v>#VALUE!</v>
      </c>
      <c r="J935" s="14" t="e">
        <f>=Round(0.00000000,0)</f>
        <v>#VALUE!</v>
      </c>
    </row>
    <row r="936" ht="-1">
      <c r="A936" s="15"/>
      <c r="B936" s="16" t="s">
        <v>56</v>
      </c>
      <c r="C936" s="15"/>
      <c r="D936" s="15"/>
      <c r="E936" s="15"/>
      <c r="F936" s="15"/>
      <c r="G936" s="15"/>
      <c r="H936" s="15"/>
      <c r="I936" s="17" t="e">
        <f>=Round(SUM(I910:I935),0)</f>
        <v>#VALUE!</v>
      </c>
      <c r="J936" s="17" t="e">
        <f>=Round(SUM(J910:J935),0)</f>
        <v>#VALUE!</v>
      </c>
    </row>
    <row r="937">
      <c r="A937" s="1" t="s">
        <v>0</v>
      </c>
      <c r="B937" s="1"/>
      <c r="C937" s="1"/>
      <c r="D937" s="1"/>
    </row>
    <row r="938">
      <c r="A938" s="0" t="s">
        <v>1</v>
      </c>
      <c r="C938" s="0" t="s">
        <v>2</v>
      </c>
      <c r="H938" s="2" t="s">
        <v>3</v>
      </c>
    </row>
    <row r="939">
      <c r="A939" s="0" t="s">
        <v>4</v>
      </c>
      <c r="C939" s="0" t="s">
        <v>80</v>
      </c>
      <c r="H939" s="3" t="s">
        <v>6</v>
      </c>
    </row>
    <row r="940">
      <c r="A940" s="0" t="s">
        <v>7</v>
      </c>
      <c r="C940" s="4" t="s">
        <v>8</v>
      </c>
      <c r="H940" s="2" t="s">
        <v>9</v>
      </c>
    </row>
    <row r="941">
      <c r="A941" s="0" t="s">
        <v>10</v>
      </c>
      <c r="C941" s="4" t="s">
        <v>11</v>
      </c>
      <c r="H941" s="2" t="s">
        <v>12</v>
      </c>
    </row>
    <row r="942">
      <c r="A942" s="0" t="s">
        <v>13</v>
      </c>
      <c r="C942" s="0" t="s">
        <v>14</v>
      </c>
    </row>
    <row r="943">
      <c r="A943" s="0" t="s">
        <v>15</v>
      </c>
      <c r="C943" s="0" t="s">
        <v>16</v>
      </c>
    </row>
    <row r="944">
      <c r="A944" s="0" t="s">
        <v>17</v>
      </c>
      <c r="C944" s="0" t="s">
        <v>18</v>
      </c>
    </row>
    <row r="947">
      <c r="A947" s="5" t="s">
        <v>19</v>
      </c>
      <c r="B947" s="5" t="s">
        <v>20</v>
      </c>
      <c r="C947" s="7" t="s">
        <v>21</v>
      </c>
      <c r="D947" s="9"/>
      <c r="E947" s="7" t="s">
        <v>22</v>
      </c>
      <c r="F947" s="9"/>
      <c r="G947" s="5" t="s">
        <v>23</v>
      </c>
      <c r="H947" s="5" t="s">
        <v>24</v>
      </c>
      <c r="I947" s="5" t="s">
        <v>25</v>
      </c>
      <c r="J947" s="5" t="s">
        <v>26</v>
      </c>
    </row>
    <row r="948">
      <c r="A948" s="6"/>
      <c r="B948" s="6"/>
      <c r="C948" s="8" t="s">
        <v>27</v>
      </c>
      <c r="D948" s="8" t="s">
        <v>28</v>
      </c>
      <c r="E948" s="8" t="s">
        <v>27</v>
      </c>
      <c r="F948" s="8" t="s">
        <v>28</v>
      </c>
      <c r="G948" s="6"/>
      <c r="H948" s="6"/>
      <c r="I948" s="10" t="s">
        <v>29</v>
      </c>
      <c r="J948" s="6"/>
    </row>
    <row r="949">
      <c r="A949" s="11" t="s">
        <v>30</v>
      </c>
      <c r="B949" s="12">
        <v>3586.4187</v>
      </c>
      <c r="C949" s="12">
        <v>0</v>
      </c>
      <c r="D949" s="13">
        <v>0</v>
      </c>
      <c r="E949" s="12">
        <v>0</v>
      </c>
      <c r="F949" s="14">
        <v>0</v>
      </c>
      <c r="G949" s="13">
        <v>71.8297</v>
      </c>
      <c r="H949" s="14">
        <v>257611.379295</v>
      </c>
      <c r="I949" s="14" t="e">
        <f>=Round(5.80360000,0)</f>
        <v>#VALUE!</v>
      </c>
      <c r="J949" s="14" t="e">
        <f>=Round(0.00000000,0)</f>
        <v>#VALUE!</v>
      </c>
    </row>
    <row r="950">
      <c r="A950" s="11" t="s">
        <v>31</v>
      </c>
      <c r="B950" s="12">
        <v>3587.0477</v>
      </c>
      <c r="C950" s="12">
        <v>0</v>
      </c>
      <c r="D950" s="13">
        <v>0</v>
      </c>
      <c r="E950" s="12">
        <v>0</v>
      </c>
      <c r="F950" s="14">
        <v>0</v>
      </c>
      <c r="G950" s="13">
        <v>71.8297</v>
      </c>
      <c r="H950" s="14">
        <v>257656.560177</v>
      </c>
      <c r="I950" s="14" t="e">
        <f>=Round(5.80680000,0)</f>
        <v>#VALUE!</v>
      </c>
      <c r="J950" s="14" t="e">
        <f>=Round(0.00000000,0)</f>
        <v>#VALUE!</v>
      </c>
    </row>
    <row r="951">
      <c r="A951" s="11" t="s">
        <v>32</v>
      </c>
      <c r="B951" s="12">
        <v>3587.6685</v>
      </c>
      <c r="C951" s="12">
        <v>0</v>
      </c>
      <c r="D951" s="13">
        <v>0</v>
      </c>
      <c r="E951" s="12">
        <v>0</v>
      </c>
      <c r="F951" s="14">
        <v>0</v>
      </c>
      <c r="G951" s="13">
        <v>71.8297</v>
      </c>
      <c r="H951" s="14">
        <v>257701.152054</v>
      </c>
      <c r="I951" s="14" t="e">
        <f>=Round(5.80780000,0)</f>
        <v>#VALUE!</v>
      </c>
      <c r="J951" s="14" t="e">
        <f>=Round(0.00000000,0)</f>
        <v>#VALUE!</v>
      </c>
    </row>
    <row r="952">
      <c r="A952" s="11" t="s">
        <v>33</v>
      </c>
      <c r="B952" s="12">
        <v>3588.3573</v>
      </c>
      <c r="C952" s="12">
        <v>0</v>
      </c>
      <c r="D952" s="13">
        <v>0</v>
      </c>
      <c r="E952" s="12">
        <v>0</v>
      </c>
      <c r="F952" s="14">
        <v>0</v>
      </c>
      <c r="G952" s="13">
        <v>71.8297</v>
      </c>
      <c r="H952" s="14">
        <v>257750.628352</v>
      </c>
      <c r="I952" s="14" t="e">
        <f>=Round(5.80880000,0)</f>
        <v>#VALUE!</v>
      </c>
      <c r="J952" s="14" t="e">
        <f>=Round(0.00000000,0)</f>
        <v>#VALUE!</v>
      </c>
    </row>
    <row r="953">
      <c r="A953" s="11" t="s">
        <v>34</v>
      </c>
      <c r="B953" s="12">
        <v>3589.0109</v>
      </c>
      <c r="C953" s="12">
        <v>0</v>
      </c>
      <c r="D953" s="13">
        <v>0</v>
      </c>
      <c r="E953" s="12">
        <v>0</v>
      </c>
      <c r="F953" s="14">
        <v>0</v>
      </c>
      <c r="G953" s="13">
        <v>71.8297</v>
      </c>
      <c r="H953" s="14">
        <v>257797.576244</v>
      </c>
      <c r="I953" s="14" t="e">
        <f>=Round(5.81000000,0)</f>
        <v>#VALUE!</v>
      </c>
      <c r="J953" s="14" t="e">
        <f>=Round(0.00000000,0)</f>
        <v>#VALUE!</v>
      </c>
    </row>
    <row r="954">
      <c r="A954" s="11" t="s">
        <v>35</v>
      </c>
      <c r="B954" s="12">
        <v>3589.0109</v>
      </c>
      <c r="C954" s="12">
        <v>0</v>
      </c>
      <c r="D954" s="13">
        <v>0</v>
      </c>
      <c r="E954" s="12">
        <v>0</v>
      </c>
      <c r="F954" s="14">
        <v>0</v>
      </c>
      <c r="G954" s="13">
        <v>71.8297</v>
      </c>
      <c r="H954" s="14">
        <v>257797.576244</v>
      </c>
      <c r="I954" s="14" t="e">
        <f>=Round(5.81100000,0)</f>
        <v>#VALUE!</v>
      </c>
      <c r="J954" s="14" t="e">
        <f>=Round(0.00000000,0)</f>
        <v>#VALUE!</v>
      </c>
    </row>
    <row r="955">
      <c r="A955" s="11" t="s">
        <v>36</v>
      </c>
      <c r="B955" s="12">
        <v>3589.0109</v>
      </c>
      <c r="C955" s="12">
        <v>0</v>
      </c>
      <c r="D955" s="13">
        <v>0</v>
      </c>
      <c r="E955" s="12">
        <v>0</v>
      </c>
      <c r="F955" s="14">
        <v>0</v>
      </c>
      <c r="G955" s="13">
        <v>71.8297</v>
      </c>
      <c r="H955" s="14">
        <v>257797.576244</v>
      </c>
      <c r="I955" s="14" t="e">
        <f>=Round(5.81100000,0)</f>
        <v>#VALUE!</v>
      </c>
      <c r="J955" s="14" t="e">
        <f>=Round(0.00000000,0)</f>
        <v>#VALUE!</v>
      </c>
    </row>
    <row r="956">
      <c r="A956" s="11" t="s">
        <v>37</v>
      </c>
      <c r="B956" s="12">
        <v>3590.972</v>
      </c>
      <c r="C956" s="12">
        <v>0</v>
      </c>
      <c r="D956" s="13">
        <v>0</v>
      </c>
      <c r="E956" s="12">
        <v>0</v>
      </c>
      <c r="F956" s="14">
        <v>0</v>
      </c>
      <c r="G956" s="13">
        <v>71.8297</v>
      </c>
      <c r="H956" s="14">
        <v>257938.441468</v>
      </c>
      <c r="I956" s="14" t="e">
        <f>=Round(5.81100000,0)</f>
        <v>#VALUE!</v>
      </c>
      <c r="J956" s="14" t="e">
        <f>=Round(0.00000000,0)</f>
        <v>#VALUE!</v>
      </c>
    </row>
    <row r="957">
      <c r="A957" s="11" t="s">
        <v>38</v>
      </c>
      <c r="B957" s="12">
        <v>3591.6235</v>
      </c>
      <c r="C957" s="12">
        <v>0</v>
      </c>
      <c r="D957" s="13">
        <v>0</v>
      </c>
      <c r="E957" s="12">
        <v>0</v>
      </c>
      <c r="F957" s="14">
        <v>0</v>
      </c>
      <c r="G957" s="13">
        <v>71.8297</v>
      </c>
      <c r="H957" s="14">
        <v>257985.238518</v>
      </c>
      <c r="I957" s="14" t="e">
        <f>=Round(5.81420000,0)</f>
        <v>#VALUE!</v>
      </c>
      <c r="J957" s="14" t="e">
        <f>=Round(0.00000000,0)</f>
        <v>#VALUE!</v>
      </c>
    </row>
    <row r="958">
      <c r="A958" s="11" t="s">
        <v>39</v>
      </c>
      <c r="B958" s="12">
        <v>3592.281</v>
      </c>
      <c r="C958" s="12">
        <v>0</v>
      </c>
      <c r="D958" s="13">
        <v>0</v>
      </c>
      <c r="E958" s="12">
        <v>0</v>
      </c>
      <c r="F958" s="14">
        <v>0</v>
      </c>
      <c r="G958" s="13">
        <v>71.8297</v>
      </c>
      <c r="H958" s="14">
        <v>258032.466546</v>
      </c>
      <c r="I958" s="14" t="e">
        <f>=Round(5.81520000,0)</f>
        <v>#VALUE!</v>
      </c>
      <c r="J958" s="14" t="e">
        <f>=Round(0.00000000,0)</f>
        <v>#VALUE!</v>
      </c>
    </row>
    <row r="959">
      <c r="A959" s="11" t="s">
        <v>40</v>
      </c>
      <c r="B959" s="12">
        <v>3592.9125</v>
      </c>
      <c r="C959" s="12">
        <v>0</v>
      </c>
      <c r="D959" s="13">
        <v>0</v>
      </c>
      <c r="E959" s="12">
        <v>0</v>
      </c>
      <c r="F959" s="14">
        <v>0</v>
      </c>
      <c r="G959" s="13">
        <v>71.8297</v>
      </c>
      <c r="H959" s="14">
        <v>258077.827001</v>
      </c>
      <c r="I959" s="14" t="e">
        <f>=Round(5.81630000,0)</f>
        <v>#VALUE!</v>
      </c>
      <c r="J959" s="14" t="e">
        <f>=Round(0.00000000,0)</f>
        <v>#VALUE!</v>
      </c>
    </row>
    <row r="960">
      <c r="A960" s="11" t="s">
        <v>41</v>
      </c>
      <c r="B960" s="12">
        <v>3593.5674</v>
      </c>
      <c r="C960" s="12">
        <v>0</v>
      </c>
      <c r="D960" s="13">
        <v>0</v>
      </c>
      <c r="E960" s="12">
        <v>0</v>
      </c>
      <c r="F960" s="14">
        <v>0</v>
      </c>
      <c r="G960" s="13">
        <v>71.8297</v>
      </c>
      <c r="H960" s="14">
        <v>258124.868272</v>
      </c>
      <c r="I960" s="14" t="e">
        <f>=Round(5.81730000,0)</f>
        <v>#VALUE!</v>
      </c>
      <c r="J960" s="14" t="e">
        <f>=Round(0.00000000,0)</f>
        <v>#VALUE!</v>
      </c>
    </row>
    <row r="961">
      <c r="A961" s="11" t="s">
        <v>42</v>
      </c>
      <c r="B961" s="12">
        <v>3593.5674</v>
      </c>
      <c r="C961" s="12">
        <v>0</v>
      </c>
      <c r="D961" s="13">
        <v>0</v>
      </c>
      <c r="E961" s="12">
        <v>0</v>
      </c>
      <c r="F961" s="14">
        <v>0</v>
      </c>
      <c r="G961" s="13">
        <v>71.8297</v>
      </c>
      <c r="H961" s="14">
        <v>258124.868272</v>
      </c>
      <c r="I961" s="14" t="e">
        <f>=Round(5.81840000,0)</f>
        <v>#VALUE!</v>
      </c>
      <c r="J961" s="14" t="e">
        <f>=Round(0.00000000,0)</f>
        <v>#VALUE!</v>
      </c>
    </row>
    <row r="962">
      <c r="A962" s="11" t="s">
        <v>43</v>
      </c>
      <c r="B962" s="12">
        <v>3593.5674</v>
      </c>
      <c r="C962" s="12">
        <v>0</v>
      </c>
      <c r="D962" s="13">
        <v>0</v>
      </c>
      <c r="E962" s="12">
        <v>0</v>
      </c>
      <c r="F962" s="14">
        <v>0</v>
      </c>
      <c r="G962" s="13">
        <v>71.8297</v>
      </c>
      <c r="H962" s="14">
        <v>258124.868272</v>
      </c>
      <c r="I962" s="14" t="e">
        <f>=Round(5.81840000,0)</f>
        <v>#VALUE!</v>
      </c>
      <c r="J962" s="14" t="e">
        <f>=Round(0.00000000,0)</f>
        <v>#VALUE!</v>
      </c>
    </row>
    <row r="963">
      <c r="A963" s="11" t="s">
        <v>44</v>
      </c>
      <c r="B963" s="12">
        <v>3595.5366</v>
      </c>
      <c r="C963" s="12">
        <v>0</v>
      </c>
      <c r="D963" s="13">
        <v>0</v>
      </c>
      <c r="E963" s="12">
        <v>0</v>
      </c>
      <c r="F963" s="14">
        <v>0</v>
      </c>
      <c r="G963" s="13">
        <v>71.8297</v>
      </c>
      <c r="H963" s="14">
        <v>258266.315317</v>
      </c>
      <c r="I963" s="14" t="e">
        <f>=Round(5.81840000,0)</f>
        <v>#VALUE!</v>
      </c>
      <c r="J963" s="14" t="e">
        <f>=Round(0.00000000,0)</f>
        <v>#VALUE!</v>
      </c>
    </row>
    <row r="964">
      <c r="A964" s="11" t="s">
        <v>45</v>
      </c>
      <c r="B964" s="12">
        <v>3596.1915</v>
      </c>
      <c r="C964" s="12">
        <v>0</v>
      </c>
      <c r="D964" s="13">
        <v>0</v>
      </c>
      <c r="E964" s="12">
        <v>0</v>
      </c>
      <c r="F964" s="14">
        <v>0</v>
      </c>
      <c r="G964" s="13">
        <v>71.8297</v>
      </c>
      <c r="H964" s="14">
        <v>258313.356588</v>
      </c>
      <c r="I964" s="14" t="e">
        <f>=Round(5.82160000,0)</f>
        <v>#VALUE!</v>
      </c>
      <c r="J964" s="14" t="e">
        <f>=Round(0.00000000,0)</f>
        <v>#VALUE!</v>
      </c>
    </row>
    <row r="965">
      <c r="A965" s="11" t="s">
        <v>46</v>
      </c>
      <c r="B965" s="12">
        <v>3596.8461</v>
      </c>
      <c r="C965" s="12">
        <v>0</v>
      </c>
      <c r="D965" s="13">
        <v>0</v>
      </c>
      <c r="E965" s="12">
        <v>0</v>
      </c>
      <c r="F965" s="14">
        <v>0</v>
      </c>
      <c r="G965" s="13">
        <v>71.8297</v>
      </c>
      <c r="H965" s="14">
        <v>258360.376309</v>
      </c>
      <c r="I965" s="14" t="e">
        <f>=Round(5.82260000,0)</f>
        <v>#VALUE!</v>
      </c>
      <c r="J965" s="14" t="e">
        <f>=Round(0.00000000,0)</f>
        <v>#VALUE!</v>
      </c>
    </row>
    <row r="966">
      <c r="A966" s="11" t="s">
        <v>47</v>
      </c>
      <c r="B966" s="12">
        <v>3597.4992</v>
      </c>
      <c r="C966" s="12">
        <v>0</v>
      </c>
      <c r="D966" s="13">
        <v>0</v>
      </c>
      <c r="E966" s="12">
        <v>0</v>
      </c>
      <c r="F966" s="14">
        <v>0</v>
      </c>
      <c r="G966" s="13">
        <v>71.8297</v>
      </c>
      <c r="H966" s="14">
        <v>258407.288286</v>
      </c>
      <c r="I966" s="14" t="e">
        <f>=Round(5.82370000,0)</f>
        <v>#VALUE!</v>
      </c>
      <c r="J966" s="14" t="e">
        <f>=Round(0.00000000,0)</f>
        <v>#VALUE!</v>
      </c>
    </row>
    <row r="967">
      <c r="A967" s="11" t="s">
        <v>48</v>
      </c>
      <c r="B967" s="12">
        <v>3598.1558</v>
      </c>
      <c r="C967" s="12">
        <v>0</v>
      </c>
      <c r="D967" s="13">
        <v>0</v>
      </c>
      <c r="E967" s="12">
        <v>0</v>
      </c>
      <c r="F967" s="14">
        <v>0</v>
      </c>
      <c r="G967" s="13">
        <v>71.8297</v>
      </c>
      <c r="H967" s="14">
        <v>258454.451667</v>
      </c>
      <c r="I967" s="14" t="e">
        <f>=Round(5.82480000,0)</f>
        <v>#VALUE!</v>
      </c>
      <c r="J967" s="14" t="e">
        <f>=Round(0.00000000,0)</f>
        <v>#VALUE!</v>
      </c>
    </row>
    <row r="968">
      <c r="A968" s="11" t="s">
        <v>49</v>
      </c>
      <c r="B968" s="12">
        <v>3598.1558</v>
      </c>
      <c r="C968" s="12">
        <v>0</v>
      </c>
      <c r="D968" s="13">
        <v>0</v>
      </c>
      <c r="E968" s="12">
        <v>0</v>
      </c>
      <c r="F968" s="14">
        <v>0</v>
      </c>
      <c r="G968" s="13">
        <v>71.8297</v>
      </c>
      <c r="H968" s="14">
        <v>258454.451667</v>
      </c>
      <c r="I968" s="14" t="e">
        <f>=Round(5.82580000,0)</f>
        <v>#VALUE!</v>
      </c>
      <c r="J968" s="14" t="e">
        <f>=Round(0.00000000,0)</f>
        <v>#VALUE!</v>
      </c>
    </row>
    <row r="969">
      <c r="A969" s="11" t="s">
        <v>50</v>
      </c>
      <c r="B969" s="12">
        <v>3598.1558</v>
      </c>
      <c r="C969" s="12">
        <v>0</v>
      </c>
      <c r="D969" s="13">
        <v>0</v>
      </c>
      <c r="E969" s="12">
        <v>0</v>
      </c>
      <c r="F969" s="14">
        <v>0</v>
      </c>
      <c r="G969" s="13">
        <v>71.8297</v>
      </c>
      <c r="H969" s="14">
        <v>258454.451667</v>
      </c>
      <c r="I969" s="14" t="e">
        <f>=Round(5.82580000,0)</f>
        <v>#VALUE!</v>
      </c>
      <c r="J969" s="14" t="e">
        <f>=Round(0.00000000,0)</f>
        <v>#VALUE!</v>
      </c>
    </row>
    <row r="970">
      <c r="A970" s="11" t="s">
        <v>51</v>
      </c>
      <c r="B970" s="12">
        <v>3600.124</v>
      </c>
      <c r="C970" s="12">
        <v>0</v>
      </c>
      <c r="D970" s="13">
        <v>0</v>
      </c>
      <c r="E970" s="12">
        <v>0</v>
      </c>
      <c r="F970" s="14">
        <v>0</v>
      </c>
      <c r="G970" s="13">
        <v>71.8297</v>
      </c>
      <c r="H970" s="14">
        <v>258595.826883</v>
      </c>
      <c r="I970" s="14" t="e">
        <f>=Round(5.82580000,0)</f>
        <v>#VALUE!</v>
      </c>
      <c r="J970" s="14" t="e">
        <f>=Round(0.00000000,0)</f>
        <v>#VALUE!</v>
      </c>
    </row>
    <row r="971">
      <c r="A971" s="11" t="s">
        <v>52</v>
      </c>
      <c r="B971" s="12">
        <v>3600.7905</v>
      </c>
      <c r="C971" s="12">
        <v>0</v>
      </c>
      <c r="D971" s="13">
        <v>0</v>
      </c>
      <c r="E971" s="12">
        <v>0</v>
      </c>
      <c r="F971" s="14">
        <v>0</v>
      </c>
      <c r="G971" s="13">
        <v>71.8297</v>
      </c>
      <c r="H971" s="14">
        <v>258643.701378</v>
      </c>
      <c r="I971" s="14" t="e">
        <f>=Round(5.82900000,0)</f>
        <v>#VALUE!</v>
      </c>
      <c r="J971" s="14" t="e">
        <f>=Round(0.00000000,0)</f>
        <v>#VALUE!</v>
      </c>
    </row>
    <row r="972">
      <c r="A972" s="11" t="s">
        <v>53</v>
      </c>
      <c r="B972" s="12">
        <v>3601.445</v>
      </c>
      <c r="C972" s="12">
        <v>0</v>
      </c>
      <c r="D972" s="13">
        <v>0</v>
      </c>
      <c r="E972" s="12">
        <v>0</v>
      </c>
      <c r="F972" s="14">
        <v>0</v>
      </c>
      <c r="G972" s="13">
        <v>71.8297</v>
      </c>
      <c r="H972" s="14">
        <v>258690.713917</v>
      </c>
      <c r="I972" s="14" t="e">
        <f>=Round(5.83010000,0)</f>
        <v>#VALUE!</v>
      </c>
      <c r="J972" s="14" t="e">
        <f>=Round(0.00000000,0)</f>
        <v>#VALUE!</v>
      </c>
    </row>
    <row r="973">
      <c r="A973" s="11" t="s">
        <v>54</v>
      </c>
      <c r="B973" s="12">
        <v>3602.0851</v>
      </c>
      <c r="C973" s="12">
        <v>0</v>
      </c>
      <c r="D973" s="13">
        <v>0</v>
      </c>
      <c r="E973" s="12">
        <v>0</v>
      </c>
      <c r="F973" s="14">
        <v>0</v>
      </c>
      <c r="G973" s="13">
        <v>71.8297</v>
      </c>
      <c r="H973" s="14">
        <v>258736.692107</v>
      </c>
      <c r="I973" s="14" t="e">
        <f>=Round(5.83110000,0)</f>
        <v>#VALUE!</v>
      </c>
      <c r="J973" s="14" t="e">
        <f>=Round(0.00000000,0)</f>
        <v>#VALUE!</v>
      </c>
    </row>
    <row r="974">
      <c r="A974" s="11" t="s">
        <v>55</v>
      </c>
      <c r="B974" s="12">
        <v>3602.7417</v>
      </c>
      <c r="C974" s="12">
        <v>0</v>
      </c>
      <c r="D974" s="13">
        <v>0</v>
      </c>
      <c r="E974" s="12">
        <v>0</v>
      </c>
      <c r="F974" s="14">
        <v>0</v>
      </c>
      <c r="G974" s="13">
        <v>71.8297</v>
      </c>
      <c r="H974" s="14">
        <v>258783.855488</v>
      </c>
      <c r="I974" s="14" t="e">
        <f>=Round(5.83220000,0)</f>
        <v>#VALUE!</v>
      </c>
      <c r="J974" s="14" t="e">
        <f>=Round(0.00000000,0)</f>
        <v>#VALUE!</v>
      </c>
    </row>
    <row r="975" ht="-1">
      <c r="A975" s="15"/>
      <c r="B975" s="16" t="s">
        <v>56</v>
      </c>
      <c r="C975" s="15"/>
      <c r="D975" s="15"/>
      <c r="E975" s="15"/>
      <c r="F975" s="15"/>
      <c r="G975" s="15"/>
      <c r="H975" s="15"/>
      <c r="I975" s="17" t="e">
        <f>=Round(SUM(I949:I974),0)</f>
        <v>#VALUE!</v>
      </c>
      <c r="J975" s="17" t="e">
        <f>=Round(SUM(J949:J974),0)</f>
        <v>#VALUE!</v>
      </c>
    </row>
    <row r="976">
      <c r="A976" s="1" t="s">
        <v>0</v>
      </c>
      <c r="B976" s="1"/>
      <c r="C976" s="1"/>
      <c r="D976" s="1"/>
    </row>
    <row r="977">
      <c r="A977" s="0" t="s">
        <v>1</v>
      </c>
      <c r="C977" s="0" t="s">
        <v>2</v>
      </c>
      <c r="H977" s="2" t="s">
        <v>3</v>
      </c>
    </row>
    <row r="978">
      <c r="A978" s="0" t="s">
        <v>4</v>
      </c>
      <c r="C978" s="0" t="s">
        <v>81</v>
      </c>
      <c r="H978" s="3" t="s">
        <v>6</v>
      </c>
    </row>
    <row r="979">
      <c r="A979" s="0" t="s">
        <v>7</v>
      </c>
      <c r="C979" s="4" t="s">
        <v>8</v>
      </c>
      <c r="H979" s="2" t="s">
        <v>9</v>
      </c>
    </row>
    <row r="980">
      <c r="A980" s="0" t="s">
        <v>10</v>
      </c>
      <c r="C980" s="4" t="s">
        <v>11</v>
      </c>
      <c r="H980" s="2" t="s">
        <v>12</v>
      </c>
    </row>
    <row r="981">
      <c r="A981" s="0" t="s">
        <v>13</v>
      </c>
      <c r="C981" s="0" t="s">
        <v>14</v>
      </c>
    </row>
    <row r="982">
      <c r="A982" s="0" t="s">
        <v>15</v>
      </c>
      <c r="C982" s="0" t="s">
        <v>16</v>
      </c>
    </row>
    <row r="983">
      <c r="A983" s="0" t="s">
        <v>17</v>
      </c>
      <c r="C983" s="0" t="s">
        <v>18</v>
      </c>
    </row>
    <row r="986">
      <c r="A986" s="5" t="s">
        <v>19</v>
      </c>
      <c r="B986" s="5" t="s">
        <v>20</v>
      </c>
      <c r="C986" s="7" t="s">
        <v>21</v>
      </c>
      <c r="D986" s="9"/>
      <c r="E986" s="7" t="s">
        <v>22</v>
      </c>
      <c r="F986" s="9"/>
      <c r="G986" s="5" t="s">
        <v>23</v>
      </c>
      <c r="H986" s="5" t="s">
        <v>24</v>
      </c>
      <c r="I986" s="5" t="s">
        <v>25</v>
      </c>
      <c r="J986" s="5" t="s">
        <v>26</v>
      </c>
    </row>
    <row r="987">
      <c r="A987" s="6"/>
      <c r="B987" s="6"/>
      <c r="C987" s="8" t="s">
        <v>27</v>
      </c>
      <c r="D987" s="8" t="s">
        <v>28</v>
      </c>
      <c r="E987" s="8" t="s">
        <v>27</v>
      </c>
      <c r="F987" s="8" t="s">
        <v>28</v>
      </c>
      <c r="G987" s="6"/>
      <c r="H987" s="6"/>
      <c r="I987" s="10" t="s">
        <v>29</v>
      </c>
      <c r="J987" s="6"/>
    </row>
    <row r="988">
      <c r="A988" s="11" t="s">
        <v>30</v>
      </c>
      <c r="B988" s="12">
        <v>3586.4187</v>
      </c>
      <c r="C988" s="12">
        <v>0</v>
      </c>
      <c r="D988" s="13">
        <v>0</v>
      </c>
      <c r="E988" s="12">
        <v>0</v>
      </c>
      <c r="F988" s="14">
        <v>0</v>
      </c>
      <c r="G988" s="13">
        <v>440.8653</v>
      </c>
      <c r="H988" s="14">
        <v>1581127.556101</v>
      </c>
      <c r="I988" s="14" t="e">
        <f>=Round(35.62060000,0)</f>
        <v>#VALUE!</v>
      </c>
      <c r="J988" s="14" t="e">
        <f>=Round(0.00000000,0)</f>
        <v>#VALUE!</v>
      </c>
    </row>
    <row r="989">
      <c r="A989" s="11" t="s">
        <v>31</v>
      </c>
      <c r="B989" s="12">
        <v>3587.0477</v>
      </c>
      <c r="C989" s="12">
        <v>0</v>
      </c>
      <c r="D989" s="13">
        <v>0</v>
      </c>
      <c r="E989" s="12">
        <v>0</v>
      </c>
      <c r="F989" s="14">
        <v>0</v>
      </c>
      <c r="G989" s="13">
        <v>440.8653</v>
      </c>
      <c r="H989" s="14">
        <v>1581404.860375</v>
      </c>
      <c r="I989" s="14" t="e">
        <f>=Round(35.64020000,0)</f>
        <v>#VALUE!</v>
      </c>
      <c r="J989" s="14" t="e">
        <f>=Round(0.00000000,0)</f>
        <v>#VALUE!</v>
      </c>
    </row>
    <row r="990">
      <c r="A990" s="11" t="s">
        <v>32</v>
      </c>
      <c r="B990" s="12">
        <v>3587.6685</v>
      </c>
      <c r="C990" s="12">
        <v>0</v>
      </c>
      <c r="D990" s="13">
        <v>0</v>
      </c>
      <c r="E990" s="12">
        <v>0</v>
      </c>
      <c r="F990" s="14">
        <v>0</v>
      </c>
      <c r="G990" s="13">
        <v>440.8653</v>
      </c>
      <c r="H990" s="14">
        <v>1581678.549553</v>
      </c>
      <c r="I990" s="14" t="e">
        <f>=Round(35.64640000,0)</f>
        <v>#VALUE!</v>
      </c>
      <c r="J990" s="14" t="e">
        <f>=Round(0.00000000,0)</f>
        <v>#VALUE!</v>
      </c>
    </row>
    <row r="991">
      <c r="A991" s="11" t="s">
        <v>33</v>
      </c>
      <c r="B991" s="12">
        <v>3588.3573</v>
      </c>
      <c r="C991" s="12">
        <v>0</v>
      </c>
      <c r="D991" s="13">
        <v>0</v>
      </c>
      <c r="E991" s="12">
        <v>0</v>
      </c>
      <c r="F991" s="14">
        <v>0</v>
      </c>
      <c r="G991" s="13">
        <v>440.8653</v>
      </c>
      <c r="H991" s="14">
        <v>1581982.217572</v>
      </c>
      <c r="I991" s="14" t="e">
        <f>=Round(35.65260000,0)</f>
        <v>#VALUE!</v>
      </c>
      <c r="J991" s="14" t="e">
        <f>=Round(0.00000000,0)</f>
        <v>#VALUE!</v>
      </c>
    </row>
    <row r="992">
      <c r="A992" s="11" t="s">
        <v>34</v>
      </c>
      <c r="B992" s="12">
        <v>3589.0109</v>
      </c>
      <c r="C992" s="12">
        <v>0</v>
      </c>
      <c r="D992" s="13">
        <v>0</v>
      </c>
      <c r="E992" s="12">
        <v>0</v>
      </c>
      <c r="F992" s="14">
        <v>0</v>
      </c>
      <c r="G992" s="13">
        <v>440.8653</v>
      </c>
      <c r="H992" s="14">
        <v>1582270.367132</v>
      </c>
      <c r="I992" s="14" t="e">
        <f>=Round(35.65940000,0)</f>
        <v>#VALUE!</v>
      </c>
      <c r="J992" s="14" t="e">
        <f>=Round(0.00000000,0)</f>
        <v>#VALUE!</v>
      </c>
    </row>
    <row r="993">
      <c r="A993" s="11" t="s">
        <v>35</v>
      </c>
      <c r="B993" s="12">
        <v>3589.0109</v>
      </c>
      <c r="C993" s="12">
        <v>0</v>
      </c>
      <c r="D993" s="13">
        <v>0</v>
      </c>
      <c r="E993" s="12">
        <v>0</v>
      </c>
      <c r="F993" s="14">
        <v>0</v>
      </c>
      <c r="G993" s="13">
        <v>440.8653</v>
      </c>
      <c r="H993" s="14">
        <v>1582270.367132</v>
      </c>
      <c r="I993" s="14" t="e">
        <f>=Round(35.66590000,0)</f>
        <v>#VALUE!</v>
      </c>
      <c r="J993" s="14" t="e">
        <f>=Round(0.00000000,0)</f>
        <v>#VALUE!</v>
      </c>
    </row>
    <row r="994">
      <c r="A994" s="11" t="s">
        <v>36</v>
      </c>
      <c r="B994" s="12">
        <v>3589.0109</v>
      </c>
      <c r="C994" s="12">
        <v>0</v>
      </c>
      <c r="D994" s="13">
        <v>0</v>
      </c>
      <c r="E994" s="12">
        <v>0</v>
      </c>
      <c r="F994" s="14">
        <v>0</v>
      </c>
      <c r="G994" s="13">
        <v>440.8653</v>
      </c>
      <c r="H994" s="14">
        <v>1582270.367132</v>
      </c>
      <c r="I994" s="14" t="e">
        <f>=Round(35.66590000,0)</f>
        <v>#VALUE!</v>
      </c>
      <c r="J994" s="14" t="e">
        <f>=Round(0.00000000,0)</f>
        <v>#VALUE!</v>
      </c>
    </row>
    <row r="995">
      <c r="A995" s="11" t="s">
        <v>37</v>
      </c>
      <c r="B995" s="12">
        <v>3590.972</v>
      </c>
      <c r="C995" s="12">
        <v>0</v>
      </c>
      <c r="D995" s="13">
        <v>0</v>
      </c>
      <c r="E995" s="12">
        <v>0</v>
      </c>
      <c r="F995" s="14">
        <v>0</v>
      </c>
      <c r="G995" s="13">
        <v>440.8653</v>
      </c>
      <c r="H995" s="14">
        <v>1583134.948072</v>
      </c>
      <c r="I995" s="14" t="e">
        <f>=Round(35.66590000,0)</f>
        <v>#VALUE!</v>
      </c>
      <c r="J995" s="14" t="e">
        <f>=Round(0.00000000,0)</f>
        <v>#VALUE!</v>
      </c>
    </row>
    <row r="996">
      <c r="A996" s="11" t="s">
        <v>38</v>
      </c>
      <c r="B996" s="12">
        <v>3591.6235</v>
      </c>
      <c r="C996" s="12">
        <v>0</v>
      </c>
      <c r="D996" s="13">
        <v>0</v>
      </c>
      <c r="E996" s="12">
        <v>0</v>
      </c>
      <c r="F996" s="14">
        <v>0</v>
      </c>
      <c r="G996" s="13">
        <v>440.8653</v>
      </c>
      <c r="H996" s="14">
        <v>1583422.171815</v>
      </c>
      <c r="I996" s="14" t="e">
        <f>=Round(35.68540000,0)</f>
        <v>#VALUE!</v>
      </c>
      <c r="J996" s="14" t="e">
        <f>=Round(0.00000000,0)</f>
        <v>#VALUE!</v>
      </c>
    </row>
    <row r="997">
      <c r="A997" s="11" t="s">
        <v>39</v>
      </c>
      <c r="B997" s="12">
        <v>3592.281</v>
      </c>
      <c r="C997" s="12">
        <v>0</v>
      </c>
      <c r="D997" s="13">
        <v>0</v>
      </c>
      <c r="E997" s="12">
        <v>0</v>
      </c>
      <c r="F997" s="14">
        <v>0</v>
      </c>
      <c r="G997" s="13">
        <v>440.8653</v>
      </c>
      <c r="H997" s="14">
        <v>1583712.040749</v>
      </c>
      <c r="I997" s="14" t="e">
        <f>=Round(35.69190000,0)</f>
        <v>#VALUE!</v>
      </c>
      <c r="J997" s="14" t="e">
        <f>=Round(0.00000000,0)</f>
        <v>#VALUE!</v>
      </c>
    </row>
    <row r="998">
      <c r="A998" s="11" t="s">
        <v>40</v>
      </c>
      <c r="B998" s="12">
        <v>3592.9125</v>
      </c>
      <c r="C998" s="12">
        <v>0</v>
      </c>
      <c r="D998" s="13">
        <v>0</v>
      </c>
      <c r="E998" s="12">
        <v>0</v>
      </c>
      <c r="F998" s="14">
        <v>0</v>
      </c>
      <c r="G998" s="13">
        <v>440.8653</v>
      </c>
      <c r="H998" s="14">
        <v>1583990.447186</v>
      </c>
      <c r="I998" s="14" t="e">
        <f>=Round(35.69840000,0)</f>
        <v>#VALUE!</v>
      </c>
      <c r="J998" s="14" t="e">
        <f>=Round(0.00000000,0)</f>
        <v>#VALUE!</v>
      </c>
    </row>
    <row r="999">
      <c r="A999" s="11" t="s">
        <v>41</v>
      </c>
      <c r="B999" s="12">
        <v>3593.5674</v>
      </c>
      <c r="C999" s="12">
        <v>0</v>
      </c>
      <c r="D999" s="13">
        <v>0</v>
      </c>
      <c r="E999" s="12">
        <v>0</v>
      </c>
      <c r="F999" s="14">
        <v>0</v>
      </c>
      <c r="G999" s="13">
        <v>440.8653</v>
      </c>
      <c r="H999" s="14">
        <v>1584279.169871</v>
      </c>
      <c r="I999" s="14" t="e">
        <f>=Round(35.70470000,0)</f>
        <v>#VALUE!</v>
      </c>
      <c r="J999" s="14" t="e">
        <f>=Round(0.00000000,0)</f>
        <v>#VALUE!</v>
      </c>
    </row>
    <row r="1000">
      <c r="A1000" s="11" t="s">
        <v>42</v>
      </c>
      <c r="B1000" s="12">
        <v>3593.5674</v>
      </c>
      <c r="C1000" s="12">
        <v>0</v>
      </c>
      <c r="D1000" s="13">
        <v>0</v>
      </c>
      <c r="E1000" s="12">
        <v>0</v>
      </c>
      <c r="F1000" s="14">
        <v>0</v>
      </c>
      <c r="G1000" s="13">
        <v>440.8653</v>
      </c>
      <c r="H1000" s="14">
        <v>1584279.169871</v>
      </c>
      <c r="I1000" s="14" t="e">
        <f>=Round(35.71120000,0)</f>
        <v>#VALUE!</v>
      </c>
      <c r="J1000" s="14" t="e">
        <f>=Round(0.00000000,0)</f>
        <v>#VALUE!</v>
      </c>
    </row>
    <row r="1001">
      <c r="A1001" s="11" t="s">
        <v>43</v>
      </c>
      <c r="B1001" s="12">
        <v>3593.5674</v>
      </c>
      <c r="C1001" s="12">
        <v>0</v>
      </c>
      <c r="D1001" s="13">
        <v>0</v>
      </c>
      <c r="E1001" s="12">
        <v>0</v>
      </c>
      <c r="F1001" s="14">
        <v>0</v>
      </c>
      <c r="G1001" s="13">
        <v>440.8653</v>
      </c>
      <c r="H1001" s="14">
        <v>1584279.169871</v>
      </c>
      <c r="I1001" s="14" t="e">
        <f>=Round(35.71120000,0)</f>
        <v>#VALUE!</v>
      </c>
      <c r="J1001" s="14" t="e">
        <f>=Round(0.00000000,0)</f>
        <v>#VALUE!</v>
      </c>
    </row>
    <row r="1002">
      <c r="A1002" s="11" t="s">
        <v>44</v>
      </c>
      <c r="B1002" s="12">
        <v>3595.5366</v>
      </c>
      <c r="C1002" s="12">
        <v>0</v>
      </c>
      <c r="D1002" s="13">
        <v>0</v>
      </c>
      <c r="E1002" s="12">
        <v>0</v>
      </c>
      <c r="F1002" s="14">
        <v>0</v>
      </c>
      <c r="G1002" s="13">
        <v>440.8653</v>
      </c>
      <c r="H1002" s="14">
        <v>1585147.32182</v>
      </c>
      <c r="I1002" s="14" t="e">
        <f>=Round(35.71120000,0)</f>
        <v>#VALUE!</v>
      </c>
      <c r="J1002" s="14" t="e">
        <f>=Round(0.00000000,0)</f>
        <v>#VALUE!</v>
      </c>
    </row>
    <row r="1003">
      <c r="A1003" s="11" t="s">
        <v>45</v>
      </c>
      <c r="B1003" s="12">
        <v>3596.1915</v>
      </c>
      <c r="C1003" s="12">
        <v>0</v>
      </c>
      <c r="D1003" s="13">
        <v>0</v>
      </c>
      <c r="E1003" s="12">
        <v>0</v>
      </c>
      <c r="F1003" s="14">
        <v>0</v>
      </c>
      <c r="G1003" s="13">
        <v>440.8653</v>
      </c>
      <c r="H1003" s="14">
        <v>1585436.044505</v>
      </c>
      <c r="I1003" s="14" t="e">
        <f>=Round(35.73080000,0)</f>
        <v>#VALUE!</v>
      </c>
      <c r="J1003" s="14" t="e">
        <f>=Round(0.00000000,0)</f>
        <v>#VALUE!</v>
      </c>
    </row>
    <row r="1004">
      <c r="A1004" s="11" t="s">
        <v>46</v>
      </c>
      <c r="B1004" s="12">
        <v>3596.8461</v>
      </c>
      <c r="C1004" s="12">
        <v>0</v>
      </c>
      <c r="D1004" s="13">
        <v>0</v>
      </c>
      <c r="E1004" s="12">
        <v>0</v>
      </c>
      <c r="F1004" s="14">
        <v>0</v>
      </c>
      <c r="G1004" s="13">
        <v>440.8653</v>
      </c>
      <c r="H1004" s="14">
        <v>1585724.63493</v>
      </c>
      <c r="I1004" s="14" t="e">
        <f>=Round(35.73730000,0)</f>
        <v>#VALUE!</v>
      </c>
      <c r="J1004" s="14" t="e">
        <f>=Round(0.00000000,0)</f>
        <v>#VALUE!</v>
      </c>
    </row>
    <row r="1005">
      <c r="A1005" s="11" t="s">
        <v>47</v>
      </c>
      <c r="B1005" s="12">
        <v>3597.4992</v>
      </c>
      <c r="C1005" s="12">
        <v>0</v>
      </c>
      <c r="D1005" s="13">
        <v>0</v>
      </c>
      <c r="E1005" s="12">
        <v>0</v>
      </c>
      <c r="F1005" s="14">
        <v>0</v>
      </c>
      <c r="G1005" s="13">
        <v>440.8653</v>
      </c>
      <c r="H1005" s="14">
        <v>1586012.564058</v>
      </c>
      <c r="I1005" s="14" t="e">
        <f>=Round(35.74380000,0)</f>
        <v>#VALUE!</v>
      </c>
      <c r="J1005" s="14" t="e">
        <f>=Round(0.00000000,0)</f>
        <v>#VALUE!</v>
      </c>
    </row>
    <row r="1006">
      <c r="A1006" s="11" t="s">
        <v>48</v>
      </c>
      <c r="B1006" s="12">
        <v>3598.1558</v>
      </c>
      <c r="C1006" s="12">
        <v>0</v>
      </c>
      <c r="D1006" s="13">
        <v>0</v>
      </c>
      <c r="E1006" s="12">
        <v>0</v>
      </c>
      <c r="F1006" s="14">
        <v>0</v>
      </c>
      <c r="G1006" s="13">
        <v>440.8653</v>
      </c>
      <c r="H1006" s="14">
        <v>1586302.036214</v>
      </c>
      <c r="I1006" s="14" t="e">
        <f>=Round(35.75030000,0)</f>
        <v>#VALUE!</v>
      </c>
      <c r="J1006" s="14" t="e">
        <f>=Round(0.00000000,0)</f>
        <v>#VALUE!</v>
      </c>
    </row>
    <row r="1007">
      <c r="A1007" s="11" t="s">
        <v>49</v>
      </c>
      <c r="B1007" s="12">
        <v>3598.1558</v>
      </c>
      <c r="C1007" s="12">
        <v>0</v>
      </c>
      <c r="D1007" s="13">
        <v>0</v>
      </c>
      <c r="E1007" s="12">
        <v>0</v>
      </c>
      <c r="F1007" s="14">
        <v>0</v>
      </c>
      <c r="G1007" s="13">
        <v>440.8653</v>
      </c>
      <c r="H1007" s="14">
        <v>1586302.036214</v>
      </c>
      <c r="I1007" s="14" t="e">
        <f>=Round(35.75680000,0)</f>
        <v>#VALUE!</v>
      </c>
      <c r="J1007" s="14" t="e">
        <f>=Round(0.00000000,0)</f>
        <v>#VALUE!</v>
      </c>
    </row>
    <row r="1008">
      <c r="A1008" s="11" t="s">
        <v>50</v>
      </c>
      <c r="B1008" s="12">
        <v>3598.1558</v>
      </c>
      <c r="C1008" s="12">
        <v>0</v>
      </c>
      <c r="D1008" s="13">
        <v>0</v>
      </c>
      <c r="E1008" s="12">
        <v>0</v>
      </c>
      <c r="F1008" s="14">
        <v>0</v>
      </c>
      <c r="G1008" s="13">
        <v>440.8653</v>
      </c>
      <c r="H1008" s="14">
        <v>1586302.036214</v>
      </c>
      <c r="I1008" s="14" t="e">
        <f>=Round(35.75680000,0)</f>
        <v>#VALUE!</v>
      </c>
      <c r="J1008" s="14" t="e">
        <f>=Round(0.00000000,0)</f>
        <v>#VALUE!</v>
      </c>
    </row>
    <row r="1009">
      <c r="A1009" s="11" t="s">
        <v>51</v>
      </c>
      <c r="B1009" s="12">
        <v>3600.124</v>
      </c>
      <c r="C1009" s="12">
        <v>0</v>
      </c>
      <c r="D1009" s="13">
        <v>0</v>
      </c>
      <c r="E1009" s="12">
        <v>0</v>
      </c>
      <c r="F1009" s="14">
        <v>0</v>
      </c>
      <c r="G1009" s="13">
        <v>440.8653</v>
      </c>
      <c r="H1009" s="14">
        <v>1587169.747297</v>
      </c>
      <c r="I1009" s="14" t="e">
        <f>=Round(35.75680000,0)</f>
        <v>#VALUE!</v>
      </c>
      <c r="J1009" s="14" t="e">
        <f>=Round(0.00000000,0)</f>
        <v>#VALUE!</v>
      </c>
    </row>
    <row r="1010">
      <c r="A1010" s="11" t="s">
        <v>52</v>
      </c>
      <c r="B1010" s="12">
        <v>3600.7905</v>
      </c>
      <c r="C1010" s="12">
        <v>0</v>
      </c>
      <c r="D1010" s="13">
        <v>0</v>
      </c>
      <c r="E1010" s="12">
        <v>0</v>
      </c>
      <c r="F1010" s="14">
        <v>0</v>
      </c>
      <c r="G1010" s="13">
        <v>440.8653</v>
      </c>
      <c r="H1010" s="14">
        <v>1587463.58402</v>
      </c>
      <c r="I1010" s="14" t="e">
        <f>=Round(35.77640000,0)</f>
        <v>#VALUE!</v>
      </c>
      <c r="J1010" s="14" t="e">
        <f>=Round(0.00000000,0)</f>
        <v>#VALUE!</v>
      </c>
    </row>
    <row r="1011">
      <c r="A1011" s="11" t="s">
        <v>53</v>
      </c>
      <c r="B1011" s="12">
        <v>3601.445</v>
      </c>
      <c r="C1011" s="12">
        <v>0</v>
      </c>
      <c r="D1011" s="13">
        <v>0</v>
      </c>
      <c r="E1011" s="12">
        <v>0</v>
      </c>
      <c r="F1011" s="14">
        <v>0</v>
      </c>
      <c r="G1011" s="13">
        <v>440.8653</v>
      </c>
      <c r="H1011" s="14">
        <v>1587752.130359</v>
      </c>
      <c r="I1011" s="14" t="e">
        <f>=Round(35.78300000,0)</f>
        <v>#VALUE!</v>
      </c>
      <c r="J1011" s="14" t="e">
        <f>=Round(0.00000000,0)</f>
        <v>#VALUE!</v>
      </c>
    </row>
    <row r="1012">
      <c r="A1012" s="11" t="s">
        <v>54</v>
      </c>
      <c r="B1012" s="12">
        <v>3602.0851</v>
      </c>
      <c r="C1012" s="12">
        <v>0</v>
      </c>
      <c r="D1012" s="13">
        <v>0</v>
      </c>
      <c r="E1012" s="12">
        <v>0</v>
      </c>
      <c r="F1012" s="14">
        <v>0</v>
      </c>
      <c r="G1012" s="13">
        <v>440.8653</v>
      </c>
      <c r="H1012" s="14">
        <v>1588034.328237</v>
      </c>
      <c r="I1012" s="14" t="e">
        <f>=Round(35.78950000,0)</f>
        <v>#VALUE!</v>
      </c>
      <c r="J1012" s="14" t="e">
        <f>=Round(0.00000000,0)</f>
        <v>#VALUE!</v>
      </c>
    </row>
    <row r="1013">
      <c r="A1013" s="11" t="s">
        <v>55</v>
      </c>
      <c r="B1013" s="12">
        <v>3602.7417</v>
      </c>
      <c r="C1013" s="12">
        <v>0</v>
      </c>
      <c r="D1013" s="13">
        <v>0</v>
      </c>
      <c r="E1013" s="12">
        <v>0</v>
      </c>
      <c r="F1013" s="14">
        <v>0</v>
      </c>
      <c r="G1013" s="13">
        <v>440.8653</v>
      </c>
      <c r="H1013" s="14">
        <v>1588323.800393</v>
      </c>
      <c r="I1013" s="14" t="e">
        <f>=Round(35.79590000,0)</f>
        <v>#VALUE!</v>
      </c>
      <c r="J1013" s="14" t="e">
        <f>=Round(0.00000000,0)</f>
        <v>#VALUE!</v>
      </c>
    </row>
    <row r="1014" ht="-1">
      <c r="A1014" s="15"/>
      <c r="B1014" s="16" t="s">
        <v>56</v>
      </c>
      <c r="C1014" s="15"/>
      <c r="D1014" s="15"/>
      <c r="E1014" s="15"/>
      <c r="F1014" s="15"/>
      <c r="G1014" s="15"/>
      <c r="H1014" s="15"/>
      <c r="I1014" s="17" t="e">
        <f>=Round(SUM(I988:I1013),0)</f>
        <v>#VALUE!</v>
      </c>
      <c r="J1014" s="17" t="e">
        <f>=Round(SUM(J988:J1013),0)</f>
        <v>#VALUE!</v>
      </c>
    </row>
    <row r="1015">
      <c r="A1015" s="1" t="s">
        <v>0</v>
      </c>
      <c r="B1015" s="1"/>
      <c r="C1015" s="1"/>
      <c r="D1015" s="1"/>
    </row>
    <row r="1016">
      <c r="A1016" s="0" t="s">
        <v>1</v>
      </c>
      <c r="C1016" s="0" t="s">
        <v>2</v>
      </c>
      <c r="H1016" s="2" t="s">
        <v>3</v>
      </c>
    </row>
    <row r="1017">
      <c r="A1017" s="0" t="s">
        <v>4</v>
      </c>
      <c r="C1017" s="0" t="s">
        <v>82</v>
      </c>
      <c r="H1017" s="3" t="s">
        <v>6</v>
      </c>
    </row>
    <row r="1018">
      <c r="A1018" s="0" t="s">
        <v>7</v>
      </c>
      <c r="C1018" s="4" t="s">
        <v>8</v>
      </c>
      <c r="H1018" s="2" t="s">
        <v>9</v>
      </c>
    </row>
    <row r="1019">
      <c r="A1019" s="0" t="s">
        <v>10</v>
      </c>
      <c r="C1019" s="4" t="s">
        <v>11</v>
      </c>
      <c r="H1019" s="2" t="s">
        <v>12</v>
      </c>
    </row>
    <row r="1020">
      <c r="A1020" s="0" t="s">
        <v>13</v>
      </c>
      <c r="C1020" s="0" t="s">
        <v>14</v>
      </c>
    </row>
    <row r="1021">
      <c r="A1021" s="0" t="s">
        <v>15</v>
      </c>
      <c r="C1021" s="0" t="s">
        <v>16</v>
      </c>
    </row>
    <row r="1022">
      <c r="A1022" s="0" t="s">
        <v>17</v>
      </c>
      <c r="C1022" s="0" t="s">
        <v>18</v>
      </c>
    </row>
    <row r="1025">
      <c r="A1025" s="5" t="s">
        <v>19</v>
      </c>
      <c r="B1025" s="5" t="s">
        <v>20</v>
      </c>
      <c r="C1025" s="7" t="s">
        <v>21</v>
      </c>
      <c r="D1025" s="9"/>
      <c r="E1025" s="7" t="s">
        <v>22</v>
      </c>
      <c r="F1025" s="9"/>
      <c r="G1025" s="5" t="s">
        <v>23</v>
      </c>
      <c r="H1025" s="5" t="s">
        <v>24</v>
      </c>
      <c r="I1025" s="5" t="s">
        <v>25</v>
      </c>
      <c r="J1025" s="5" t="s">
        <v>26</v>
      </c>
    </row>
    <row r="1026">
      <c r="A1026" s="6"/>
      <c r="B1026" s="6"/>
      <c r="C1026" s="8" t="s">
        <v>27</v>
      </c>
      <c r="D1026" s="8" t="s">
        <v>28</v>
      </c>
      <c r="E1026" s="8" t="s">
        <v>27</v>
      </c>
      <c r="F1026" s="8" t="s">
        <v>28</v>
      </c>
      <c r="G1026" s="6"/>
      <c r="H1026" s="6"/>
      <c r="I1026" s="10" t="s">
        <v>29</v>
      </c>
      <c r="J1026" s="6"/>
    </row>
    <row r="1027">
      <c r="A1027" s="11" t="s">
        <v>30</v>
      </c>
      <c r="B1027" s="12">
        <v>3586.4187</v>
      </c>
      <c r="C1027" s="12">
        <v>0</v>
      </c>
      <c r="D1027" s="13">
        <v>0</v>
      </c>
      <c r="E1027" s="12">
        <v>0</v>
      </c>
      <c r="F1027" s="14">
        <v>0</v>
      </c>
      <c r="G1027" s="13">
        <v>24974.7013</v>
      </c>
      <c r="H1027" s="14">
        <v>89569735.769234</v>
      </c>
      <c r="I1027" s="14" t="e">
        <f>=Round(2017.87970000,0)</f>
        <v>#VALUE!</v>
      </c>
      <c r="J1027" s="14" t="e">
        <f>=Round(0.00000000,0)</f>
        <v>#VALUE!</v>
      </c>
    </row>
    <row r="1028">
      <c r="A1028" s="11" t="s">
        <v>31</v>
      </c>
      <c r="B1028" s="12">
        <v>3587.0477</v>
      </c>
      <c r="C1028" s="12">
        <v>0</v>
      </c>
      <c r="D1028" s="13">
        <v>0</v>
      </c>
      <c r="E1028" s="12">
        <v>0</v>
      </c>
      <c r="F1028" s="14">
        <v>0</v>
      </c>
      <c r="G1028" s="13">
        <v>24974.7013</v>
      </c>
      <c r="H1028" s="14">
        <v>89585444.856352</v>
      </c>
      <c r="I1028" s="14" t="e">
        <f>=Round(2018.98990000,0)</f>
        <v>#VALUE!</v>
      </c>
      <c r="J1028" s="14" t="e">
        <f>=Round(0.00000000,0)</f>
        <v>#VALUE!</v>
      </c>
    </row>
    <row r="1029">
      <c r="A1029" s="11" t="s">
        <v>32</v>
      </c>
      <c r="B1029" s="12">
        <v>3587.6685</v>
      </c>
      <c r="C1029" s="12">
        <v>0</v>
      </c>
      <c r="D1029" s="13">
        <v>0</v>
      </c>
      <c r="E1029" s="12">
        <v>0</v>
      </c>
      <c r="F1029" s="14">
        <v>0</v>
      </c>
      <c r="G1029" s="13">
        <v>24974.7013</v>
      </c>
      <c r="H1029" s="14">
        <v>89600949.150919</v>
      </c>
      <c r="I1029" s="14" t="e">
        <f>=Round(2019.34400000,0)</f>
        <v>#VALUE!</v>
      </c>
      <c r="J1029" s="14" t="e">
        <f>=Round(0.00000000,0)</f>
        <v>#VALUE!</v>
      </c>
    </row>
    <row r="1030">
      <c r="A1030" s="11" t="s">
        <v>33</v>
      </c>
      <c r="B1030" s="12">
        <v>3588.3573</v>
      </c>
      <c r="C1030" s="12">
        <v>0</v>
      </c>
      <c r="D1030" s="13">
        <v>0</v>
      </c>
      <c r="E1030" s="12">
        <v>0</v>
      </c>
      <c r="F1030" s="14">
        <v>0</v>
      </c>
      <c r="G1030" s="13">
        <v>24974.7013</v>
      </c>
      <c r="H1030" s="14">
        <v>89618151.725174</v>
      </c>
      <c r="I1030" s="14" t="e">
        <f>=Round(2019.69350000,0)</f>
        <v>#VALUE!</v>
      </c>
      <c r="J1030" s="14" t="e">
        <f>=Round(0.00000000,0)</f>
        <v>#VALUE!</v>
      </c>
    </row>
    <row r="1031">
      <c r="A1031" s="11" t="s">
        <v>34</v>
      </c>
      <c r="B1031" s="12">
        <v>3589.0109</v>
      </c>
      <c r="C1031" s="12">
        <v>0</v>
      </c>
      <c r="D1031" s="13">
        <v>0</v>
      </c>
      <c r="E1031" s="12">
        <v>0</v>
      </c>
      <c r="F1031" s="14">
        <v>0</v>
      </c>
      <c r="G1031" s="13">
        <v>24974.7013</v>
      </c>
      <c r="H1031" s="14">
        <v>89634475.189944</v>
      </c>
      <c r="I1031" s="14" t="e">
        <f>=Round(2020.08130000,0)</f>
        <v>#VALUE!</v>
      </c>
      <c r="J1031" s="14" t="e">
        <f>=Round(0.00000000,0)</f>
        <v>#VALUE!</v>
      </c>
    </row>
    <row r="1032">
      <c r="A1032" s="11" t="s">
        <v>35</v>
      </c>
      <c r="B1032" s="12">
        <v>3589.0109</v>
      </c>
      <c r="C1032" s="12">
        <v>0</v>
      </c>
      <c r="D1032" s="13">
        <v>0</v>
      </c>
      <c r="E1032" s="12">
        <v>0</v>
      </c>
      <c r="F1032" s="14">
        <v>0</v>
      </c>
      <c r="G1032" s="13">
        <v>24974.7013</v>
      </c>
      <c r="H1032" s="14">
        <v>89634475.189944</v>
      </c>
      <c r="I1032" s="14" t="e">
        <f>=Round(2020.44920000,0)</f>
        <v>#VALUE!</v>
      </c>
      <c r="J1032" s="14" t="e">
        <f>=Round(0.00000000,0)</f>
        <v>#VALUE!</v>
      </c>
    </row>
    <row r="1033">
      <c r="A1033" s="11" t="s">
        <v>36</v>
      </c>
      <c r="B1033" s="12">
        <v>3589.0109</v>
      </c>
      <c r="C1033" s="12">
        <v>0</v>
      </c>
      <c r="D1033" s="13">
        <v>0</v>
      </c>
      <c r="E1033" s="12">
        <v>0</v>
      </c>
      <c r="F1033" s="14">
        <v>0</v>
      </c>
      <c r="G1033" s="13">
        <v>24974.7013</v>
      </c>
      <c r="H1033" s="14">
        <v>89634475.189944</v>
      </c>
      <c r="I1033" s="14" t="e">
        <f>=Round(2020.44920000,0)</f>
        <v>#VALUE!</v>
      </c>
      <c r="J1033" s="14" t="e">
        <f>=Round(0.00000000,0)</f>
        <v>#VALUE!</v>
      </c>
    </row>
    <row r="1034">
      <c r="A1034" s="11" t="s">
        <v>37</v>
      </c>
      <c r="B1034" s="12">
        <v>3590.972</v>
      </c>
      <c r="C1034" s="12">
        <v>0</v>
      </c>
      <c r="D1034" s="13">
        <v>0</v>
      </c>
      <c r="E1034" s="12">
        <v>0</v>
      </c>
      <c r="F1034" s="14">
        <v>0</v>
      </c>
      <c r="G1034" s="13">
        <v>24974.7013</v>
      </c>
      <c r="H1034" s="14">
        <v>89683453.076664</v>
      </c>
      <c r="I1034" s="14" t="e">
        <f>=Round(2020.44920000,0)</f>
        <v>#VALUE!</v>
      </c>
      <c r="J1034" s="14" t="e">
        <f>=Round(0.00000000,0)</f>
        <v>#VALUE!</v>
      </c>
    </row>
    <row r="1035">
      <c r="A1035" s="11" t="s">
        <v>38</v>
      </c>
      <c r="B1035" s="12">
        <v>3591.6235</v>
      </c>
      <c r="C1035" s="12">
        <v>0</v>
      </c>
      <c r="D1035" s="13">
        <v>0</v>
      </c>
      <c r="E1035" s="12">
        <v>0</v>
      </c>
      <c r="F1035" s="14">
        <v>0</v>
      </c>
      <c r="G1035" s="13">
        <v>24974.7013</v>
      </c>
      <c r="H1035" s="14">
        <v>89699724.094561</v>
      </c>
      <c r="I1035" s="14" t="e">
        <f>=Round(2021.55320000,0)</f>
        <v>#VALUE!</v>
      </c>
      <c r="J1035" s="14" t="e">
        <f>=Round(0.00000000,0)</f>
        <v>#VALUE!</v>
      </c>
    </row>
    <row r="1036">
      <c r="A1036" s="11" t="s">
        <v>39</v>
      </c>
      <c r="B1036" s="12">
        <v>3592.281</v>
      </c>
      <c r="C1036" s="12">
        <v>0</v>
      </c>
      <c r="D1036" s="13">
        <v>0</v>
      </c>
      <c r="E1036" s="12">
        <v>0</v>
      </c>
      <c r="F1036" s="14">
        <v>0</v>
      </c>
      <c r="G1036" s="13">
        <v>24974.7013</v>
      </c>
      <c r="H1036" s="14">
        <v>89716144.960665</v>
      </c>
      <c r="I1036" s="14" t="e">
        <f>=Round(2021.92000000,0)</f>
        <v>#VALUE!</v>
      </c>
      <c r="J1036" s="14" t="e">
        <f>=Round(0.00000000,0)</f>
        <v>#VALUE!</v>
      </c>
    </row>
    <row r="1037">
      <c r="A1037" s="11" t="s">
        <v>40</v>
      </c>
      <c r="B1037" s="12">
        <v>3592.9125</v>
      </c>
      <c r="C1037" s="12">
        <v>0</v>
      </c>
      <c r="D1037" s="13">
        <v>0</v>
      </c>
      <c r="E1037" s="12">
        <v>0</v>
      </c>
      <c r="F1037" s="14">
        <v>0</v>
      </c>
      <c r="G1037" s="13">
        <v>24974.7013</v>
      </c>
      <c r="H1037" s="14">
        <v>89731916.484536</v>
      </c>
      <c r="I1037" s="14" t="e">
        <f>=Round(2022.29020000,0)</f>
        <v>#VALUE!</v>
      </c>
      <c r="J1037" s="14" t="e">
        <f>=Round(0.00000000,0)</f>
        <v>#VALUE!</v>
      </c>
    </row>
    <row r="1038">
      <c r="A1038" s="11" t="s">
        <v>41</v>
      </c>
      <c r="B1038" s="12">
        <v>3593.5674</v>
      </c>
      <c r="C1038" s="12">
        <v>0</v>
      </c>
      <c r="D1038" s="13">
        <v>0</v>
      </c>
      <c r="E1038" s="12">
        <v>0</v>
      </c>
      <c r="F1038" s="14">
        <v>0</v>
      </c>
      <c r="G1038" s="13">
        <v>24974.7013</v>
      </c>
      <c r="H1038" s="14">
        <v>89748272.416418</v>
      </c>
      <c r="I1038" s="14" t="e">
        <f>=Round(2022.64570000,0)</f>
        <v>#VALUE!</v>
      </c>
      <c r="J1038" s="14" t="e">
        <f>=Round(0.00000000,0)</f>
        <v>#VALUE!</v>
      </c>
    </row>
    <row r="1039">
      <c r="A1039" s="11" t="s">
        <v>42</v>
      </c>
      <c r="B1039" s="12">
        <v>3593.5674</v>
      </c>
      <c r="C1039" s="12">
        <v>0</v>
      </c>
      <c r="D1039" s="13">
        <v>0</v>
      </c>
      <c r="E1039" s="12">
        <v>0</v>
      </c>
      <c r="F1039" s="14">
        <v>0</v>
      </c>
      <c r="G1039" s="13">
        <v>24974.7013</v>
      </c>
      <c r="H1039" s="14">
        <v>89748272.416418</v>
      </c>
      <c r="I1039" s="14" t="e">
        <f>=Round(2023.01430000,0)</f>
        <v>#VALUE!</v>
      </c>
      <c r="J1039" s="14" t="e">
        <f>=Round(0.00000000,0)</f>
        <v>#VALUE!</v>
      </c>
    </row>
    <row r="1040">
      <c r="A1040" s="11" t="s">
        <v>43</v>
      </c>
      <c r="B1040" s="12">
        <v>3593.5674</v>
      </c>
      <c r="C1040" s="12">
        <v>0</v>
      </c>
      <c r="D1040" s="13">
        <v>0</v>
      </c>
      <c r="E1040" s="12">
        <v>0</v>
      </c>
      <c r="F1040" s="14">
        <v>0</v>
      </c>
      <c r="G1040" s="13">
        <v>24974.7013</v>
      </c>
      <c r="H1040" s="14">
        <v>89748272.416418</v>
      </c>
      <c r="I1040" s="14" t="e">
        <f>=Round(2023.01430000,0)</f>
        <v>#VALUE!</v>
      </c>
      <c r="J1040" s="14" t="e">
        <f>=Round(0.00000000,0)</f>
        <v>#VALUE!</v>
      </c>
    </row>
    <row r="1041">
      <c r="A1041" s="11" t="s">
        <v>44</v>
      </c>
      <c r="B1041" s="12">
        <v>3595.5366</v>
      </c>
      <c r="C1041" s="12">
        <v>0</v>
      </c>
      <c r="D1041" s="13">
        <v>0</v>
      </c>
      <c r="E1041" s="12">
        <v>0</v>
      </c>
      <c r="F1041" s="14">
        <v>0</v>
      </c>
      <c r="G1041" s="13">
        <v>24974.7013</v>
      </c>
      <c r="H1041" s="14">
        <v>89797452.598218</v>
      </c>
      <c r="I1041" s="14" t="e">
        <f>=Round(2023.01430000,0)</f>
        <v>#VALUE!</v>
      </c>
      <c r="J1041" s="14" t="e">
        <f>=Round(0.00000000,0)</f>
        <v>#VALUE!</v>
      </c>
    </row>
    <row r="1042">
      <c r="A1042" s="11" t="s">
        <v>45</v>
      </c>
      <c r="B1042" s="12">
        <v>3596.1915</v>
      </c>
      <c r="C1042" s="12">
        <v>0</v>
      </c>
      <c r="D1042" s="13">
        <v>0</v>
      </c>
      <c r="E1042" s="12">
        <v>0</v>
      </c>
      <c r="F1042" s="14">
        <v>0</v>
      </c>
      <c r="G1042" s="13">
        <v>24974.7013</v>
      </c>
      <c r="H1042" s="14">
        <v>89813808.530099</v>
      </c>
      <c r="I1042" s="14" t="e">
        <f>=Round(2024.12290000,0)</f>
        <v>#VALUE!</v>
      </c>
      <c r="J1042" s="14" t="e">
        <f>=Round(0.00000000,0)</f>
        <v>#VALUE!</v>
      </c>
    </row>
    <row r="1043">
      <c r="A1043" s="11" t="s">
        <v>46</v>
      </c>
      <c r="B1043" s="12">
        <v>3596.8461</v>
      </c>
      <c r="C1043" s="12">
        <v>0</v>
      </c>
      <c r="D1043" s="13">
        <v>0</v>
      </c>
      <c r="E1043" s="12">
        <v>0</v>
      </c>
      <c r="F1043" s="14">
        <v>0</v>
      </c>
      <c r="G1043" s="13">
        <v>24974.7013</v>
      </c>
      <c r="H1043" s="14">
        <v>89830156.96957</v>
      </c>
      <c r="I1043" s="14" t="e">
        <f>=Round(2024.49160000,0)</f>
        <v>#VALUE!</v>
      </c>
      <c r="J1043" s="14" t="e">
        <f>=Round(0.00000000,0)</f>
        <v>#VALUE!</v>
      </c>
    </row>
    <row r="1044">
      <c r="A1044" s="11" t="s">
        <v>47</v>
      </c>
      <c r="B1044" s="12">
        <v>3597.4992</v>
      </c>
      <c r="C1044" s="12">
        <v>0</v>
      </c>
      <c r="D1044" s="13">
        <v>0</v>
      </c>
      <c r="E1044" s="12">
        <v>0</v>
      </c>
      <c r="F1044" s="14">
        <v>0</v>
      </c>
      <c r="G1044" s="13">
        <v>24974.7013</v>
      </c>
      <c r="H1044" s="14">
        <v>89846467.946989</v>
      </c>
      <c r="I1044" s="14" t="e">
        <f>=Round(2024.86010000,0)</f>
        <v>#VALUE!</v>
      </c>
      <c r="J1044" s="14" t="e">
        <f>=Round(0.00000000,0)</f>
        <v>#VALUE!</v>
      </c>
    </row>
    <row r="1045">
      <c r="A1045" s="11" t="s">
        <v>48</v>
      </c>
      <c r="B1045" s="12">
        <v>3598.1558</v>
      </c>
      <c r="C1045" s="12">
        <v>0</v>
      </c>
      <c r="D1045" s="13">
        <v>0</v>
      </c>
      <c r="E1045" s="12">
        <v>0</v>
      </c>
      <c r="F1045" s="14">
        <v>0</v>
      </c>
      <c r="G1045" s="13">
        <v>24974.7013</v>
      </c>
      <c r="H1045" s="14">
        <v>89862866.335863</v>
      </c>
      <c r="I1045" s="14" t="e">
        <f>=Round(2025.22780000,0)</f>
        <v>#VALUE!</v>
      </c>
      <c r="J1045" s="14" t="e">
        <f>=Round(0.00000000,0)</f>
        <v>#VALUE!</v>
      </c>
    </row>
    <row r="1046">
      <c r="A1046" s="11" t="s">
        <v>49</v>
      </c>
      <c r="B1046" s="12">
        <v>3598.1558</v>
      </c>
      <c r="C1046" s="12">
        <v>0</v>
      </c>
      <c r="D1046" s="13">
        <v>0</v>
      </c>
      <c r="E1046" s="12">
        <v>0</v>
      </c>
      <c r="F1046" s="14">
        <v>0</v>
      </c>
      <c r="G1046" s="13">
        <v>24974.7013</v>
      </c>
      <c r="H1046" s="14">
        <v>89862866.335863</v>
      </c>
      <c r="I1046" s="14" t="e">
        <f>=Round(2025.59740000,0)</f>
        <v>#VALUE!</v>
      </c>
      <c r="J1046" s="14" t="e">
        <f>=Round(0.00000000,0)</f>
        <v>#VALUE!</v>
      </c>
    </row>
    <row r="1047">
      <c r="A1047" s="11" t="s">
        <v>50</v>
      </c>
      <c r="B1047" s="12">
        <v>3598.1558</v>
      </c>
      <c r="C1047" s="12">
        <v>0</v>
      </c>
      <c r="D1047" s="13">
        <v>0</v>
      </c>
      <c r="E1047" s="12">
        <v>0</v>
      </c>
      <c r="F1047" s="14">
        <v>0</v>
      </c>
      <c r="G1047" s="13">
        <v>24974.7013</v>
      </c>
      <c r="H1047" s="14">
        <v>89862866.335863</v>
      </c>
      <c r="I1047" s="14" t="e">
        <f>=Round(2025.59740000,0)</f>
        <v>#VALUE!</v>
      </c>
      <c r="J1047" s="14" t="e">
        <f>=Round(0.00000000,0)</f>
        <v>#VALUE!</v>
      </c>
    </row>
    <row r="1048">
      <c r="A1048" s="11" t="s">
        <v>51</v>
      </c>
      <c r="B1048" s="12">
        <v>3600.124</v>
      </c>
      <c r="C1048" s="12">
        <v>0</v>
      </c>
      <c r="D1048" s="13">
        <v>0</v>
      </c>
      <c r="E1048" s="12">
        <v>0</v>
      </c>
      <c r="F1048" s="14">
        <v>0</v>
      </c>
      <c r="G1048" s="13">
        <v>24974.7013</v>
      </c>
      <c r="H1048" s="14">
        <v>89912021.542961</v>
      </c>
      <c r="I1048" s="14" t="e">
        <f>=Round(2025.59740000,0)</f>
        <v>#VALUE!</v>
      </c>
      <c r="J1048" s="14" t="e">
        <f>=Round(0.00000000,0)</f>
        <v>#VALUE!</v>
      </c>
    </row>
    <row r="1049">
      <c r="A1049" s="11" t="s">
        <v>52</v>
      </c>
      <c r="B1049" s="12">
        <v>3600.7905</v>
      </c>
      <c r="C1049" s="12">
        <v>0</v>
      </c>
      <c r="D1049" s="13">
        <v>0</v>
      </c>
      <c r="E1049" s="12">
        <v>0</v>
      </c>
      <c r="F1049" s="14">
        <v>0</v>
      </c>
      <c r="G1049" s="13">
        <v>24974.7013</v>
      </c>
      <c r="H1049" s="14">
        <v>89928667.181378</v>
      </c>
      <c r="I1049" s="14" t="e">
        <f>=Round(2026.70540000,0)</f>
        <v>#VALUE!</v>
      </c>
      <c r="J1049" s="14" t="e">
        <f>=Round(0.00000000,0)</f>
        <v>#VALUE!</v>
      </c>
    </row>
    <row r="1050">
      <c r="A1050" s="11" t="s">
        <v>53</v>
      </c>
      <c r="B1050" s="12">
        <v>3601.445</v>
      </c>
      <c r="C1050" s="12">
        <v>0</v>
      </c>
      <c r="D1050" s="13">
        <v>0</v>
      </c>
      <c r="E1050" s="12">
        <v>0</v>
      </c>
      <c r="F1050" s="14">
        <v>0</v>
      </c>
      <c r="G1050" s="13">
        <v>24974.7013</v>
      </c>
      <c r="H1050" s="14">
        <v>89945013.123379</v>
      </c>
      <c r="I1050" s="14" t="e">
        <f>=Round(2027.08060000,0)</f>
        <v>#VALUE!</v>
      </c>
      <c r="J1050" s="14" t="e">
        <f>=Round(0.00000000,0)</f>
        <v>#VALUE!</v>
      </c>
    </row>
    <row r="1051">
      <c r="A1051" s="11" t="s">
        <v>54</v>
      </c>
      <c r="B1051" s="12">
        <v>3602.0851</v>
      </c>
      <c r="C1051" s="12">
        <v>0</v>
      </c>
      <c r="D1051" s="13">
        <v>0</v>
      </c>
      <c r="E1051" s="12">
        <v>0</v>
      </c>
      <c r="F1051" s="14">
        <v>0</v>
      </c>
      <c r="G1051" s="13">
        <v>24974.7013</v>
      </c>
      <c r="H1051" s="14">
        <v>89960999.429681</v>
      </c>
      <c r="I1051" s="14" t="e">
        <f>=Round(2027.44910000,0)</f>
        <v>#VALUE!</v>
      </c>
      <c r="J1051" s="14" t="e">
        <f>=Round(0.00000000,0)</f>
        <v>#VALUE!</v>
      </c>
    </row>
    <row r="1052">
      <c r="A1052" s="11" t="s">
        <v>55</v>
      </c>
      <c r="B1052" s="12">
        <v>3602.7417</v>
      </c>
      <c r="C1052" s="12">
        <v>0</v>
      </c>
      <c r="D1052" s="13">
        <v>0</v>
      </c>
      <c r="E1052" s="12">
        <v>0</v>
      </c>
      <c r="F1052" s="14">
        <v>0</v>
      </c>
      <c r="G1052" s="13">
        <v>24974.7013</v>
      </c>
      <c r="H1052" s="14">
        <v>89977397.818554</v>
      </c>
      <c r="I1052" s="14" t="e">
        <f>=Round(2027.80940000,0)</f>
        <v>#VALUE!</v>
      </c>
      <c r="J1052" s="14" t="e">
        <f>=Round(0.00000000,0)</f>
        <v>#VALUE!</v>
      </c>
    </row>
    <row r="1053" ht="-1">
      <c r="A1053" s="15"/>
      <c r="B1053" s="16" t="s">
        <v>56</v>
      </c>
      <c r="C1053" s="15"/>
      <c r="D1053" s="15"/>
      <c r="E1053" s="15"/>
      <c r="F1053" s="15"/>
      <c r="G1053" s="15"/>
      <c r="H1053" s="15"/>
      <c r="I1053" s="17" t="e">
        <f>=Round(SUM(I1027:I1052),0)</f>
        <v>#VALUE!</v>
      </c>
      <c r="J1053" s="17" t="e">
        <f>=Round(SUM(J1027:J1052),0)</f>
        <v>#VALUE!</v>
      </c>
    </row>
    <row r="1054">
      <c r="A1054" s="1" t="s">
        <v>0</v>
      </c>
      <c r="B1054" s="1"/>
      <c r="C1054" s="1"/>
      <c r="D1054" s="1"/>
    </row>
    <row r="1055">
      <c r="A1055" s="0" t="s">
        <v>1</v>
      </c>
      <c r="C1055" s="0" t="s">
        <v>2</v>
      </c>
      <c r="H1055" s="2" t="s">
        <v>3</v>
      </c>
    </row>
    <row r="1056">
      <c r="A1056" s="0" t="s">
        <v>4</v>
      </c>
      <c r="C1056" s="0" t="s">
        <v>83</v>
      </c>
      <c r="H1056" s="3" t="s">
        <v>6</v>
      </c>
    </row>
    <row r="1057">
      <c r="A1057" s="0" t="s">
        <v>7</v>
      </c>
      <c r="C1057" s="4" t="s">
        <v>8</v>
      </c>
      <c r="H1057" s="2" t="s">
        <v>9</v>
      </c>
    </row>
    <row r="1058">
      <c r="A1058" s="0" t="s">
        <v>10</v>
      </c>
      <c r="C1058" s="4" t="s">
        <v>11</v>
      </c>
      <c r="H1058" s="2" t="s">
        <v>12</v>
      </c>
    </row>
    <row r="1059">
      <c r="A1059" s="0" t="s">
        <v>13</v>
      </c>
      <c r="C1059" s="0" t="s">
        <v>14</v>
      </c>
    </row>
    <row r="1060">
      <c r="A1060" s="0" t="s">
        <v>15</v>
      </c>
      <c r="C1060" s="0" t="s">
        <v>16</v>
      </c>
    </row>
    <row r="1061">
      <c r="A1061" s="0" t="s">
        <v>17</v>
      </c>
      <c r="C1061" s="0" t="s">
        <v>18</v>
      </c>
    </row>
    <row r="1064">
      <c r="A1064" s="5" t="s">
        <v>19</v>
      </c>
      <c r="B1064" s="5" t="s">
        <v>20</v>
      </c>
      <c r="C1064" s="7" t="s">
        <v>21</v>
      </c>
      <c r="D1064" s="9"/>
      <c r="E1064" s="7" t="s">
        <v>22</v>
      </c>
      <c r="F1064" s="9"/>
      <c r="G1064" s="5" t="s">
        <v>23</v>
      </c>
      <c r="H1064" s="5" t="s">
        <v>24</v>
      </c>
      <c r="I1064" s="5" t="s">
        <v>25</v>
      </c>
      <c r="J1064" s="5" t="s">
        <v>26</v>
      </c>
    </row>
    <row r="1065">
      <c r="A1065" s="6"/>
      <c r="B1065" s="6"/>
      <c r="C1065" s="8" t="s">
        <v>27</v>
      </c>
      <c r="D1065" s="8" t="s">
        <v>28</v>
      </c>
      <c r="E1065" s="8" t="s">
        <v>27</v>
      </c>
      <c r="F1065" s="8" t="s">
        <v>28</v>
      </c>
      <c r="G1065" s="6"/>
      <c r="H1065" s="6"/>
      <c r="I1065" s="10" t="s">
        <v>29</v>
      </c>
      <c r="J1065" s="6"/>
    </row>
    <row r="1066">
      <c r="A1066" s="11" t="s">
        <v>30</v>
      </c>
      <c r="B1066" s="12">
        <v>3586.4187</v>
      </c>
      <c r="C1066" s="12">
        <v>0</v>
      </c>
      <c r="D1066" s="13">
        <v>0</v>
      </c>
      <c r="E1066" s="12">
        <v>0</v>
      </c>
      <c r="F1066" s="14">
        <v>0</v>
      </c>
      <c r="G1066" s="13">
        <v>30323.5176</v>
      </c>
      <c r="H1066" s="14">
        <v>108752830.570419</v>
      </c>
      <c r="I1066" s="14" t="e">
        <f>=Round(2450.04770000,0)</f>
        <v>#VALUE!</v>
      </c>
      <c r="J1066" s="14" t="e">
        <f>=Round(0.00000000,0)</f>
        <v>#VALUE!</v>
      </c>
    </row>
    <row r="1067">
      <c r="A1067" s="11" t="s">
        <v>31</v>
      </c>
      <c r="B1067" s="12">
        <v>3587.0477</v>
      </c>
      <c r="C1067" s="12">
        <v>0</v>
      </c>
      <c r="D1067" s="13">
        <v>0</v>
      </c>
      <c r="E1067" s="12">
        <v>0</v>
      </c>
      <c r="F1067" s="14">
        <v>0</v>
      </c>
      <c r="G1067" s="13">
        <v>30323.5176</v>
      </c>
      <c r="H1067" s="14">
        <v>108771904.06299</v>
      </c>
      <c r="I1067" s="14" t="e">
        <f>=Round(2451.39580000,0)</f>
        <v>#VALUE!</v>
      </c>
      <c r="J1067" s="14" t="e">
        <f>=Round(0.00000000,0)</f>
        <v>#VALUE!</v>
      </c>
    </row>
    <row r="1068">
      <c r="A1068" s="11" t="s">
        <v>32</v>
      </c>
      <c r="B1068" s="12">
        <v>3587.6685</v>
      </c>
      <c r="C1068" s="12">
        <v>0</v>
      </c>
      <c r="D1068" s="13">
        <v>0</v>
      </c>
      <c r="E1068" s="12">
        <v>0</v>
      </c>
      <c r="F1068" s="14">
        <v>0</v>
      </c>
      <c r="G1068" s="13">
        <v>30323.5176</v>
      </c>
      <c r="H1068" s="14">
        <v>108790728.902716</v>
      </c>
      <c r="I1068" s="14" t="e">
        <f>=Round(2451.82570000,0)</f>
        <v>#VALUE!</v>
      </c>
      <c r="J1068" s="14" t="e">
        <f>=Round(0.00000000,0)</f>
        <v>#VALUE!</v>
      </c>
    </row>
    <row r="1069">
      <c r="A1069" s="11" t="s">
        <v>33</v>
      </c>
      <c r="B1069" s="12">
        <v>3588.3573</v>
      </c>
      <c r="C1069" s="12">
        <v>0</v>
      </c>
      <c r="D1069" s="13">
        <v>0</v>
      </c>
      <c r="E1069" s="12">
        <v>0</v>
      </c>
      <c r="F1069" s="14">
        <v>0</v>
      </c>
      <c r="G1069" s="13">
        <v>30323.5176</v>
      </c>
      <c r="H1069" s="14">
        <v>108811615.741638</v>
      </c>
      <c r="I1069" s="14" t="e">
        <f>=Round(2452.25000000,0)</f>
        <v>#VALUE!</v>
      </c>
      <c r="J1069" s="14" t="e">
        <f>=Round(0.00000000,0)</f>
        <v>#VALUE!</v>
      </c>
    </row>
    <row r="1070">
      <c r="A1070" s="11" t="s">
        <v>34</v>
      </c>
      <c r="B1070" s="12">
        <v>3589.0109</v>
      </c>
      <c r="C1070" s="12">
        <v>0</v>
      </c>
      <c r="D1070" s="13">
        <v>0</v>
      </c>
      <c r="E1070" s="12">
        <v>0</v>
      </c>
      <c r="F1070" s="14">
        <v>0</v>
      </c>
      <c r="G1070" s="13">
        <v>30323.5176</v>
      </c>
      <c r="H1070" s="14">
        <v>108831435.192742</v>
      </c>
      <c r="I1070" s="14" t="e">
        <f>=Round(2452.72080000,0)</f>
        <v>#VALUE!</v>
      </c>
      <c r="J1070" s="14" t="e">
        <f>=Round(0.00000000,0)</f>
        <v>#VALUE!</v>
      </c>
    </row>
    <row r="1071">
      <c r="A1071" s="11" t="s">
        <v>35</v>
      </c>
      <c r="B1071" s="12">
        <v>3589.0109</v>
      </c>
      <c r="C1071" s="12">
        <v>0</v>
      </c>
      <c r="D1071" s="13">
        <v>0</v>
      </c>
      <c r="E1071" s="12">
        <v>0</v>
      </c>
      <c r="F1071" s="14">
        <v>0</v>
      </c>
      <c r="G1071" s="13">
        <v>30323.5176</v>
      </c>
      <c r="H1071" s="14">
        <v>108831435.192742</v>
      </c>
      <c r="I1071" s="14" t="e">
        <f>=Round(2453.16760000,0)</f>
        <v>#VALUE!</v>
      </c>
      <c r="J1071" s="14" t="e">
        <f>=Round(0.00000000,0)</f>
        <v>#VALUE!</v>
      </c>
    </row>
    <row r="1072">
      <c r="A1072" s="11" t="s">
        <v>36</v>
      </c>
      <c r="B1072" s="12">
        <v>3589.0109</v>
      </c>
      <c r="C1072" s="12">
        <v>0</v>
      </c>
      <c r="D1072" s="13">
        <v>0</v>
      </c>
      <c r="E1072" s="12">
        <v>0</v>
      </c>
      <c r="F1072" s="14">
        <v>0</v>
      </c>
      <c r="G1072" s="13">
        <v>30323.5176</v>
      </c>
      <c r="H1072" s="14">
        <v>108831435.192742</v>
      </c>
      <c r="I1072" s="14" t="e">
        <f>=Round(2453.16760000,0)</f>
        <v>#VALUE!</v>
      </c>
      <c r="J1072" s="14" t="e">
        <f>=Round(0.00000000,0)</f>
        <v>#VALUE!</v>
      </c>
    </row>
    <row r="1073">
      <c r="A1073" s="11" t="s">
        <v>37</v>
      </c>
      <c r="B1073" s="12">
        <v>3590.972</v>
      </c>
      <c r="C1073" s="12">
        <v>0</v>
      </c>
      <c r="D1073" s="13">
        <v>0</v>
      </c>
      <c r="E1073" s="12">
        <v>0</v>
      </c>
      <c r="F1073" s="14">
        <v>0</v>
      </c>
      <c r="G1073" s="13">
        <v>30323.5176</v>
      </c>
      <c r="H1073" s="14">
        <v>108890902.643107</v>
      </c>
      <c r="I1073" s="14" t="e">
        <f>=Round(2453.16760000,0)</f>
        <v>#VALUE!</v>
      </c>
      <c r="J1073" s="14" t="e">
        <f>=Round(0.00000000,0)</f>
        <v>#VALUE!</v>
      </c>
    </row>
    <row r="1074">
      <c r="A1074" s="11" t="s">
        <v>38</v>
      </c>
      <c r="B1074" s="12">
        <v>3591.6235</v>
      </c>
      <c r="C1074" s="12">
        <v>0</v>
      </c>
      <c r="D1074" s="13">
        <v>0</v>
      </c>
      <c r="E1074" s="12">
        <v>0</v>
      </c>
      <c r="F1074" s="14">
        <v>0</v>
      </c>
      <c r="G1074" s="13">
        <v>30323.5176</v>
      </c>
      <c r="H1074" s="14">
        <v>108910658.414824</v>
      </c>
      <c r="I1074" s="14" t="e">
        <f>=Round(2454.50810000,0)</f>
        <v>#VALUE!</v>
      </c>
      <c r="J1074" s="14" t="e">
        <f>=Round(0.00000000,0)</f>
        <v>#VALUE!</v>
      </c>
    </row>
    <row r="1075">
      <c r="A1075" s="11" t="s">
        <v>39</v>
      </c>
      <c r="B1075" s="12">
        <v>3592.281</v>
      </c>
      <c r="C1075" s="12">
        <v>0</v>
      </c>
      <c r="D1075" s="13">
        <v>0</v>
      </c>
      <c r="E1075" s="12">
        <v>0</v>
      </c>
      <c r="F1075" s="14">
        <v>0</v>
      </c>
      <c r="G1075" s="13">
        <v>30323.5176</v>
      </c>
      <c r="H1075" s="14">
        <v>108930596.127646</v>
      </c>
      <c r="I1075" s="14" t="e">
        <f>=Round(2454.95340000,0)</f>
        <v>#VALUE!</v>
      </c>
      <c r="J1075" s="14" t="e">
        <f>=Round(0.00000000,0)</f>
        <v>#VALUE!</v>
      </c>
    </row>
    <row r="1076">
      <c r="A1076" s="11" t="s">
        <v>40</v>
      </c>
      <c r="B1076" s="12">
        <v>3592.9125</v>
      </c>
      <c r="C1076" s="12">
        <v>0</v>
      </c>
      <c r="D1076" s="13">
        <v>0</v>
      </c>
      <c r="E1076" s="12">
        <v>0</v>
      </c>
      <c r="F1076" s="14">
        <v>0</v>
      </c>
      <c r="G1076" s="13">
        <v>30323.5176</v>
      </c>
      <c r="H1076" s="14">
        <v>108949745.42901</v>
      </c>
      <c r="I1076" s="14" t="e">
        <f>=Round(2455.40280000,0)</f>
        <v>#VALUE!</v>
      </c>
      <c r="J1076" s="14" t="e">
        <f>=Round(0.00000000,0)</f>
        <v>#VALUE!</v>
      </c>
    </row>
    <row r="1077">
      <c r="A1077" s="11" t="s">
        <v>41</v>
      </c>
      <c r="B1077" s="12">
        <v>3593.5674</v>
      </c>
      <c r="C1077" s="12">
        <v>0</v>
      </c>
      <c r="D1077" s="13">
        <v>0</v>
      </c>
      <c r="E1077" s="12">
        <v>0</v>
      </c>
      <c r="F1077" s="14">
        <v>0</v>
      </c>
      <c r="G1077" s="13">
        <v>30323.5176</v>
      </c>
      <c r="H1077" s="14">
        <v>108969604.300686</v>
      </c>
      <c r="I1077" s="14" t="e">
        <f>=Round(2455.83440000,0)</f>
        <v>#VALUE!</v>
      </c>
      <c r="J1077" s="14" t="e">
        <f>=Round(0.00000000,0)</f>
        <v>#VALUE!</v>
      </c>
    </row>
    <row r="1078">
      <c r="A1078" s="11" t="s">
        <v>42</v>
      </c>
      <c r="B1078" s="12">
        <v>3593.5674</v>
      </c>
      <c r="C1078" s="12">
        <v>0</v>
      </c>
      <c r="D1078" s="13">
        <v>0</v>
      </c>
      <c r="E1078" s="12">
        <v>0</v>
      </c>
      <c r="F1078" s="14">
        <v>0</v>
      </c>
      <c r="G1078" s="13">
        <v>30323.5176</v>
      </c>
      <c r="H1078" s="14">
        <v>108969604.300686</v>
      </c>
      <c r="I1078" s="14" t="e">
        <f>=Round(2456.28210000,0)</f>
        <v>#VALUE!</v>
      </c>
      <c r="J1078" s="14" t="e">
        <f>=Round(0.00000000,0)</f>
        <v>#VALUE!</v>
      </c>
    </row>
    <row r="1079">
      <c r="A1079" s="11" t="s">
        <v>43</v>
      </c>
      <c r="B1079" s="12">
        <v>3593.5674</v>
      </c>
      <c r="C1079" s="12">
        <v>0</v>
      </c>
      <c r="D1079" s="13">
        <v>0</v>
      </c>
      <c r="E1079" s="12">
        <v>0</v>
      </c>
      <c r="F1079" s="14">
        <v>0</v>
      </c>
      <c r="G1079" s="13">
        <v>30323.5176</v>
      </c>
      <c r="H1079" s="14">
        <v>108969604.300686</v>
      </c>
      <c r="I1079" s="14" t="e">
        <f>=Round(2456.28210000,0)</f>
        <v>#VALUE!</v>
      </c>
      <c r="J1079" s="14" t="e">
        <f>=Round(0.00000000,0)</f>
        <v>#VALUE!</v>
      </c>
    </row>
    <row r="1080">
      <c r="A1080" s="11" t="s">
        <v>44</v>
      </c>
      <c r="B1080" s="12">
        <v>3595.5366</v>
      </c>
      <c r="C1080" s="12">
        <v>0</v>
      </c>
      <c r="D1080" s="13">
        <v>0</v>
      </c>
      <c r="E1080" s="12">
        <v>0</v>
      </c>
      <c r="F1080" s="14">
        <v>0</v>
      </c>
      <c r="G1080" s="13">
        <v>30323.5176</v>
      </c>
      <c r="H1080" s="14">
        <v>109029317.371544</v>
      </c>
      <c r="I1080" s="14" t="e">
        <f>=Round(2456.28210000,0)</f>
        <v>#VALUE!</v>
      </c>
      <c r="J1080" s="14" t="e">
        <f>=Round(0.00000000,0)</f>
        <v>#VALUE!</v>
      </c>
    </row>
    <row r="1081">
      <c r="A1081" s="11" t="s">
        <v>45</v>
      </c>
      <c r="B1081" s="12">
        <v>3596.1915</v>
      </c>
      <c r="C1081" s="12">
        <v>0</v>
      </c>
      <c r="D1081" s="13">
        <v>0</v>
      </c>
      <c r="E1081" s="12">
        <v>0</v>
      </c>
      <c r="F1081" s="14">
        <v>0</v>
      </c>
      <c r="G1081" s="13">
        <v>30323.5176</v>
      </c>
      <c r="H1081" s="14">
        <v>109049176.24322</v>
      </c>
      <c r="I1081" s="14" t="e">
        <f>=Round(2457.62810000,0)</f>
        <v>#VALUE!</v>
      </c>
      <c r="J1081" s="14" t="e">
        <f>=Round(0.00000000,0)</f>
        <v>#VALUE!</v>
      </c>
    </row>
    <row r="1082">
      <c r="A1082" s="11" t="s">
        <v>46</v>
      </c>
      <c r="B1082" s="12">
        <v>3596.8461</v>
      </c>
      <c r="C1082" s="12">
        <v>0</v>
      </c>
      <c r="D1082" s="13">
        <v>0</v>
      </c>
      <c r="E1082" s="12">
        <v>0</v>
      </c>
      <c r="F1082" s="14">
        <v>0</v>
      </c>
      <c r="G1082" s="13">
        <v>30323.5176</v>
      </c>
      <c r="H1082" s="14">
        <v>109069026.017841</v>
      </c>
      <c r="I1082" s="14" t="e">
        <f>=Round(2458.07570000,0)</f>
        <v>#VALUE!</v>
      </c>
      <c r="J1082" s="14" t="e">
        <f>=Round(0.00000000,0)</f>
        <v>#VALUE!</v>
      </c>
    </row>
    <row r="1083">
      <c r="A1083" s="11" t="s">
        <v>47</v>
      </c>
      <c r="B1083" s="12">
        <v>3597.4992</v>
      </c>
      <c r="C1083" s="12">
        <v>0</v>
      </c>
      <c r="D1083" s="13">
        <v>0</v>
      </c>
      <c r="E1083" s="12">
        <v>0</v>
      </c>
      <c r="F1083" s="14">
        <v>0</v>
      </c>
      <c r="G1083" s="13">
        <v>30323.5176</v>
      </c>
      <c r="H1083" s="14">
        <v>109088830.307186</v>
      </c>
      <c r="I1083" s="14" t="e">
        <f>=Round(2458.52310000,0)</f>
        <v>#VALUE!</v>
      </c>
      <c r="J1083" s="14" t="e">
        <f>=Round(0.00000000,0)</f>
        <v>#VALUE!</v>
      </c>
    </row>
    <row r="1084">
      <c r="A1084" s="11" t="s">
        <v>48</v>
      </c>
      <c r="B1084" s="12">
        <v>3598.1558</v>
      </c>
      <c r="C1084" s="12">
        <v>0</v>
      </c>
      <c r="D1084" s="13">
        <v>0</v>
      </c>
      <c r="E1084" s="12">
        <v>0</v>
      </c>
      <c r="F1084" s="14">
        <v>0</v>
      </c>
      <c r="G1084" s="13">
        <v>30323.5176</v>
      </c>
      <c r="H1084" s="14">
        <v>109108740.728842</v>
      </c>
      <c r="I1084" s="14" t="e">
        <f>=Round(2458.96950000,0)</f>
        <v>#VALUE!</v>
      </c>
      <c r="J1084" s="14" t="e">
        <f>=Round(0.00000000,0)</f>
        <v>#VALUE!</v>
      </c>
    </row>
    <row r="1085">
      <c r="A1085" s="11" t="s">
        <v>49</v>
      </c>
      <c r="B1085" s="12">
        <v>3598.1558</v>
      </c>
      <c r="C1085" s="12">
        <v>0</v>
      </c>
      <c r="D1085" s="13">
        <v>0</v>
      </c>
      <c r="E1085" s="12">
        <v>0</v>
      </c>
      <c r="F1085" s="14">
        <v>0</v>
      </c>
      <c r="G1085" s="13">
        <v>30323.5176</v>
      </c>
      <c r="H1085" s="14">
        <v>109108740.728842</v>
      </c>
      <c r="I1085" s="14" t="e">
        <f>=Round(2459.41830000,0)</f>
        <v>#VALUE!</v>
      </c>
      <c r="J1085" s="14" t="e">
        <f>=Round(0.00000000,0)</f>
        <v>#VALUE!</v>
      </c>
    </row>
    <row r="1086">
      <c r="A1086" s="11" t="s">
        <v>50</v>
      </c>
      <c r="B1086" s="12">
        <v>3598.1558</v>
      </c>
      <c r="C1086" s="12">
        <v>0</v>
      </c>
      <c r="D1086" s="13">
        <v>0</v>
      </c>
      <c r="E1086" s="12">
        <v>0</v>
      </c>
      <c r="F1086" s="14">
        <v>0</v>
      </c>
      <c r="G1086" s="13">
        <v>30323.5176</v>
      </c>
      <c r="H1086" s="14">
        <v>109108740.728842</v>
      </c>
      <c r="I1086" s="14" t="e">
        <f>=Round(2459.41830000,0)</f>
        <v>#VALUE!</v>
      </c>
      <c r="J1086" s="14" t="e">
        <f>=Round(0.00000000,0)</f>
        <v>#VALUE!</v>
      </c>
    </row>
    <row r="1087">
      <c r="A1087" s="11" t="s">
        <v>51</v>
      </c>
      <c r="B1087" s="12">
        <v>3600.124</v>
      </c>
      <c r="C1087" s="12">
        <v>0</v>
      </c>
      <c r="D1087" s="13">
        <v>0</v>
      </c>
      <c r="E1087" s="12">
        <v>0</v>
      </c>
      <c r="F1087" s="14">
        <v>0</v>
      </c>
      <c r="G1087" s="13">
        <v>30323.5176</v>
      </c>
      <c r="H1087" s="14">
        <v>109168423.476182</v>
      </c>
      <c r="I1087" s="14" t="e">
        <f>=Round(2459.41830000,0)</f>
        <v>#VALUE!</v>
      </c>
      <c r="J1087" s="14" t="e">
        <f>=Round(0.00000000,0)</f>
        <v>#VALUE!</v>
      </c>
    </row>
    <row r="1088">
      <c r="A1088" s="11" t="s">
        <v>52</v>
      </c>
      <c r="B1088" s="12">
        <v>3600.7905</v>
      </c>
      <c r="C1088" s="12">
        <v>0</v>
      </c>
      <c r="D1088" s="13">
        <v>0</v>
      </c>
      <c r="E1088" s="12">
        <v>0</v>
      </c>
      <c r="F1088" s="14">
        <v>0</v>
      </c>
      <c r="G1088" s="13">
        <v>30323.5176</v>
      </c>
      <c r="H1088" s="14">
        <v>109188634.100663</v>
      </c>
      <c r="I1088" s="14" t="e">
        <f>=Round(2460.76360000,0)</f>
        <v>#VALUE!</v>
      </c>
      <c r="J1088" s="14" t="e">
        <f>=Round(0.00000000,0)</f>
        <v>#VALUE!</v>
      </c>
    </row>
    <row r="1089">
      <c r="A1089" s="11" t="s">
        <v>53</v>
      </c>
      <c r="B1089" s="12">
        <v>3601.445</v>
      </c>
      <c r="C1089" s="12">
        <v>0</v>
      </c>
      <c r="D1089" s="13">
        <v>0</v>
      </c>
      <c r="E1089" s="12">
        <v>0</v>
      </c>
      <c r="F1089" s="14">
        <v>0</v>
      </c>
      <c r="G1089" s="13">
        <v>30323.5176</v>
      </c>
      <c r="H1089" s="14">
        <v>109208480.842932</v>
      </c>
      <c r="I1089" s="14" t="e">
        <f>=Round(2461.21920000,0)</f>
        <v>#VALUE!</v>
      </c>
      <c r="J1089" s="14" t="e">
        <f>=Round(0.00000000,0)</f>
        <v>#VALUE!</v>
      </c>
    </row>
    <row r="1090">
      <c r="A1090" s="11" t="s">
        <v>54</v>
      </c>
      <c r="B1090" s="12">
        <v>3602.0851</v>
      </c>
      <c r="C1090" s="12">
        <v>0</v>
      </c>
      <c r="D1090" s="13">
        <v>0</v>
      </c>
      <c r="E1090" s="12">
        <v>0</v>
      </c>
      <c r="F1090" s="14">
        <v>0</v>
      </c>
      <c r="G1090" s="13">
        <v>30323.5176</v>
      </c>
      <c r="H1090" s="14">
        <v>109227890.926548</v>
      </c>
      <c r="I1090" s="14" t="e">
        <f>=Round(2461.66660000,0)</f>
        <v>#VALUE!</v>
      </c>
      <c r="J1090" s="14" t="e">
        <f>=Round(0.00000000,0)</f>
        <v>#VALUE!</v>
      </c>
    </row>
    <row r="1091">
      <c r="A1091" s="11" t="s">
        <v>55</v>
      </c>
      <c r="B1091" s="12">
        <v>3602.7417</v>
      </c>
      <c r="C1091" s="12">
        <v>0</v>
      </c>
      <c r="D1091" s="13">
        <v>0</v>
      </c>
      <c r="E1091" s="12">
        <v>0</v>
      </c>
      <c r="F1091" s="14">
        <v>0</v>
      </c>
      <c r="G1091" s="13">
        <v>30323.5176</v>
      </c>
      <c r="H1091" s="14">
        <v>109247801.348204</v>
      </c>
      <c r="I1091" s="14" t="e">
        <f>=Round(2462.10410000,0)</f>
        <v>#VALUE!</v>
      </c>
      <c r="J1091" s="14" t="e">
        <f>=Round(0.00000000,0)</f>
        <v>#VALUE!</v>
      </c>
    </row>
    <row r="1092" ht="-1">
      <c r="A1092" s="15"/>
      <c r="B1092" s="16" t="s">
        <v>56</v>
      </c>
      <c r="C1092" s="15"/>
      <c r="D1092" s="15"/>
      <c r="E1092" s="15"/>
      <c r="F1092" s="15"/>
      <c r="G1092" s="15"/>
      <c r="H1092" s="15"/>
      <c r="I1092" s="17" t="e">
        <f>=Round(SUM(I1066:I1091),0)</f>
        <v>#VALUE!</v>
      </c>
      <c r="J1092" s="17" t="e">
        <f>=Round(SUM(J1066:J1091),0)</f>
        <v>#VALUE!</v>
      </c>
    </row>
    <row r="1093">
      <c r="A1093" s="1" t="s">
        <v>0</v>
      </c>
      <c r="B1093" s="1"/>
      <c r="C1093" s="1"/>
      <c r="D1093" s="1"/>
    </row>
    <row r="1094">
      <c r="A1094" s="0" t="s">
        <v>1</v>
      </c>
      <c r="C1094" s="0" t="s">
        <v>2</v>
      </c>
      <c r="H1094" s="2" t="s">
        <v>3</v>
      </c>
    </row>
    <row r="1095">
      <c r="A1095" s="0" t="s">
        <v>4</v>
      </c>
      <c r="C1095" s="0" t="s">
        <v>84</v>
      </c>
      <c r="H1095" s="3" t="s">
        <v>6</v>
      </c>
    </row>
    <row r="1096">
      <c r="A1096" s="0" t="s">
        <v>7</v>
      </c>
      <c r="C1096" s="4" t="s">
        <v>8</v>
      </c>
      <c r="H1096" s="2" t="s">
        <v>9</v>
      </c>
    </row>
    <row r="1097">
      <c r="A1097" s="0" t="s">
        <v>10</v>
      </c>
      <c r="C1097" s="4" t="s">
        <v>11</v>
      </c>
      <c r="H1097" s="2" t="s">
        <v>12</v>
      </c>
    </row>
    <row r="1098">
      <c r="A1098" s="0" t="s">
        <v>13</v>
      </c>
      <c r="C1098" s="0" t="s">
        <v>14</v>
      </c>
    </row>
    <row r="1099">
      <c r="A1099" s="0" t="s">
        <v>15</v>
      </c>
      <c r="C1099" s="0" t="s">
        <v>16</v>
      </c>
    </row>
    <row r="1100">
      <c r="A1100" s="0" t="s">
        <v>17</v>
      </c>
      <c r="C1100" s="0" t="s">
        <v>18</v>
      </c>
    </row>
    <row r="1103">
      <c r="A1103" s="5" t="s">
        <v>19</v>
      </c>
      <c r="B1103" s="5" t="s">
        <v>20</v>
      </c>
      <c r="C1103" s="7" t="s">
        <v>21</v>
      </c>
      <c r="D1103" s="9"/>
      <c r="E1103" s="7" t="s">
        <v>22</v>
      </c>
      <c r="F1103" s="9"/>
      <c r="G1103" s="5" t="s">
        <v>23</v>
      </c>
      <c r="H1103" s="5" t="s">
        <v>24</v>
      </c>
      <c r="I1103" s="5" t="s">
        <v>25</v>
      </c>
      <c r="J1103" s="5" t="s">
        <v>26</v>
      </c>
    </row>
    <row r="1104">
      <c r="A1104" s="6"/>
      <c r="B1104" s="6"/>
      <c r="C1104" s="8" t="s">
        <v>27</v>
      </c>
      <c r="D1104" s="8" t="s">
        <v>28</v>
      </c>
      <c r="E1104" s="8" t="s">
        <v>27</v>
      </c>
      <c r="F1104" s="8" t="s">
        <v>28</v>
      </c>
      <c r="G1104" s="6"/>
      <c r="H1104" s="6"/>
      <c r="I1104" s="10" t="s">
        <v>29</v>
      </c>
      <c r="J1104" s="6"/>
    </row>
    <row r="1105">
      <c r="A1105" s="11" t="s">
        <v>30</v>
      </c>
      <c r="B1105" s="12">
        <v>3586.4187</v>
      </c>
      <c r="C1105" s="12">
        <v>0</v>
      </c>
      <c r="D1105" s="13">
        <v>0</v>
      </c>
      <c r="E1105" s="12">
        <v>0</v>
      </c>
      <c r="F1105" s="14">
        <v>0</v>
      </c>
      <c r="G1105" s="13">
        <v>433.3871</v>
      </c>
      <c r="H1105" s="14">
        <v>1554307.599779</v>
      </c>
      <c r="I1105" s="14" t="e">
        <f>=Round(35.01640000,0)</f>
        <v>#VALUE!</v>
      </c>
      <c r="J1105" s="14" t="e">
        <f>=Round(0.00000000,0)</f>
        <v>#VALUE!</v>
      </c>
    </row>
    <row r="1106">
      <c r="A1106" s="11" t="s">
        <v>31</v>
      </c>
      <c r="B1106" s="12">
        <v>3587.0477</v>
      </c>
      <c r="C1106" s="12">
        <v>0</v>
      </c>
      <c r="D1106" s="13">
        <v>0</v>
      </c>
      <c r="E1106" s="12">
        <v>0</v>
      </c>
      <c r="F1106" s="14">
        <v>0</v>
      </c>
      <c r="G1106" s="13">
        <v>433.3871</v>
      </c>
      <c r="H1106" s="14">
        <v>1554580.200265</v>
      </c>
      <c r="I1106" s="14" t="e">
        <f>=Round(35.03560000,0)</f>
        <v>#VALUE!</v>
      </c>
      <c r="J1106" s="14" t="e">
        <f>=Round(0.00000000,0)</f>
        <v>#VALUE!</v>
      </c>
    </row>
    <row r="1107">
      <c r="A1107" s="11" t="s">
        <v>32</v>
      </c>
      <c r="B1107" s="12">
        <v>3587.6685</v>
      </c>
      <c r="C1107" s="12">
        <v>0</v>
      </c>
      <c r="D1107" s="13">
        <v>0</v>
      </c>
      <c r="E1107" s="12">
        <v>0</v>
      </c>
      <c r="F1107" s="14">
        <v>0</v>
      </c>
      <c r="G1107" s="13">
        <v>433.3871</v>
      </c>
      <c r="H1107" s="14">
        <v>1554849.246976</v>
      </c>
      <c r="I1107" s="14" t="e">
        <f>=Round(35.04180000,0)</f>
        <v>#VALUE!</v>
      </c>
      <c r="J1107" s="14" t="e">
        <f>=Round(0.00000000,0)</f>
        <v>#VALUE!</v>
      </c>
    </row>
    <row r="1108">
      <c r="A1108" s="11" t="s">
        <v>33</v>
      </c>
      <c r="B1108" s="12">
        <v>3588.3573</v>
      </c>
      <c r="C1108" s="12">
        <v>0</v>
      </c>
      <c r="D1108" s="13">
        <v>0</v>
      </c>
      <c r="E1108" s="12">
        <v>0</v>
      </c>
      <c r="F1108" s="14">
        <v>0</v>
      </c>
      <c r="G1108" s="13">
        <v>433.3871</v>
      </c>
      <c r="H1108" s="14">
        <v>1555147.764011</v>
      </c>
      <c r="I1108" s="14" t="e">
        <f>=Round(35.04780000,0)</f>
        <v>#VALUE!</v>
      </c>
      <c r="J1108" s="14" t="e">
        <f>=Round(0.00000000,0)</f>
        <v>#VALUE!</v>
      </c>
    </row>
    <row r="1109">
      <c r="A1109" s="11" t="s">
        <v>34</v>
      </c>
      <c r="B1109" s="12">
        <v>3589.0109</v>
      </c>
      <c r="C1109" s="12">
        <v>0</v>
      </c>
      <c r="D1109" s="13">
        <v>0</v>
      </c>
      <c r="E1109" s="12">
        <v>0</v>
      </c>
      <c r="F1109" s="14">
        <v>0</v>
      </c>
      <c r="G1109" s="13">
        <v>433.3871</v>
      </c>
      <c r="H1109" s="14">
        <v>1555431.025819</v>
      </c>
      <c r="I1109" s="14" t="e">
        <f>=Round(35.05460000,0)</f>
        <v>#VALUE!</v>
      </c>
      <c r="J1109" s="14" t="e">
        <f>=Round(0.00000000,0)</f>
        <v>#VALUE!</v>
      </c>
    </row>
    <row r="1110">
      <c r="A1110" s="11" t="s">
        <v>35</v>
      </c>
      <c r="B1110" s="12">
        <v>3589.0109</v>
      </c>
      <c r="C1110" s="12">
        <v>0</v>
      </c>
      <c r="D1110" s="13">
        <v>0</v>
      </c>
      <c r="E1110" s="12">
        <v>0</v>
      </c>
      <c r="F1110" s="14">
        <v>0</v>
      </c>
      <c r="G1110" s="13">
        <v>433.3871</v>
      </c>
      <c r="H1110" s="14">
        <v>1555431.025819</v>
      </c>
      <c r="I1110" s="14" t="e">
        <f>=Round(35.06090000,0)</f>
        <v>#VALUE!</v>
      </c>
      <c r="J1110" s="14" t="e">
        <f>=Round(0.00000000,0)</f>
        <v>#VALUE!</v>
      </c>
    </row>
    <row r="1111">
      <c r="A1111" s="11" t="s">
        <v>36</v>
      </c>
      <c r="B1111" s="12">
        <v>3589.0109</v>
      </c>
      <c r="C1111" s="12">
        <v>0</v>
      </c>
      <c r="D1111" s="13">
        <v>0</v>
      </c>
      <c r="E1111" s="12">
        <v>0</v>
      </c>
      <c r="F1111" s="14">
        <v>0</v>
      </c>
      <c r="G1111" s="13">
        <v>433.3871</v>
      </c>
      <c r="H1111" s="14">
        <v>1555431.025819</v>
      </c>
      <c r="I1111" s="14" t="e">
        <f>=Round(35.06090000,0)</f>
        <v>#VALUE!</v>
      </c>
      <c r="J1111" s="14" t="e">
        <f>=Round(0.00000000,0)</f>
        <v>#VALUE!</v>
      </c>
    </row>
    <row r="1112">
      <c r="A1112" s="11" t="s">
        <v>37</v>
      </c>
      <c r="B1112" s="12">
        <v>3590.972</v>
      </c>
      <c r="C1112" s="12">
        <v>0</v>
      </c>
      <c r="D1112" s="13">
        <v>0</v>
      </c>
      <c r="E1112" s="12">
        <v>0</v>
      </c>
      <c r="F1112" s="14">
        <v>0</v>
      </c>
      <c r="G1112" s="13">
        <v>433.3871</v>
      </c>
      <c r="H1112" s="14">
        <v>1556280.941261</v>
      </c>
      <c r="I1112" s="14" t="e">
        <f>=Round(35.06090000,0)</f>
        <v>#VALUE!</v>
      </c>
      <c r="J1112" s="14" t="e">
        <f>=Round(0.00000000,0)</f>
        <v>#VALUE!</v>
      </c>
    </row>
    <row r="1113">
      <c r="A1113" s="11" t="s">
        <v>38</v>
      </c>
      <c r="B1113" s="12">
        <v>3591.6235</v>
      </c>
      <c r="C1113" s="12">
        <v>0</v>
      </c>
      <c r="D1113" s="13">
        <v>0</v>
      </c>
      <c r="E1113" s="12">
        <v>0</v>
      </c>
      <c r="F1113" s="14">
        <v>0</v>
      </c>
      <c r="G1113" s="13">
        <v>433.3871</v>
      </c>
      <c r="H1113" s="14">
        <v>1556563.292957</v>
      </c>
      <c r="I1113" s="14" t="e">
        <f>=Round(35.08010000,0)</f>
        <v>#VALUE!</v>
      </c>
      <c r="J1113" s="14" t="e">
        <f>=Round(0.00000000,0)</f>
        <v>#VALUE!</v>
      </c>
    </row>
    <row r="1114">
      <c r="A1114" s="11" t="s">
        <v>39</v>
      </c>
      <c r="B1114" s="12">
        <v>3592.281</v>
      </c>
      <c r="C1114" s="12">
        <v>0</v>
      </c>
      <c r="D1114" s="13">
        <v>0</v>
      </c>
      <c r="E1114" s="12">
        <v>0</v>
      </c>
      <c r="F1114" s="14">
        <v>0</v>
      </c>
      <c r="G1114" s="13">
        <v>433.3871</v>
      </c>
      <c r="H1114" s="14">
        <v>1556848.244975</v>
      </c>
      <c r="I1114" s="14" t="e">
        <f>=Round(35.08650000,0)</f>
        <v>#VALUE!</v>
      </c>
      <c r="J1114" s="14" t="e">
        <f>=Round(0.00000000,0)</f>
        <v>#VALUE!</v>
      </c>
    </row>
    <row r="1115">
      <c r="A1115" s="11" t="s">
        <v>40</v>
      </c>
      <c r="B1115" s="12">
        <v>3592.9125</v>
      </c>
      <c r="C1115" s="12">
        <v>0</v>
      </c>
      <c r="D1115" s="13">
        <v>0</v>
      </c>
      <c r="E1115" s="12">
        <v>0</v>
      </c>
      <c r="F1115" s="14">
        <v>0</v>
      </c>
      <c r="G1115" s="13">
        <v>433.3871</v>
      </c>
      <c r="H1115" s="14">
        <v>1557121.928929</v>
      </c>
      <c r="I1115" s="14" t="e">
        <f>=Round(35.09290000,0)</f>
        <v>#VALUE!</v>
      </c>
      <c r="J1115" s="14" t="e">
        <f>=Round(0.00000000,0)</f>
        <v>#VALUE!</v>
      </c>
    </row>
    <row r="1116">
      <c r="A1116" s="11" t="s">
        <v>41</v>
      </c>
      <c r="B1116" s="12">
        <v>3593.5674</v>
      </c>
      <c r="C1116" s="12">
        <v>0</v>
      </c>
      <c r="D1116" s="13">
        <v>0</v>
      </c>
      <c r="E1116" s="12">
        <v>0</v>
      </c>
      <c r="F1116" s="14">
        <v>0</v>
      </c>
      <c r="G1116" s="13">
        <v>433.3871</v>
      </c>
      <c r="H1116" s="14">
        <v>1557405.754141</v>
      </c>
      <c r="I1116" s="14" t="e">
        <f>=Round(35.09910000,0)</f>
        <v>#VALUE!</v>
      </c>
      <c r="J1116" s="14" t="e">
        <f>=Round(0.00000000,0)</f>
        <v>#VALUE!</v>
      </c>
    </row>
    <row r="1117">
      <c r="A1117" s="11" t="s">
        <v>42</v>
      </c>
      <c r="B1117" s="12">
        <v>3593.5674</v>
      </c>
      <c r="C1117" s="12">
        <v>0</v>
      </c>
      <c r="D1117" s="13">
        <v>0</v>
      </c>
      <c r="E1117" s="12">
        <v>0</v>
      </c>
      <c r="F1117" s="14">
        <v>0</v>
      </c>
      <c r="G1117" s="13">
        <v>433.3871</v>
      </c>
      <c r="H1117" s="14">
        <v>1557405.754141</v>
      </c>
      <c r="I1117" s="14" t="e">
        <f>=Round(35.10550000,0)</f>
        <v>#VALUE!</v>
      </c>
      <c r="J1117" s="14" t="e">
        <f>=Round(0.00000000,0)</f>
        <v>#VALUE!</v>
      </c>
    </row>
    <row r="1118">
      <c r="A1118" s="11" t="s">
        <v>43</v>
      </c>
      <c r="B1118" s="12">
        <v>3593.5674</v>
      </c>
      <c r="C1118" s="12">
        <v>0</v>
      </c>
      <c r="D1118" s="13">
        <v>0</v>
      </c>
      <c r="E1118" s="12">
        <v>0</v>
      </c>
      <c r="F1118" s="14">
        <v>0</v>
      </c>
      <c r="G1118" s="13">
        <v>433.3871</v>
      </c>
      <c r="H1118" s="14">
        <v>1557405.754141</v>
      </c>
      <c r="I1118" s="14" t="e">
        <f>=Round(35.10550000,0)</f>
        <v>#VALUE!</v>
      </c>
      <c r="J1118" s="14" t="e">
        <f>=Round(0.00000000,0)</f>
        <v>#VALUE!</v>
      </c>
    </row>
    <row r="1119">
      <c r="A1119" s="11" t="s">
        <v>44</v>
      </c>
      <c r="B1119" s="12">
        <v>3595.5366</v>
      </c>
      <c r="C1119" s="12">
        <v>0</v>
      </c>
      <c r="D1119" s="13">
        <v>0</v>
      </c>
      <c r="E1119" s="12">
        <v>0</v>
      </c>
      <c r="F1119" s="14">
        <v>0</v>
      </c>
      <c r="G1119" s="13">
        <v>433.3871</v>
      </c>
      <c r="H1119" s="14">
        <v>1558259.180018</v>
      </c>
      <c r="I1119" s="14" t="e">
        <f>=Round(35.10550000,0)</f>
        <v>#VALUE!</v>
      </c>
      <c r="J1119" s="14" t="e">
        <f>=Round(0.00000000,0)</f>
        <v>#VALUE!</v>
      </c>
    </row>
    <row r="1120">
      <c r="A1120" s="11" t="s">
        <v>45</v>
      </c>
      <c r="B1120" s="12">
        <v>3596.1915</v>
      </c>
      <c r="C1120" s="12">
        <v>0</v>
      </c>
      <c r="D1120" s="13">
        <v>0</v>
      </c>
      <c r="E1120" s="12">
        <v>0</v>
      </c>
      <c r="F1120" s="14">
        <v>0</v>
      </c>
      <c r="G1120" s="13">
        <v>433.3871</v>
      </c>
      <c r="H1120" s="14">
        <v>1558543.00523</v>
      </c>
      <c r="I1120" s="14" t="e">
        <f>=Round(35.12470000,0)</f>
        <v>#VALUE!</v>
      </c>
      <c r="J1120" s="14" t="e">
        <f>=Round(0.00000000,0)</f>
        <v>#VALUE!</v>
      </c>
    </row>
    <row r="1121">
      <c r="A1121" s="11" t="s">
        <v>46</v>
      </c>
      <c r="B1121" s="12">
        <v>3596.8461</v>
      </c>
      <c r="C1121" s="12">
        <v>0</v>
      </c>
      <c r="D1121" s="13">
        <v>0</v>
      </c>
      <c r="E1121" s="12">
        <v>0</v>
      </c>
      <c r="F1121" s="14">
        <v>0</v>
      </c>
      <c r="G1121" s="13">
        <v>433.3871</v>
      </c>
      <c r="H1121" s="14">
        <v>1558826.700425</v>
      </c>
      <c r="I1121" s="14" t="e">
        <f>=Round(35.13110000,0)</f>
        <v>#VALUE!</v>
      </c>
      <c r="J1121" s="14" t="e">
        <f>=Round(0.00000000,0)</f>
        <v>#VALUE!</v>
      </c>
    </row>
    <row r="1122">
      <c r="A1122" s="11" t="s">
        <v>47</v>
      </c>
      <c r="B1122" s="12">
        <v>3597.4992</v>
      </c>
      <c r="C1122" s="12">
        <v>0</v>
      </c>
      <c r="D1122" s="13">
        <v>0</v>
      </c>
      <c r="E1122" s="12">
        <v>0</v>
      </c>
      <c r="F1122" s="14">
        <v>0</v>
      </c>
      <c r="G1122" s="13">
        <v>433.3871</v>
      </c>
      <c r="H1122" s="14">
        <v>1559109.74554</v>
      </c>
      <c r="I1122" s="14" t="e">
        <f>=Round(35.13750000,0)</f>
        <v>#VALUE!</v>
      </c>
      <c r="J1122" s="14" t="e">
        <f>=Round(0.00000000,0)</f>
        <v>#VALUE!</v>
      </c>
    </row>
    <row r="1123">
      <c r="A1123" s="11" t="s">
        <v>48</v>
      </c>
      <c r="B1123" s="12">
        <v>3598.1558</v>
      </c>
      <c r="C1123" s="12">
        <v>0</v>
      </c>
      <c r="D1123" s="13">
        <v>0</v>
      </c>
      <c r="E1123" s="12">
        <v>0</v>
      </c>
      <c r="F1123" s="14">
        <v>0</v>
      </c>
      <c r="G1123" s="13">
        <v>433.3871</v>
      </c>
      <c r="H1123" s="14">
        <v>1559394.30751</v>
      </c>
      <c r="I1123" s="14" t="e">
        <f>=Round(35.14390000,0)</f>
        <v>#VALUE!</v>
      </c>
      <c r="J1123" s="14" t="e">
        <f>=Round(0.00000000,0)</f>
        <v>#VALUE!</v>
      </c>
    </row>
    <row r="1124">
      <c r="A1124" s="11" t="s">
        <v>49</v>
      </c>
      <c r="B1124" s="12">
        <v>3598.1558</v>
      </c>
      <c r="C1124" s="12">
        <v>0</v>
      </c>
      <c r="D1124" s="13">
        <v>0</v>
      </c>
      <c r="E1124" s="12">
        <v>0</v>
      </c>
      <c r="F1124" s="14">
        <v>0</v>
      </c>
      <c r="G1124" s="13">
        <v>433.3871</v>
      </c>
      <c r="H1124" s="14">
        <v>1559394.30751</v>
      </c>
      <c r="I1124" s="14" t="e">
        <f>=Round(35.15030000,0)</f>
        <v>#VALUE!</v>
      </c>
      <c r="J1124" s="14" t="e">
        <f>=Round(0.00000000,0)</f>
        <v>#VALUE!</v>
      </c>
    </row>
    <row r="1125">
      <c r="A1125" s="11" t="s">
        <v>50</v>
      </c>
      <c r="B1125" s="12">
        <v>3598.1558</v>
      </c>
      <c r="C1125" s="12">
        <v>0</v>
      </c>
      <c r="D1125" s="13">
        <v>0</v>
      </c>
      <c r="E1125" s="12">
        <v>0</v>
      </c>
      <c r="F1125" s="14">
        <v>0</v>
      </c>
      <c r="G1125" s="13">
        <v>433.3871</v>
      </c>
      <c r="H1125" s="14">
        <v>1559394.30751</v>
      </c>
      <c r="I1125" s="14" t="e">
        <f>=Round(35.15030000,0)</f>
        <v>#VALUE!</v>
      </c>
      <c r="J1125" s="14" t="e">
        <f>=Round(0.00000000,0)</f>
        <v>#VALUE!</v>
      </c>
    </row>
    <row r="1126">
      <c r="A1126" s="11" t="s">
        <v>51</v>
      </c>
      <c r="B1126" s="12">
        <v>3600.124</v>
      </c>
      <c r="C1126" s="12">
        <v>0</v>
      </c>
      <c r="D1126" s="13">
        <v>0</v>
      </c>
      <c r="E1126" s="12">
        <v>0</v>
      </c>
      <c r="F1126" s="14">
        <v>0</v>
      </c>
      <c r="G1126" s="13">
        <v>433.3871</v>
      </c>
      <c r="H1126" s="14">
        <v>1560247.3</v>
      </c>
      <c r="I1126" s="14" t="e">
        <f>=Round(35.15030000,0)</f>
        <v>#VALUE!</v>
      </c>
      <c r="J1126" s="14" t="e">
        <f>=Round(0.00000000,0)</f>
        <v>#VALUE!</v>
      </c>
    </row>
    <row r="1127">
      <c r="A1127" s="11" t="s">
        <v>52</v>
      </c>
      <c r="B1127" s="12">
        <v>3600.7905</v>
      </c>
      <c r="C1127" s="12">
        <v>0</v>
      </c>
      <c r="D1127" s="13">
        <v>0</v>
      </c>
      <c r="E1127" s="12">
        <v>0</v>
      </c>
      <c r="F1127" s="14">
        <v>0</v>
      </c>
      <c r="G1127" s="13">
        <v>433.3871</v>
      </c>
      <c r="H1127" s="14">
        <v>1560536.152503</v>
      </c>
      <c r="I1127" s="14" t="e">
        <f>=Round(35.16950000,0)</f>
        <v>#VALUE!</v>
      </c>
      <c r="J1127" s="14" t="e">
        <f>=Round(0.00000000,0)</f>
        <v>#VALUE!</v>
      </c>
    </row>
    <row r="1128">
      <c r="A1128" s="11" t="s">
        <v>53</v>
      </c>
      <c r="B1128" s="12">
        <v>3601.445</v>
      </c>
      <c r="C1128" s="12">
        <v>0</v>
      </c>
      <c r="D1128" s="13">
        <v>0</v>
      </c>
      <c r="E1128" s="12">
        <v>0</v>
      </c>
      <c r="F1128" s="14">
        <v>0</v>
      </c>
      <c r="G1128" s="13">
        <v>433.3871</v>
      </c>
      <c r="H1128" s="14">
        <v>1560819.80436</v>
      </c>
      <c r="I1128" s="14" t="e">
        <f>=Round(35.17600000,0)</f>
        <v>#VALUE!</v>
      </c>
      <c r="J1128" s="14" t="e">
        <f>=Round(0.00000000,0)</f>
        <v>#VALUE!</v>
      </c>
    </row>
    <row r="1129">
      <c r="A1129" s="11" t="s">
        <v>54</v>
      </c>
      <c r="B1129" s="12">
        <v>3602.0851</v>
      </c>
      <c r="C1129" s="12">
        <v>0</v>
      </c>
      <c r="D1129" s="13">
        <v>0</v>
      </c>
      <c r="E1129" s="12">
        <v>0</v>
      </c>
      <c r="F1129" s="14">
        <v>0</v>
      </c>
      <c r="G1129" s="13">
        <v>433.3871</v>
      </c>
      <c r="H1129" s="14">
        <v>1561097.215442</v>
      </c>
      <c r="I1129" s="14" t="e">
        <f>=Round(35.18240000,0)</f>
        <v>#VALUE!</v>
      </c>
      <c r="J1129" s="14" t="e">
        <f>=Round(0.00000000,0)</f>
        <v>#VALUE!</v>
      </c>
    </row>
    <row r="1130">
      <c r="A1130" s="11" t="s">
        <v>55</v>
      </c>
      <c r="B1130" s="12">
        <v>3602.7417</v>
      </c>
      <c r="C1130" s="12">
        <v>0</v>
      </c>
      <c r="D1130" s="13">
        <v>0</v>
      </c>
      <c r="E1130" s="12">
        <v>0</v>
      </c>
      <c r="F1130" s="14">
        <v>0</v>
      </c>
      <c r="G1130" s="13">
        <v>433.3871</v>
      </c>
      <c r="H1130" s="14">
        <v>1561381.777412</v>
      </c>
      <c r="I1130" s="14" t="e">
        <f>=Round(35.18870000,0)</f>
        <v>#VALUE!</v>
      </c>
      <c r="J1130" s="14" t="e">
        <f>=Round(0.00000000,0)</f>
        <v>#VALUE!</v>
      </c>
    </row>
    <row r="1131" ht="-1">
      <c r="A1131" s="15"/>
      <c r="B1131" s="16" t="s">
        <v>56</v>
      </c>
      <c r="C1131" s="15"/>
      <c r="D1131" s="15"/>
      <c r="E1131" s="15"/>
      <c r="F1131" s="15"/>
      <c r="G1131" s="15"/>
      <c r="H1131" s="15"/>
      <c r="I1131" s="17" t="e">
        <f>=Round(SUM(I1105:I1130),0)</f>
        <v>#VALUE!</v>
      </c>
      <c r="J1131" s="17" t="e">
        <f>=Round(SUM(J1105:J1130),0)</f>
        <v>#VALUE!</v>
      </c>
    </row>
    <row r="1132">
      <c r="A1132" s="1" t="s">
        <v>0</v>
      </c>
      <c r="B1132" s="1"/>
      <c r="C1132" s="1"/>
      <c r="D1132" s="1"/>
    </row>
    <row r="1133">
      <c r="A1133" s="0" t="s">
        <v>1</v>
      </c>
      <c r="C1133" s="0" t="s">
        <v>2</v>
      </c>
      <c r="H1133" s="2" t="s">
        <v>3</v>
      </c>
    </row>
    <row r="1134">
      <c r="A1134" s="0" t="s">
        <v>4</v>
      </c>
      <c r="C1134" s="0" t="s">
        <v>85</v>
      </c>
      <c r="H1134" s="3" t="s">
        <v>6</v>
      </c>
    </row>
    <row r="1135">
      <c r="A1135" s="0" t="s">
        <v>7</v>
      </c>
      <c r="C1135" s="4" t="s">
        <v>8</v>
      </c>
      <c r="H1135" s="2" t="s">
        <v>9</v>
      </c>
    </row>
    <row r="1136">
      <c r="A1136" s="0" t="s">
        <v>10</v>
      </c>
      <c r="C1136" s="4" t="s">
        <v>11</v>
      </c>
      <c r="H1136" s="2" t="s">
        <v>12</v>
      </c>
    </row>
    <row r="1137">
      <c r="A1137" s="0" t="s">
        <v>13</v>
      </c>
      <c r="C1137" s="0" t="s">
        <v>14</v>
      </c>
    </row>
    <row r="1138">
      <c r="A1138" s="0" t="s">
        <v>15</v>
      </c>
      <c r="C1138" s="0" t="s">
        <v>16</v>
      </c>
    </row>
    <row r="1139">
      <c r="A1139" s="0" t="s">
        <v>17</v>
      </c>
      <c r="C1139" s="0" t="s">
        <v>18</v>
      </c>
    </row>
    <row r="1142">
      <c r="A1142" s="5" t="s">
        <v>19</v>
      </c>
      <c r="B1142" s="5" t="s">
        <v>20</v>
      </c>
      <c r="C1142" s="7" t="s">
        <v>21</v>
      </c>
      <c r="D1142" s="9"/>
      <c r="E1142" s="7" t="s">
        <v>22</v>
      </c>
      <c r="F1142" s="9"/>
      <c r="G1142" s="5" t="s">
        <v>23</v>
      </c>
      <c r="H1142" s="5" t="s">
        <v>24</v>
      </c>
      <c r="I1142" s="5" t="s">
        <v>25</v>
      </c>
      <c r="J1142" s="5" t="s">
        <v>26</v>
      </c>
    </row>
    <row r="1143">
      <c r="A1143" s="6"/>
      <c r="B1143" s="6"/>
      <c r="C1143" s="8" t="s">
        <v>27</v>
      </c>
      <c r="D1143" s="8" t="s">
        <v>28</v>
      </c>
      <c r="E1143" s="8" t="s">
        <v>27</v>
      </c>
      <c r="F1143" s="8" t="s">
        <v>28</v>
      </c>
      <c r="G1143" s="6"/>
      <c r="H1143" s="6"/>
      <c r="I1143" s="10" t="s">
        <v>29</v>
      </c>
      <c r="J1143" s="6"/>
    </row>
    <row r="1144">
      <c r="A1144" s="11" t="s">
        <v>30</v>
      </c>
      <c r="B1144" s="12">
        <v>3586.4187</v>
      </c>
      <c r="C1144" s="12">
        <v>0</v>
      </c>
      <c r="D1144" s="13">
        <v>0</v>
      </c>
      <c r="E1144" s="12">
        <v>0</v>
      </c>
      <c r="F1144" s="14">
        <v>0</v>
      </c>
      <c r="G1144" s="13">
        <v>419.2705</v>
      </c>
      <c r="H1144" s="14">
        <v>1503679.561558</v>
      </c>
      <c r="I1144" s="14" t="e">
        <f>=Round(33.87580000,0)</f>
        <v>#VALUE!</v>
      </c>
      <c r="J1144" s="14" t="e">
        <f>=Round(0.00000000,0)</f>
        <v>#VALUE!</v>
      </c>
    </row>
    <row r="1145">
      <c r="A1145" s="11" t="s">
        <v>31</v>
      </c>
      <c r="B1145" s="12">
        <v>3587.0477</v>
      </c>
      <c r="C1145" s="12">
        <v>0</v>
      </c>
      <c r="D1145" s="13">
        <v>0</v>
      </c>
      <c r="E1145" s="12">
        <v>0</v>
      </c>
      <c r="F1145" s="14">
        <v>0</v>
      </c>
      <c r="G1145" s="13">
        <v>419.2705</v>
      </c>
      <c r="H1145" s="14">
        <v>1503943.282703</v>
      </c>
      <c r="I1145" s="14" t="e">
        <f>=Round(33.89440000,0)</f>
        <v>#VALUE!</v>
      </c>
      <c r="J1145" s="14" t="e">
        <f>=Round(0.00000000,0)</f>
        <v>#VALUE!</v>
      </c>
    </row>
    <row r="1146">
      <c r="A1146" s="11" t="s">
        <v>32</v>
      </c>
      <c r="B1146" s="12">
        <v>3587.6685</v>
      </c>
      <c r="C1146" s="12">
        <v>0</v>
      </c>
      <c r="D1146" s="13">
        <v>0</v>
      </c>
      <c r="E1146" s="12">
        <v>0</v>
      </c>
      <c r="F1146" s="14">
        <v>0</v>
      </c>
      <c r="G1146" s="13">
        <v>419.2705</v>
      </c>
      <c r="H1146" s="14">
        <v>1504203.565829</v>
      </c>
      <c r="I1146" s="14" t="e">
        <f>=Round(33.90040000,0)</f>
        <v>#VALUE!</v>
      </c>
      <c r="J1146" s="14" t="e">
        <f>=Round(0.00000000,0)</f>
        <v>#VALUE!</v>
      </c>
    </row>
    <row r="1147">
      <c r="A1147" s="11" t="s">
        <v>33</v>
      </c>
      <c r="B1147" s="12">
        <v>3588.3573</v>
      </c>
      <c r="C1147" s="12">
        <v>0</v>
      </c>
      <c r="D1147" s="13">
        <v>0</v>
      </c>
      <c r="E1147" s="12">
        <v>0</v>
      </c>
      <c r="F1147" s="14">
        <v>0</v>
      </c>
      <c r="G1147" s="13">
        <v>419.2705</v>
      </c>
      <c r="H1147" s="14">
        <v>1504492.35935</v>
      </c>
      <c r="I1147" s="14" t="e">
        <f>=Round(33.90620000,0)</f>
        <v>#VALUE!</v>
      </c>
      <c r="J1147" s="14" t="e">
        <f>=Round(0.00000000,0)</f>
        <v>#VALUE!</v>
      </c>
    </row>
    <row r="1148">
      <c r="A1148" s="11" t="s">
        <v>34</v>
      </c>
      <c r="B1148" s="12">
        <v>3589.0109</v>
      </c>
      <c r="C1148" s="12">
        <v>0</v>
      </c>
      <c r="D1148" s="13">
        <v>0</v>
      </c>
      <c r="E1148" s="12">
        <v>0</v>
      </c>
      <c r="F1148" s="14">
        <v>0</v>
      </c>
      <c r="G1148" s="13">
        <v>419.2705</v>
      </c>
      <c r="H1148" s="14">
        <v>1504766.394548</v>
      </c>
      <c r="I1148" s="14" t="e">
        <f>=Round(33.91270000,0)</f>
        <v>#VALUE!</v>
      </c>
      <c r="J1148" s="14" t="e">
        <f>=Round(0.00000000,0)</f>
        <v>#VALUE!</v>
      </c>
    </row>
    <row r="1149">
      <c r="A1149" s="11" t="s">
        <v>35</v>
      </c>
      <c r="B1149" s="12">
        <v>3589.0109</v>
      </c>
      <c r="C1149" s="12">
        <v>0</v>
      </c>
      <c r="D1149" s="13">
        <v>0</v>
      </c>
      <c r="E1149" s="12">
        <v>0</v>
      </c>
      <c r="F1149" s="14">
        <v>0</v>
      </c>
      <c r="G1149" s="13">
        <v>419.2705</v>
      </c>
      <c r="H1149" s="14">
        <v>1504766.394548</v>
      </c>
      <c r="I1149" s="14" t="e">
        <f>=Round(33.91890000,0)</f>
        <v>#VALUE!</v>
      </c>
      <c r="J1149" s="14" t="e">
        <f>=Round(0.00000000,0)</f>
        <v>#VALUE!</v>
      </c>
    </row>
    <row r="1150">
      <c r="A1150" s="11" t="s">
        <v>36</v>
      </c>
      <c r="B1150" s="12">
        <v>3589.0109</v>
      </c>
      <c r="C1150" s="12">
        <v>0</v>
      </c>
      <c r="D1150" s="13">
        <v>0</v>
      </c>
      <c r="E1150" s="12">
        <v>0</v>
      </c>
      <c r="F1150" s="14">
        <v>0</v>
      </c>
      <c r="G1150" s="13">
        <v>419.2705</v>
      </c>
      <c r="H1150" s="14">
        <v>1504766.394548</v>
      </c>
      <c r="I1150" s="14" t="e">
        <f>=Round(33.91890000,0)</f>
        <v>#VALUE!</v>
      </c>
      <c r="J1150" s="14" t="e">
        <f>=Round(0.00000000,0)</f>
        <v>#VALUE!</v>
      </c>
    </row>
    <row r="1151">
      <c r="A1151" s="11" t="s">
        <v>37</v>
      </c>
      <c r="B1151" s="12">
        <v>3590.972</v>
      </c>
      <c r="C1151" s="12">
        <v>0</v>
      </c>
      <c r="D1151" s="13">
        <v>0</v>
      </c>
      <c r="E1151" s="12">
        <v>0</v>
      </c>
      <c r="F1151" s="14">
        <v>0</v>
      </c>
      <c r="G1151" s="13">
        <v>419.2705</v>
      </c>
      <c r="H1151" s="14">
        <v>1505588.625926</v>
      </c>
      <c r="I1151" s="14" t="e">
        <f>=Round(33.91890000,0)</f>
        <v>#VALUE!</v>
      </c>
      <c r="J1151" s="14" t="e">
        <f>=Round(0.00000000,0)</f>
        <v>#VALUE!</v>
      </c>
    </row>
    <row r="1152">
      <c r="A1152" s="11" t="s">
        <v>38</v>
      </c>
      <c r="B1152" s="12">
        <v>3591.6235</v>
      </c>
      <c r="C1152" s="12">
        <v>0</v>
      </c>
      <c r="D1152" s="13">
        <v>0</v>
      </c>
      <c r="E1152" s="12">
        <v>0</v>
      </c>
      <c r="F1152" s="14">
        <v>0</v>
      </c>
      <c r="G1152" s="13">
        <v>419.2705</v>
      </c>
      <c r="H1152" s="14">
        <v>1505861.780657</v>
      </c>
      <c r="I1152" s="14" t="e">
        <f>=Round(33.93740000,0)</f>
        <v>#VALUE!</v>
      </c>
      <c r="J1152" s="14" t="e">
        <f>=Round(0.00000000,0)</f>
        <v>#VALUE!</v>
      </c>
    </row>
    <row r="1153">
      <c r="A1153" s="11" t="s">
        <v>39</v>
      </c>
      <c r="B1153" s="12">
        <v>3592.281</v>
      </c>
      <c r="C1153" s="12">
        <v>0</v>
      </c>
      <c r="D1153" s="13">
        <v>0</v>
      </c>
      <c r="E1153" s="12">
        <v>0</v>
      </c>
      <c r="F1153" s="14">
        <v>0</v>
      </c>
      <c r="G1153" s="13">
        <v>419.2705</v>
      </c>
      <c r="H1153" s="14">
        <v>1506137.451011</v>
      </c>
      <c r="I1153" s="14" t="e">
        <f>=Round(33.94360000,0)</f>
        <v>#VALUE!</v>
      </c>
      <c r="J1153" s="14" t="e">
        <f>=Round(0.00000000,0)</f>
        <v>#VALUE!</v>
      </c>
    </row>
    <row r="1154">
      <c r="A1154" s="11" t="s">
        <v>40</v>
      </c>
      <c r="B1154" s="12">
        <v>3592.9125</v>
      </c>
      <c r="C1154" s="12">
        <v>0</v>
      </c>
      <c r="D1154" s="13">
        <v>0</v>
      </c>
      <c r="E1154" s="12">
        <v>0</v>
      </c>
      <c r="F1154" s="14">
        <v>0</v>
      </c>
      <c r="G1154" s="13">
        <v>419.2705</v>
      </c>
      <c r="H1154" s="14">
        <v>1506402.220331</v>
      </c>
      <c r="I1154" s="14" t="e">
        <f>=Round(33.94980000,0)</f>
        <v>#VALUE!</v>
      </c>
      <c r="J1154" s="14" t="e">
        <f>=Round(0.00000000,0)</f>
        <v>#VALUE!</v>
      </c>
    </row>
    <row r="1155">
      <c r="A1155" s="11" t="s">
        <v>41</v>
      </c>
      <c r="B1155" s="12">
        <v>3593.5674</v>
      </c>
      <c r="C1155" s="12">
        <v>0</v>
      </c>
      <c r="D1155" s="13">
        <v>0</v>
      </c>
      <c r="E1155" s="12">
        <v>0</v>
      </c>
      <c r="F1155" s="14">
        <v>0</v>
      </c>
      <c r="G1155" s="13">
        <v>419.2705</v>
      </c>
      <c r="H1155" s="14">
        <v>1506676.800582</v>
      </c>
      <c r="I1155" s="14" t="e">
        <f>=Round(33.95580000,0)</f>
        <v>#VALUE!</v>
      </c>
      <c r="J1155" s="14" t="e">
        <f>=Round(0.00000000,0)</f>
        <v>#VALUE!</v>
      </c>
    </row>
    <row r="1156">
      <c r="A1156" s="11" t="s">
        <v>42</v>
      </c>
      <c r="B1156" s="12">
        <v>3593.5674</v>
      </c>
      <c r="C1156" s="12">
        <v>0</v>
      </c>
      <c r="D1156" s="13">
        <v>0</v>
      </c>
      <c r="E1156" s="12">
        <v>0</v>
      </c>
      <c r="F1156" s="14">
        <v>0</v>
      </c>
      <c r="G1156" s="13">
        <v>419.2705</v>
      </c>
      <c r="H1156" s="14">
        <v>1506676.800582</v>
      </c>
      <c r="I1156" s="14" t="e">
        <f>=Round(33.96200000,0)</f>
        <v>#VALUE!</v>
      </c>
      <c r="J1156" s="14" t="e">
        <f>=Round(0.00000000,0)</f>
        <v>#VALUE!</v>
      </c>
    </row>
    <row r="1157">
      <c r="A1157" s="11" t="s">
        <v>43</v>
      </c>
      <c r="B1157" s="12">
        <v>3593.5674</v>
      </c>
      <c r="C1157" s="12">
        <v>0</v>
      </c>
      <c r="D1157" s="13">
        <v>0</v>
      </c>
      <c r="E1157" s="12">
        <v>0</v>
      </c>
      <c r="F1157" s="14">
        <v>0</v>
      </c>
      <c r="G1157" s="13">
        <v>419.2705</v>
      </c>
      <c r="H1157" s="14">
        <v>1506676.800582</v>
      </c>
      <c r="I1157" s="14" t="e">
        <f>=Round(33.96200000,0)</f>
        <v>#VALUE!</v>
      </c>
      <c r="J1157" s="14" t="e">
        <f>=Round(0.00000000,0)</f>
        <v>#VALUE!</v>
      </c>
    </row>
    <row r="1158">
      <c r="A1158" s="11" t="s">
        <v>44</v>
      </c>
      <c r="B1158" s="12">
        <v>3595.5366</v>
      </c>
      <c r="C1158" s="12">
        <v>0</v>
      </c>
      <c r="D1158" s="13">
        <v>0</v>
      </c>
      <c r="E1158" s="12">
        <v>0</v>
      </c>
      <c r="F1158" s="14">
        <v>0</v>
      </c>
      <c r="G1158" s="13">
        <v>419.2705</v>
      </c>
      <c r="H1158" s="14">
        <v>1507502.42805</v>
      </c>
      <c r="I1158" s="14" t="e">
        <f>=Round(33.96200000,0)</f>
        <v>#VALUE!</v>
      </c>
      <c r="J1158" s="14" t="e">
        <f>=Round(0.00000000,0)</f>
        <v>#VALUE!</v>
      </c>
    </row>
    <row r="1159">
      <c r="A1159" s="11" t="s">
        <v>45</v>
      </c>
      <c r="B1159" s="12">
        <v>3596.1915</v>
      </c>
      <c r="C1159" s="12">
        <v>0</v>
      </c>
      <c r="D1159" s="13">
        <v>0</v>
      </c>
      <c r="E1159" s="12">
        <v>0</v>
      </c>
      <c r="F1159" s="14">
        <v>0</v>
      </c>
      <c r="G1159" s="13">
        <v>419.2705</v>
      </c>
      <c r="H1159" s="14">
        <v>1507777.008301</v>
      </c>
      <c r="I1159" s="14" t="e">
        <f>=Round(33.98060000,0)</f>
        <v>#VALUE!</v>
      </c>
      <c r="J1159" s="14" t="e">
        <f>=Round(0.00000000,0)</f>
        <v>#VALUE!</v>
      </c>
    </row>
    <row r="1160">
      <c r="A1160" s="11" t="s">
        <v>46</v>
      </c>
      <c r="B1160" s="12">
        <v>3596.8461</v>
      </c>
      <c r="C1160" s="12">
        <v>0</v>
      </c>
      <c r="D1160" s="13">
        <v>0</v>
      </c>
      <c r="E1160" s="12">
        <v>0</v>
      </c>
      <c r="F1160" s="14">
        <v>0</v>
      </c>
      <c r="G1160" s="13">
        <v>419.2705</v>
      </c>
      <c r="H1160" s="14">
        <v>1508051.46277</v>
      </c>
      <c r="I1160" s="14" t="e">
        <f>=Round(33.98680000,0)</f>
        <v>#VALUE!</v>
      </c>
      <c r="J1160" s="14" t="e">
        <f>=Round(0.00000000,0)</f>
        <v>#VALUE!</v>
      </c>
    </row>
    <row r="1161">
      <c r="A1161" s="11" t="s">
        <v>47</v>
      </c>
      <c r="B1161" s="12">
        <v>3597.4992</v>
      </c>
      <c r="C1161" s="12">
        <v>0</v>
      </c>
      <c r="D1161" s="13">
        <v>0</v>
      </c>
      <c r="E1161" s="12">
        <v>0</v>
      </c>
      <c r="F1161" s="14">
        <v>0</v>
      </c>
      <c r="G1161" s="13">
        <v>419.2705</v>
      </c>
      <c r="H1161" s="14">
        <v>1508325.288334</v>
      </c>
      <c r="I1161" s="14" t="e">
        <f>=Round(33.99300000,0)</f>
        <v>#VALUE!</v>
      </c>
      <c r="J1161" s="14" t="e">
        <f>=Round(0.00000000,0)</f>
        <v>#VALUE!</v>
      </c>
    </row>
    <row r="1162">
      <c r="A1162" s="11" t="s">
        <v>48</v>
      </c>
      <c r="B1162" s="12">
        <v>3598.1558</v>
      </c>
      <c r="C1162" s="12">
        <v>0</v>
      </c>
      <c r="D1162" s="13">
        <v>0</v>
      </c>
      <c r="E1162" s="12">
        <v>0</v>
      </c>
      <c r="F1162" s="14">
        <v>0</v>
      </c>
      <c r="G1162" s="13">
        <v>419.2705</v>
      </c>
      <c r="H1162" s="14">
        <v>1508600.581344</v>
      </c>
      <c r="I1162" s="14" t="e">
        <f>=Round(33.99910000,0)</f>
        <v>#VALUE!</v>
      </c>
      <c r="J1162" s="14" t="e">
        <f>=Round(0.00000000,0)</f>
        <v>#VALUE!</v>
      </c>
    </row>
    <row r="1163">
      <c r="A1163" s="11" t="s">
        <v>49</v>
      </c>
      <c r="B1163" s="12">
        <v>3598.1558</v>
      </c>
      <c r="C1163" s="12">
        <v>0</v>
      </c>
      <c r="D1163" s="13">
        <v>0</v>
      </c>
      <c r="E1163" s="12">
        <v>0</v>
      </c>
      <c r="F1163" s="14">
        <v>0</v>
      </c>
      <c r="G1163" s="13">
        <v>419.2705</v>
      </c>
      <c r="H1163" s="14">
        <v>1508600.581344</v>
      </c>
      <c r="I1163" s="14" t="e">
        <f>=Round(34.00530000,0)</f>
        <v>#VALUE!</v>
      </c>
      <c r="J1163" s="14" t="e">
        <f>=Round(0.00000000,0)</f>
        <v>#VALUE!</v>
      </c>
    </row>
    <row r="1164">
      <c r="A1164" s="11" t="s">
        <v>50</v>
      </c>
      <c r="B1164" s="12">
        <v>3598.1558</v>
      </c>
      <c r="C1164" s="12">
        <v>0</v>
      </c>
      <c r="D1164" s="13">
        <v>0</v>
      </c>
      <c r="E1164" s="12">
        <v>0</v>
      </c>
      <c r="F1164" s="14">
        <v>0</v>
      </c>
      <c r="G1164" s="13">
        <v>419.2705</v>
      </c>
      <c r="H1164" s="14">
        <v>1508600.581344</v>
      </c>
      <c r="I1164" s="14" t="e">
        <f>=Round(34.00530000,0)</f>
        <v>#VALUE!</v>
      </c>
      <c r="J1164" s="14" t="e">
        <f>=Round(0.00000000,0)</f>
        <v>#VALUE!</v>
      </c>
    </row>
    <row r="1165">
      <c r="A1165" s="11" t="s">
        <v>51</v>
      </c>
      <c r="B1165" s="12">
        <v>3600.124</v>
      </c>
      <c r="C1165" s="12">
        <v>0</v>
      </c>
      <c r="D1165" s="13">
        <v>0</v>
      </c>
      <c r="E1165" s="12">
        <v>0</v>
      </c>
      <c r="F1165" s="14">
        <v>0</v>
      </c>
      <c r="G1165" s="13">
        <v>419.2705</v>
      </c>
      <c r="H1165" s="14">
        <v>1509425.789542</v>
      </c>
      <c r="I1165" s="14" t="e">
        <f>=Round(34.00530000,0)</f>
        <v>#VALUE!</v>
      </c>
      <c r="J1165" s="14" t="e">
        <f>=Round(0.00000000,0)</f>
        <v>#VALUE!</v>
      </c>
    </row>
    <row r="1166">
      <c r="A1166" s="11" t="s">
        <v>52</v>
      </c>
      <c r="B1166" s="12">
        <v>3600.7905</v>
      </c>
      <c r="C1166" s="12">
        <v>0</v>
      </c>
      <c r="D1166" s="13">
        <v>0</v>
      </c>
      <c r="E1166" s="12">
        <v>0</v>
      </c>
      <c r="F1166" s="14">
        <v>0</v>
      </c>
      <c r="G1166" s="13">
        <v>419.2705</v>
      </c>
      <c r="H1166" s="14">
        <v>1509705.23333</v>
      </c>
      <c r="I1166" s="14" t="e">
        <f>=Round(34.02390000,0)</f>
        <v>#VALUE!</v>
      </c>
      <c r="J1166" s="14" t="e">
        <f>=Round(0.00000000,0)</f>
        <v>#VALUE!</v>
      </c>
    </row>
    <row r="1167">
      <c r="A1167" s="11" t="s">
        <v>53</v>
      </c>
      <c r="B1167" s="12">
        <v>3601.445</v>
      </c>
      <c r="C1167" s="12">
        <v>0</v>
      </c>
      <c r="D1167" s="13">
        <v>0</v>
      </c>
      <c r="E1167" s="12">
        <v>0</v>
      </c>
      <c r="F1167" s="14">
        <v>0</v>
      </c>
      <c r="G1167" s="13">
        <v>419.2705</v>
      </c>
      <c r="H1167" s="14">
        <v>1509979.645873</v>
      </c>
      <c r="I1167" s="14" t="e">
        <f>=Round(34.03020000,0)</f>
        <v>#VALUE!</v>
      </c>
      <c r="J1167" s="14" t="e">
        <f>=Round(0.00000000,0)</f>
        <v>#VALUE!</v>
      </c>
    </row>
    <row r="1168">
      <c r="A1168" s="11" t="s">
        <v>54</v>
      </c>
      <c r="B1168" s="12">
        <v>3602.0851</v>
      </c>
      <c r="C1168" s="12">
        <v>0</v>
      </c>
      <c r="D1168" s="13">
        <v>0</v>
      </c>
      <c r="E1168" s="12">
        <v>0</v>
      </c>
      <c r="F1168" s="14">
        <v>0</v>
      </c>
      <c r="G1168" s="13">
        <v>419.2705</v>
      </c>
      <c r="H1168" s="14">
        <v>1510248.02092</v>
      </c>
      <c r="I1168" s="14" t="e">
        <f>=Round(34.03640000,0)</f>
        <v>#VALUE!</v>
      </c>
      <c r="J1168" s="14" t="e">
        <f>=Round(0.00000000,0)</f>
        <v>#VALUE!</v>
      </c>
    </row>
    <row r="1169">
      <c r="A1169" s="11" t="s">
        <v>55</v>
      </c>
      <c r="B1169" s="12">
        <v>3602.7417</v>
      </c>
      <c r="C1169" s="12">
        <v>0</v>
      </c>
      <c r="D1169" s="13">
        <v>0</v>
      </c>
      <c r="E1169" s="12">
        <v>0</v>
      </c>
      <c r="F1169" s="14">
        <v>0</v>
      </c>
      <c r="G1169" s="13">
        <v>419.2705</v>
      </c>
      <c r="H1169" s="14">
        <v>1510523.31393</v>
      </c>
      <c r="I1169" s="14" t="e">
        <f>=Round(34.04250000,0)</f>
        <v>#VALUE!</v>
      </c>
      <c r="J1169" s="14" t="e">
        <f>=Round(0.00000000,0)</f>
        <v>#VALUE!</v>
      </c>
    </row>
    <row r="1170" ht="-1">
      <c r="A1170" s="15"/>
      <c r="B1170" s="16" t="s">
        <v>56</v>
      </c>
      <c r="C1170" s="15"/>
      <c r="D1170" s="15"/>
      <c r="E1170" s="15"/>
      <c r="F1170" s="15"/>
      <c r="G1170" s="15"/>
      <c r="H1170" s="15"/>
      <c r="I1170" s="17" t="e">
        <f>=Round(SUM(I1144:I1169),0)</f>
        <v>#VALUE!</v>
      </c>
      <c r="J1170" s="17" t="e">
        <f>=Round(SUM(J1144:J1169),0)</f>
        <v>#VALUE!</v>
      </c>
    </row>
    <row r="1171">
      <c r="A1171" s="1" t="s">
        <v>0</v>
      </c>
      <c r="B1171" s="1"/>
      <c r="C1171" s="1"/>
      <c r="D1171" s="1"/>
    </row>
    <row r="1172">
      <c r="A1172" s="0" t="s">
        <v>1</v>
      </c>
      <c r="C1172" s="0" t="s">
        <v>2</v>
      </c>
      <c r="H1172" s="2" t="s">
        <v>3</v>
      </c>
    </row>
    <row r="1173">
      <c r="A1173" s="0" t="s">
        <v>4</v>
      </c>
      <c r="C1173" s="0" t="s">
        <v>86</v>
      </c>
      <c r="H1173" s="3" t="s">
        <v>6</v>
      </c>
    </row>
    <row r="1174">
      <c r="A1174" s="0" t="s">
        <v>7</v>
      </c>
      <c r="C1174" s="4" t="s">
        <v>8</v>
      </c>
      <c r="H1174" s="2" t="s">
        <v>9</v>
      </c>
    </row>
    <row r="1175">
      <c r="A1175" s="0" t="s">
        <v>10</v>
      </c>
      <c r="C1175" s="4" t="s">
        <v>11</v>
      </c>
      <c r="H1175" s="2" t="s">
        <v>12</v>
      </c>
    </row>
    <row r="1176">
      <c r="A1176" s="0" t="s">
        <v>13</v>
      </c>
      <c r="C1176" s="0" t="s">
        <v>14</v>
      </c>
    </row>
    <row r="1177">
      <c r="A1177" s="0" t="s">
        <v>15</v>
      </c>
      <c r="C1177" s="0" t="s">
        <v>16</v>
      </c>
    </row>
    <row r="1178">
      <c r="A1178" s="0" t="s">
        <v>17</v>
      </c>
      <c r="C1178" s="0" t="s">
        <v>18</v>
      </c>
    </row>
    <row r="1181">
      <c r="A1181" s="5" t="s">
        <v>19</v>
      </c>
      <c r="B1181" s="5" t="s">
        <v>20</v>
      </c>
      <c r="C1181" s="7" t="s">
        <v>21</v>
      </c>
      <c r="D1181" s="9"/>
      <c r="E1181" s="7" t="s">
        <v>22</v>
      </c>
      <c r="F1181" s="9"/>
      <c r="G1181" s="5" t="s">
        <v>23</v>
      </c>
      <c r="H1181" s="5" t="s">
        <v>24</v>
      </c>
      <c r="I1181" s="5" t="s">
        <v>25</v>
      </c>
      <c r="J1181" s="5" t="s">
        <v>26</v>
      </c>
    </row>
    <row r="1182">
      <c r="A1182" s="6"/>
      <c r="B1182" s="6"/>
      <c r="C1182" s="8" t="s">
        <v>27</v>
      </c>
      <c r="D1182" s="8" t="s">
        <v>28</v>
      </c>
      <c r="E1182" s="8" t="s">
        <v>27</v>
      </c>
      <c r="F1182" s="8" t="s">
        <v>28</v>
      </c>
      <c r="G1182" s="6"/>
      <c r="H1182" s="6"/>
      <c r="I1182" s="10" t="s">
        <v>29</v>
      </c>
      <c r="J1182" s="6"/>
    </row>
    <row r="1183">
      <c r="A1183" s="11" t="s">
        <v>30</v>
      </c>
      <c r="B1183" s="12">
        <v>3586.4187</v>
      </c>
      <c r="C1183" s="12">
        <v>0</v>
      </c>
      <c r="D1183" s="13">
        <v>0</v>
      </c>
      <c r="E1183" s="12">
        <v>0</v>
      </c>
      <c r="F1183" s="14">
        <v>0</v>
      </c>
      <c r="G1183" s="13">
        <v>238.2769</v>
      </c>
      <c r="H1183" s="14">
        <v>854560.729938</v>
      </c>
      <c r="I1183" s="14" t="e">
        <f>=Round(19.25200000,0)</f>
        <v>#VALUE!</v>
      </c>
      <c r="J1183" s="14" t="e">
        <f>=Round(0.00000000,0)</f>
        <v>#VALUE!</v>
      </c>
    </row>
    <row r="1184">
      <c r="A1184" s="11" t="s">
        <v>31</v>
      </c>
      <c r="B1184" s="12">
        <v>3587.0477</v>
      </c>
      <c r="C1184" s="12">
        <v>0</v>
      </c>
      <c r="D1184" s="13">
        <v>0</v>
      </c>
      <c r="E1184" s="12">
        <v>0</v>
      </c>
      <c r="F1184" s="14">
        <v>0</v>
      </c>
      <c r="G1184" s="13">
        <v>238.2769</v>
      </c>
      <c r="H1184" s="14">
        <v>854710.606108</v>
      </c>
      <c r="I1184" s="14" t="e">
        <f>=Round(19.26260000,0)</f>
        <v>#VALUE!</v>
      </c>
      <c r="J1184" s="14" t="e">
        <f>=Round(0.00000000,0)</f>
        <v>#VALUE!</v>
      </c>
    </row>
    <row r="1185">
      <c r="A1185" s="11" t="s">
        <v>32</v>
      </c>
      <c r="B1185" s="12">
        <v>3587.6685</v>
      </c>
      <c r="C1185" s="12">
        <v>0</v>
      </c>
      <c r="D1185" s="13">
        <v>0</v>
      </c>
      <c r="E1185" s="12">
        <v>0</v>
      </c>
      <c r="F1185" s="14">
        <v>0</v>
      </c>
      <c r="G1185" s="13">
        <v>238.2769</v>
      </c>
      <c r="H1185" s="14">
        <v>854858.528408</v>
      </c>
      <c r="I1185" s="14" t="e">
        <f>=Round(19.26600000,0)</f>
        <v>#VALUE!</v>
      </c>
      <c r="J1185" s="14" t="e">
        <f>=Round(0.00000000,0)</f>
        <v>#VALUE!</v>
      </c>
    </row>
    <row r="1186">
      <c r="A1186" s="11" t="s">
        <v>33</v>
      </c>
      <c r="B1186" s="12">
        <v>3588.3573</v>
      </c>
      <c r="C1186" s="12">
        <v>0</v>
      </c>
      <c r="D1186" s="13">
        <v>0</v>
      </c>
      <c r="E1186" s="12">
        <v>0</v>
      </c>
      <c r="F1186" s="14">
        <v>0</v>
      </c>
      <c r="G1186" s="13">
        <v>238.2769</v>
      </c>
      <c r="H1186" s="14">
        <v>855022.653536</v>
      </c>
      <c r="I1186" s="14" t="e">
        <f>=Round(19.26940000,0)</f>
        <v>#VALUE!</v>
      </c>
      <c r="J1186" s="14" t="e">
        <f>=Round(0.00000000,0)</f>
        <v>#VALUE!</v>
      </c>
    </row>
    <row r="1187">
      <c r="A1187" s="11" t="s">
        <v>34</v>
      </c>
      <c r="B1187" s="12">
        <v>3589.0109</v>
      </c>
      <c r="C1187" s="12">
        <v>0</v>
      </c>
      <c r="D1187" s="13">
        <v>0</v>
      </c>
      <c r="E1187" s="12">
        <v>0</v>
      </c>
      <c r="F1187" s="14">
        <v>0</v>
      </c>
      <c r="G1187" s="13">
        <v>238.2769</v>
      </c>
      <c r="H1187" s="14">
        <v>855178.391318</v>
      </c>
      <c r="I1187" s="14" t="e">
        <f>=Round(19.27310000,0)</f>
        <v>#VALUE!</v>
      </c>
      <c r="J1187" s="14" t="e">
        <f>=Round(0.00000000,0)</f>
        <v>#VALUE!</v>
      </c>
    </row>
    <row r="1188">
      <c r="A1188" s="11" t="s">
        <v>35</v>
      </c>
      <c r="B1188" s="12">
        <v>3589.0109</v>
      </c>
      <c r="C1188" s="12">
        <v>0</v>
      </c>
      <c r="D1188" s="13">
        <v>0</v>
      </c>
      <c r="E1188" s="12">
        <v>0</v>
      </c>
      <c r="F1188" s="14">
        <v>0</v>
      </c>
      <c r="G1188" s="13">
        <v>238.2769</v>
      </c>
      <c r="H1188" s="14">
        <v>855178.391318</v>
      </c>
      <c r="I1188" s="14" t="e">
        <f>=Round(19.27660000,0)</f>
        <v>#VALUE!</v>
      </c>
      <c r="J1188" s="14" t="e">
        <f>=Round(0.00000000,0)</f>
        <v>#VALUE!</v>
      </c>
    </row>
    <row r="1189">
      <c r="A1189" s="11" t="s">
        <v>36</v>
      </c>
      <c r="B1189" s="12">
        <v>3589.0109</v>
      </c>
      <c r="C1189" s="12">
        <v>0</v>
      </c>
      <c r="D1189" s="13">
        <v>0</v>
      </c>
      <c r="E1189" s="12">
        <v>0</v>
      </c>
      <c r="F1189" s="14">
        <v>0</v>
      </c>
      <c r="G1189" s="13">
        <v>238.2769</v>
      </c>
      <c r="H1189" s="14">
        <v>855178.391318</v>
      </c>
      <c r="I1189" s="14" t="e">
        <f>=Round(19.27660000,0)</f>
        <v>#VALUE!</v>
      </c>
      <c r="J1189" s="14" t="e">
        <f>=Round(0.00000000,0)</f>
        <v>#VALUE!</v>
      </c>
    </row>
    <row r="1190">
      <c r="A1190" s="11" t="s">
        <v>37</v>
      </c>
      <c r="B1190" s="12">
        <v>3590.972</v>
      </c>
      <c r="C1190" s="12">
        <v>0</v>
      </c>
      <c r="D1190" s="13">
        <v>0</v>
      </c>
      <c r="E1190" s="12">
        <v>0</v>
      </c>
      <c r="F1190" s="14">
        <v>0</v>
      </c>
      <c r="G1190" s="13">
        <v>238.2769</v>
      </c>
      <c r="H1190" s="14">
        <v>855645.676147</v>
      </c>
      <c r="I1190" s="14" t="e">
        <f>=Round(19.27660000,0)</f>
        <v>#VALUE!</v>
      </c>
      <c r="J1190" s="14" t="e">
        <f>=Round(0.00000000,0)</f>
        <v>#VALUE!</v>
      </c>
    </row>
    <row r="1191">
      <c r="A1191" s="11" t="s">
        <v>38</v>
      </c>
      <c r="B1191" s="12">
        <v>3591.6235</v>
      </c>
      <c r="C1191" s="12">
        <v>0</v>
      </c>
      <c r="D1191" s="13">
        <v>0</v>
      </c>
      <c r="E1191" s="12">
        <v>0</v>
      </c>
      <c r="F1191" s="14">
        <v>0</v>
      </c>
      <c r="G1191" s="13">
        <v>238.2769</v>
      </c>
      <c r="H1191" s="14">
        <v>855800.913547</v>
      </c>
      <c r="I1191" s="14" t="e">
        <f>=Round(19.28710000,0)</f>
        <v>#VALUE!</v>
      </c>
      <c r="J1191" s="14" t="e">
        <f>=Round(0.00000000,0)</f>
        <v>#VALUE!</v>
      </c>
    </row>
    <row r="1192">
      <c r="A1192" s="11" t="s">
        <v>39</v>
      </c>
      <c r="B1192" s="12">
        <v>3592.281</v>
      </c>
      <c r="C1192" s="12">
        <v>0</v>
      </c>
      <c r="D1192" s="13">
        <v>0</v>
      </c>
      <c r="E1192" s="12">
        <v>0</v>
      </c>
      <c r="F1192" s="14">
        <v>0</v>
      </c>
      <c r="G1192" s="13">
        <v>238.2769</v>
      </c>
      <c r="H1192" s="14">
        <v>855957.580609</v>
      </c>
      <c r="I1192" s="14" t="e">
        <f>=Round(19.29060000,0)</f>
        <v>#VALUE!</v>
      </c>
      <c r="J1192" s="14" t="e">
        <f>=Round(0.00000000,0)</f>
        <v>#VALUE!</v>
      </c>
    </row>
    <row r="1193">
      <c r="A1193" s="11" t="s">
        <v>40</v>
      </c>
      <c r="B1193" s="12">
        <v>3592.9125</v>
      </c>
      <c r="C1193" s="12">
        <v>0</v>
      </c>
      <c r="D1193" s="13">
        <v>0</v>
      </c>
      <c r="E1193" s="12">
        <v>0</v>
      </c>
      <c r="F1193" s="14">
        <v>0</v>
      </c>
      <c r="G1193" s="13">
        <v>238.2769</v>
      </c>
      <c r="H1193" s="14">
        <v>856108.052471</v>
      </c>
      <c r="I1193" s="14" t="e">
        <f>=Round(19.29410000,0)</f>
        <v>#VALUE!</v>
      </c>
      <c r="J1193" s="14" t="e">
        <f>=Round(0.00000000,0)</f>
        <v>#VALUE!</v>
      </c>
    </row>
    <row r="1194">
      <c r="A1194" s="11" t="s">
        <v>41</v>
      </c>
      <c r="B1194" s="12">
        <v>3593.5674</v>
      </c>
      <c r="C1194" s="12">
        <v>0</v>
      </c>
      <c r="D1194" s="13">
        <v>0</v>
      </c>
      <c r="E1194" s="12">
        <v>0</v>
      </c>
      <c r="F1194" s="14">
        <v>0</v>
      </c>
      <c r="G1194" s="13">
        <v>238.2769</v>
      </c>
      <c r="H1194" s="14">
        <v>856264.100013</v>
      </c>
      <c r="I1194" s="14" t="e">
        <f>=Round(19.29750000,0)</f>
        <v>#VALUE!</v>
      </c>
      <c r="J1194" s="14" t="e">
        <f>=Round(0.00000000,0)</f>
        <v>#VALUE!</v>
      </c>
    </row>
    <row r="1195">
      <c r="A1195" s="11" t="s">
        <v>42</v>
      </c>
      <c r="B1195" s="12">
        <v>3593.5674</v>
      </c>
      <c r="C1195" s="12">
        <v>0</v>
      </c>
      <c r="D1195" s="13">
        <v>0</v>
      </c>
      <c r="E1195" s="12">
        <v>0</v>
      </c>
      <c r="F1195" s="14">
        <v>0</v>
      </c>
      <c r="G1195" s="13">
        <v>238.2769</v>
      </c>
      <c r="H1195" s="14">
        <v>856264.100013</v>
      </c>
      <c r="I1195" s="14" t="e">
        <f>=Round(19.30100000,0)</f>
        <v>#VALUE!</v>
      </c>
      <c r="J1195" s="14" t="e">
        <f>=Round(0.00000000,0)</f>
        <v>#VALUE!</v>
      </c>
    </row>
    <row r="1196">
      <c r="A1196" s="11" t="s">
        <v>43</v>
      </c>
      <c r="B1196" s="12">
        <v>3593.5674</v>
      </c>
      <c r="C1196" s="12">
        <v>0</v>
      </c>
      <c r="D1196" s="13">
        <v>0</v>
      </c>
      <c r="E1196" s="12">
        <v>0</v>
      </c>
      <c r="F1196" s="14">
        <v>0</v>
      </c>
      <c r="G1196" s="13">
        <v>238.2769</v>
      </c>
      <c r="H1196" s="14">
        <v>856264.100013</v>
      </c>
      <c r="I1196" s="14" t="e">
        <f>=Round(19.30100000,0)</f>
        <v>#VALUE!</v>
      </c>
      <c r="J1196" s="14" t="e">
        <f>=Round(0.00000000,0)</f>
        <v>#VALUE!</v>
      </c>
    </row>
    <row r="1197">
      <c r="A1197" s="11" t="s">
        <v>44</v>
      </c>
      <c r="B1197" s="12">
        <v>3595.5366</v>
      </c>
      <c r="C1197" s="12">
        <v>0</v>
      </c>
      <c r="D1197" s="13">
        <v>0</v>
      </c>
      <c r="E1197" s="12">
        <v>0</v>
      </c>
      <c r="F1197" s="14">
        <v>0</v>
      </c>
      <c r="G1197" s="13">
        <v>238.2769</v>
      </c>
      <c r="H1197" s="14">
        <v>856733.314885</v>
      </c>
      <c r="I1197" s="14" t="e">
        <f>=Round(19.30100000,0)</f>
        <v>#VALUE!</v>
      </c>
      <c r="J1197" s="14" t="e">
        <f>=Round(0.00000000,0)</f>
        <v>#VALUE!</v>
      </c>
    </row>
    <row r="1198">
      <c r="A1198" s="11" t="s">
        <v>45</v>
      </c>
      <c r="B1198" s="12">
        <v>3596.1915</v>
      </c>
      <c r="C1198" s="12">
        <v>0</v>
      </c>
      <c r="D1198" s="13">
        <v>0</v>
      </c>
      <c r="E1198" s="12">
        <v>0</v>
      </c>
      <c r="F1198" s="14">
        <v>0</v>
      </c>
      <c r="G1198" s="13">
        <v>238.2769</v>
      </c>
      <c r="H1198" s="14">
        <v>856889.362426</v>
      </c>
      <c r="I1198" s="14" t="e">
        <f>=Round(19.31160000,0)</f>
        <v>#VALUE!</v>
      </c>
      <c r="J1198" s="14" t="e">
        <f>=Round(0.00000000,0)</f>
        <v>#VALUE!</v>
      </c>
    </row>
    <row r="1199">
      <c r="A1199" s="11" t="s">
        <v>46</v>
      </c>
      <c r="B1199" s="12">
        <v>3596.8461</v>
      </c>
      <c r="C1199" s="12">
        <v>0</v>
      </c>
      <c r="D1199" s="13">
        <v>0</v>
      </c>
      <c r="E1199" s="12">
        <v>0</v>
      </c>
      <c r="F1199" s="14">
        <v>0</v>
      </c>
      <c r="G1199" s="13">
        <v>238.2769</v>
      </c>
      <c r="H1199" s="14">
        <v>857045.338485</v>
      </c>
      <c r="I1199" s="14" t="e">
        <f>=Round(19.31510000,0)</f>
        <v>#VALUE!</v>
      </c>
      <c r="J1199" s="14" t="e">
        <f>=Round(0.00000000,0)</f>
        <v>#VALUE!</v>
      </c>
    </row>
    <row r="1200">
      <c r="A1200" s="11" t="s">
        <v>47</v>
      </c>
      <c r="B1200" s="12">
        <v>3597.4992</v>
      </c>
      <c r="C1200" s="12">
        <v>0</v>
      </c>
      <c r="D1200" s="13">
        <v>0</v>
      </c>
      <c r="E1200" s="12">
        <v>0</v>
      </c>
      <c r="F1200" s="14">
        <v>0</v>
      </c>
      <c r="G1200" s="13">
        <v>238.2769</v>
      </c>
      <c r="H1200" s="14">
        <v>857200.957128</v>
      </c>
      <c r="I1200" s="14" t="e">
        <f>=Round(19.31860000,0)</f>
        <v>#VALUE!</v>
      </c>
      <c r="J1200" s="14" t="e">
        <f>=Round(0.00000000,0)</f>
        <v>#VALUE!</v>
      </c>
    </row>
    <row r="1201">
      <c r="A1201" s="11" t="s">
        <v>48</v>
      </c>
      <c r="B1201" s="12">
        <v>3598.1558</v>
      </c>
      <c r="C1201" s="12">
        <v>0</v>
      </c>
      <c r="D1201" s="13">
        <v>0</v>
      </c>
      <c r="E1201" s="12">
        <v>0</v>
      </c>
      <c r="F1201" s="14">
        <v>0</v>
      </c>
      <c r="G1201" s="13">
        <v>238.2769</v>
      </c>
      <c r="H1201" s="14">
        <v>857357.409741</v>
      </c>
      <c r="I1201" s="14" t="e">
        <f>=Round(19.32220000,0)</f>
        <v>#VALUE!</v>
      </c>
      <c r="J1201" s="14" t="e">
        <f>=Round(0.00000000,0)</f>
        <v>#VALUE!</v>
      </c>
    </row>
    <row r="1202">
      <c r="A1202" s="11" t="s">
        <v>49</v>
      </c>
      <c r="B1202" s="12">
        <v>3598.1558</v>
      </c>
      <c r="C1202" s="12">
        <v>0</v>
      </c>
      <c r="D1202" s="13">
        <v>0</v>
      </c>
      <c r="E1202" s="12">
        <v>0</v>
      </c>
      <c r="F1202" s="14">
        <v>0</v>
      </c>
      <c r="G1202" s="13">
        <v>238.2769</v>
      </c>
      <c r="H1202" s="14">
        <v>857357.409741</v>
      </c>
      <c r="I1202" s="14" t="e">
        <f>=Round(19.32570000,0)</f>
        <v>#VALUE!</v>
      </c>
      <c r="J1202" s="14" t="e">
        <f>=Round(0.00000000,0)</f>
        <v>#VALUE!</v>
      </c>
    </row>
    <row r="1203">
      <c r="A1203" s="11" t="s">
        <v>50</v>
      </c>
      <c r="B1203" s="12">
        <v>3598.1558</v>
      </c>
      <c r="C1203" s="12">
        <v>0</v>
      </c>
      <c r="D1203" s="13">
        <v>0</v>
      </c>
      <c r="E1203" s="12">
        <v>0</v>
      </c>
      <c r="F1203" s="14">
        <v>0</v>
      </c>
      <c r="G1203" s="13">
        <v>238.2769</v>
      </c>
      <c r="H1203" s="14">
        <v>857357.409741</v>
      </c>
      <c r="I1203" s="14" t="e">
        <f>=Round(19.32570000,0)</f>
        <v>#VALUE!</v>
      </c>
      <c r="J1203" s="14" t="e">
        <f>=Round(0.00000000,0)</f>
        <v>#VALUE!</v>
      </c>
    </row>
    <row r="1204">
      <c r="A1204" s="11" t="s">
        <v>51</v>
      </c>
      <c r="B1204" s="12">
        <v>3600.124</v>
      </c>
      <c r="C1204" s="12">
        <v>0</v>
      </c>
      <c r="D1204" s="13">
        <v>0</v>
      </c>
      <c r="E1204" s="12">
        <v>0</v>
      </c>
      <c r="F1204" s="14">
        <v>0</v>
      </c>
      <c r="G1204" s="13">
        <v>238.2769</v>
      </c>
      <c r="H1204" s="14">
        <v>857826.386336</v>
      </c>
      <c r="I1204" s="14" t="e">
        <f>=Round(19.32570000,0)</f>
        <v>#VALUE!</v>
      </c>
      <c r="J1204" s="14" t="e">
        <f>=Round(0.00000000,0)</f>
        <v>#VALUE!</v>
      </c>
    </row>
    <row r="1205">
      <c r="A1205" s="11" t="s">
        <v>52</v>
      </c>
      <c r="B1205" s="12">
        <v>3600.7905</v>
      </c>
      <c r="C1205" s="12">
        <v>0</v>
      </c>
      <c r="D1205" s="13">
        <v>0</v>
      </c>
      <c r="E1205" s="12">
        <v>0</v>
      </c>
      <c r="F1205" s="14">
        <v>0</v>
      </c>
      <c r="G1205" s="13">
        <v>238.2769</v>
      </c>
      <c r="H1205" s="14">
        <v>857985.197889</v>
      </c>
      <c r="I1205" s="14" t="e">
        <f>=Round(19.33630000,0)</f>
        <v>#VALUE!</v>
      </c>
      <c r="J1205" s="14" t="e">
        <f>=Round(0.00000000,0)</f>
        <v>#VALUE!</v>
      </c>
    </row>
    <row r="1206">
      <c r="A1206" s="11" t="s">
        <v>53</v>
      </c>
      <c r="B1206" s="12">
        <v>3601.445</v>
      </c>
      <c r="C1206" s="12">
        <v>0</v>
      </c>
      <c r="D1206" s="13">
        <v>0</v>
      </c>
      <c r="E1206" s="12">
        <v>0</v>
      </c>
      <c r="F1206" s="14">
        <v>0</v>
      </c>
      <c r="G1206" s="13">
        <v>238.2769</v>
      </c>
      <c r="H1206" s="14">
        <v>858141.150121</v>
      </c>
      <c r="I1206" s="14" t="e">
        <f>=Round(19.33980000,0)</f>
        <v>#VALUE!</v>
      </c>
      <c r="J1206" s="14" t="e">
        <f>=Round(0.00000000,0)</f>
        <v>#VALUE!</v>
      </c>
    </row>
    <row r="1207">
      <c r="A1207" s="11" t="s">
        <v>54</v>
      </c>
      <c r="B1207" s="12">
        <v>3602.0851</v>
      </c>
      <c r="C1207" s="12">
        <v>0</v>
      </c>
      <c r="D1207" s="13">
        <v>0</v>
      </c>
      <c r="E1207" s="12">
        <v>0</v>
      </c>
      <c r="F1207" s="14">
        <v>0</v>
      </c>
      <c r="G1207" s="13">
        <v>238.2769</v>
      </c>
      <c r="H1207" s="14">
        <v>858293.671164</v>
      </c>
      <c r="I1207" s="14" t="e">
        <f>=Round(19.34330000,0)</f>
        <v>#VALUE!</v>
      </c>
      <c r="J1207" s="14" t="e">
        <f>=Round(0.00000000,0)</f>
        <v>#VALUE!</v>
      </c>
    </row>
    <row r="1208">
      <c r="A1208" s="11" t="s">
        <v>55</v>
      </c>
      <c r="B1208" s="12">
        <v>3602.7417</v>
      </c>
      <c r="C1208" s="12">
        <v>0</v>
      </c>
      <c r="D1208" s="13">
        <v>0</v>
      </c>
      <c r="E1208" s="12">
        <v>0</v>
      </c>
      <c r="F1208" s="14">
        <v>0</v>
      </c>
      <c r="G1208" s="13">
        <v>238.2769</v>
      </c>
      <c r="H1208" s="14">
        <v>858450.123777</v>
      </c>
      <c r="I1208" s="14" t="e">
        <f>=Round(19.34680000,0)</f>
        <v>#VALUE!</v>
      </c>
      <c r="J1208" s="14" t="e">
        <f>=Round(0.00000000,0)</f>
        <v>#VALUE!</v>
      </c>
    </row>
    <row r="1209" ht="-1">
      <c r="A1209" s="15"/>
      <c r="B1209" s="16" t="s">
        <v>56</v>
      </c>
      <c r="C1209" s="15"/>
      <c r="D1209" s="15"/>
      <c r="E1209" s="15"/>
      <c r="F1209" s="15"/>
      <c r="G1209" s="15"/>
      <c r="H1209" s="15"/>
      <c r="I1209" s="17" t="e">
        <f>=Round(SUM(I1183:I1208),0)</f>
        <v>#VALUE!</v>
      </c>
      <c r="J1209" s="17" t="e">
        <f>=Round(SUM(J1183:J1208),0)</f>
        <v>#VALUE!</v>
      </c>
    </row>
    <row r="1210">
      <c r="A1210" s="1" t="s">
        <v>0</v>
      </c>
      <c r="B1210" s="1"/>
      <c r="C1210" s="1"/>
      <c r="D1210" s="1"/>
    </row>
    <row r="1211">
      <c r="A1211" s="0" t="s">
        <v>1</v>
      </c>
      <c r="C1211" s="0" t="s">
        <v>2</v>
      </c>
      <c r="H1211" s="2" t="s">
        <v>3</v>
      </c>
    </row>
    <row r="1212">
      <c r="A1212" s="0" t="s">
        <v>4</v>
      </c>
      <c r="C1212" s="0" t="s">
        <v>87</v>
      </c>
      <c r="H1212" s="3" t="s">
        <v>6</v>
      </c>
    </row>
    <row r="1213">
      <c r="A1213" s="0" t="s">
        <v>7</v>
      </c>
      <c r="C1213" s="4" t="s">
        <v>8</v>
      </c>
      <c r="H1213" s="2" t="s">
        <v>9</v>
      </c>
    </row>
    <row r="1214">
      <c r="A1214" s="0" t="s">
        <v>10</v>
      </c>
      <c r="C1214" s="4" t="s">
        <v>11</v>
      </c>
      <c r="H1214" s="2" t="s">
        <v>12</v>
      </c>
    </row>
    <row r="1215">
      <c r="A1215" s="0" t="s">
        <v>13</v>
      </c>
      <c r="C1215" s="0" t="s">
        <v>14</v>
      </c>
    </row>
    <row r="1216">
      <c r="A1216" s="0" t="s">
        <v>15</v>
      </c>
      <c r="C1216" s="0" t="s">
        <v>16</v>
      </c>
    </row>
    <row r="1217">
      <c r="A1217" s="0" t="s">
        <v>17</v>
      </c>
      <c r="C1217" s="0" t="s">
        <v>18</v>
      </c>
    </row>
    <row r="1220">
      <c r="A1220" s="5" t="s">
        <v>19</v>
      </c>
      <c r="B1220" s="5" t="s">
        <v>20</v>
      </c>
      <c r="C1220" s="7" t="s">
        <v>21</v>
      </c>
      <c r="D1220" s="9"/>
      <c r="E1220" s="7" t="s">
        <v>22</v>
      </c>
      <c r="F1220" s="9"/>
      <c r="G1220" s="5" t="s">
        <v>23</v>
      </c>
      <c r="H1220" s="5" t="s">
        <v>24</v>
      </c>
      <c r="I1220" s="5" t="s">
        <v>25</v>
      </c>
      <c r="J1220" s="5" t="s">
        <v>26</v>
      </c>
    </row>
    <row r="1221">
      <c r="A1221" s="6"/>
      <c r="B1221" s="6"/>
      <c r="C1221" s="8" t="s">
        <v>27</v>
      </c>
      <c r="D1221" s="8" t="s">
        <v>28</v>
      </c>
      <c r="E1221" s="8" t="s">
        <v>27</v>
      </c>
      <c r="F1221" s="8" t="s">
        <v>28</v>
      </c>
      <c r="G1221" s="6"/>
      <c r="H1221" s="6"/>
      <c r="I1221" s="10" t="s">
        <v>29</v>
      </c>
      <c r="J1221" s="6"/>
    </row>
    <row r="1222">
      <c r="A1222" s="11" t="s">
        <v>30</v>
      </c>
      <c r="B1222" s="12">
        <v>3586.4187</v>
      </c>
      <c r="C1222" s="12">
        <v>0</v>
      </c>
      <c r="D1222" s="13">
        <v>0</v>
      </c>
      <c r="E1222" s="12">
        <v>0</v>
      </c>
      <c r="F1222" s="14">
        <v>0</v>
      </c>
      <c r="G1222" s="13">
        <v>66.1833</v>
      </c>
      <c r="H1222" s="14">
        <v>237361.024748</v>
      </c>
      <c r="I1222" s="14" t="e">
        <f>=Round(5.34740000,0)</f>
        <v>#VALUE!</v>
      </c>
      <c r="J1222" s="14" t="e">
        <f>=Round(0.00000000,0)</f>
        <v>#VALUE!</v>
      </c>
    </row>
    <row r="1223">
      <c r="A1223" s="11" t="s">
        <v>31</v>
      </c>
      <c r="B1223" s="12">
        <v>3587.0477</v>
      </c>
      <c r="C1223" s="12">
        <v>0</v>
      </c>
      <c r="D1223" s="13">
        <v>0</v>
      </c>
      <c r="E1223" s="12">
        <v>0</v>
      </c>
      <c r="F1223" s="14">
        <v>0</v>
      </c>
      <c r="G1223" s="13">
        <v>66.1833</v>
      </c>
      <c r="H1223" s="14">
        <v>237402.654043</v>
      </c>
      <c r="I1223" s="14" t="e">
        <f>=Round(5.35040000,0)</f>
        <v>#VALUE!</v>
      </c>
      <c r="J1223" s="14" t="e">
        <f>=Round(0.00000000,0)</f>
        <v>#VALUE!</v>
      </c>
    </row>
    <row r="1224">
      <c r="A1224" s="11" t="s">
        <v>32</v>
      </c>
      <c r="B1224" s="12">
        <v>3587.6685</v>
      </c>
      <c r="C1224" s="12">
        <v>0</v>
      </c>
      <c r="D1224" s="13">
        <v>0</v>
      </c>
      <c r="E1224" s="12">
        <v>0</v>
      </c>
      <c r="F1224" s="14">
        <v>0</v>
      </c>
      <c r="G1224" s="13">
        <v>66.1833</v>
      </c>
      <c r="H1224" s="14">
        <v>237443.740636</v>
      </c>
      <c r="I1224" s="14" t="e">
        <f>=Round(5.35130000,0)</f>
        <v>#VALUE!</v>
      </c>
      <c r="J1224" s="14" t="e">
        <f>=Round(0.00000000,0)</f>
        <v>#VALUE!</v>
      </c>
    </row>
    <row r="1225">
      <c r="A1225" s="11" t="s">
        <v>33</v>
      </c>
      <c r="B1225" s="12">
        <v>3588.3573</v>
      </c>
      <c r="C1225" s="12">
        <v>0</v>
      </c>
      <c r="D1225" s="13">
        <v>0</v>
      </c>
      <c r="E1225" s="12">
        <v>0</v>
      </c>
      <c r="F1225" s="14">
        <v>0</v>
      </c>
      <c r="G1225" s="13">
        <v>66.1833</v>
      </c>
      <c r="H1225" s="14">
        <v>237489.327693</v>
      </c>
      <c r="I1225" s="14" t="e">
        <f>=Round(5.35220000,0)</f>
        <v>#VALUE!</v>
      </c>
      <c r="J1225" s="14" t="e">
        <f>=Round(0.00000000,0)</f>
        <v>#VALUE!</v>
      </c>
    </row>
    <row r="1226">
      <c r="A1226" s="11" t="s">
        <v>34</v>
      </c>
      <c r="B1226" s="12">
        <v>3589.0109</v>
      </c>
      <c r="C1226" s="12">
        <v>0</v>
      </c>
      <c r="D1226" s="13">
        <v>0</v>
      </c>
      <c r="E1226" s="12">
        <v>0</v>
      </c>
      <c r="F1226" s="14">
        <v>0</v>
      </c>
      <c r="G1226" s="13">
        <v>66.1833</v>
      </c>
      <c r="H1226" s="14">
        <v>237532.585098</v>
      </c>
      <c r="I1226" s="14" t="e">
        <f>=Round(5.35320000,0)</f>
        <v>#VALUE!</v>
      </c>
      <c r="J1226" s="14" t="e">
        <f>=Round(0.00000000,0)</f>
        <v>#VALUE!</v>
      </c>
    </row>
    <row r="1227">
      <c r="A1227" s="11" t="s">
        <v>35</v>
      </c>
      <c r="B1227" s="12">
        <v>3589.0109</v>
      </c>
      <c r="C1227" s="12">
        <v>0</v>
      </c>
      <c r="D1227" s="13">
        <v>0</v>
      </c>
      <c r="E1227" s="12">
        <v>0</v>
      </c>
      <c r="F1227" s="14">
        <v>0</v>
      </c>
      <c r="G1227" s="13">
        <v>66.1833</v>
      </c>
      <c r="H1227" s="14">
        <v>237532.585098</v>
      </c>
      <c r="I1227" s="14" t="e">
        <f>=Round(5.35420000,0)</f>
        <v>#VALUE!</v>
      </c>
      <c r="J1227" s="14" t="e">
        <f>=Round(0.00000000,0)</f>
        <v>#VALUE!</v>
      </c>
    </row>
    <row r="1228">
      <c r="A1228" s="11" t="s">
        <v>36</v>
      </c>
      <c r="B1228" s="12">
        <v>3589.0109</v>
      </c>
      <c r="C1228" s="12">
        <v>0</v>
      </c>
      <c r="D1228" s="13">
        <v>0</v>
      </c>
      <c r="E1228" s="12">
        <v>0</v>
      </c>
      <c r="F1228" s="14">
        <v>0</v>
      </c>
      <c r="G1228" s="13">
        <v>66.1833</v>
      </c>
      <c r="H1228" s="14">
        <v>237532.585098</v>
      </c>
      <c r="I1228" s="14" t="e">
        <f>=Round(5.35420000,0)</f>
        <v>#VALUE!</v>
      </c>
      <c r="J1228" s="14" t="e">
        <f>=Round(0.00000000,0)</f>
        <v>#VALUE!</v>
      </c>
    </row>
    <row r="1229">
      <c r="A1229" s="11" t="s">
        <v>37</v>
      </c>
      <c r="B1229" s="12">
        <v>3590.972</v>
      </c>
      <c r="C1229" s="12">
        <v>0</v>
      </c>
      <c r="D1229" s="13">
        <v>0</v>
      </c>
      <c r="E1229" s="12">
        <v>0</v>
      </c>
      <c r="F1229" s="14">
        <v>0</v>
      </c>
      <c r="G1229" s="13">
        <v>66.1833</v>
      </c>
      <c r="H1229" s="14">
        <v>237662.377168</v>
      </c>
      <c r="I1229" s="14" t="e">
        <f>=Round(5.35420000,0)</f>
        <v>#VALUE!</v>
      </c>
      <c r="J1229" s="14" t="e">
        <f>=Round(0.00000000,0)</f>
        <v>#VALUE!</v>
      </c>
    </row>
    <row r="1230">
      <c r="A1230" s="11" t="s">
        <v>38</v>
      </c>
      <c r="B1230" s="12">
        <v>3591.6235</v>
      </c>
      <c r="C1230" s="12">
        <v>0</v>
      </c>
      <c r="D1230" s="13">
        <v>0</v>
      </c>
      <c r="E1230" s="12">
        <v>0</v>
      </c>
      <c r="F1230" s="14">
        <v>0</v>
      </c>
      <c r="G1230" s="13">
        <v>66.1833</v>
      </c>
      <c r="H1230" s="14">
        <v>237705.495588</v>
      </c>
      <c r="I1230" s="14" t="e">
        <f>=Round(5.35710000,0)</f>
        <v>#VALUE!</v>
      </c>
      <c r="J1230" s="14" t="e">
        <f>=Round(0.00000000,0)</f>
        <v>#VALUE!</v>
      </c>
    </row>
    <row r="1231">
      <c r="A1231" s="11" t="s">
        <v>39</v>
      </c>
      <c r="B1231" s="12">
        <v>3592.281</v>
      </c>
      <c r="C1231" s="12">
        <v>0</v>
      </c>
      <c r="D1231" s="13">
        <v>0</v>
      </c>
      <c r="E1231" s="12">
        <v>0</v>
      </c>
      <c r="F1231" s="14">
        <v>0</v>
      </c>
      <c r="G1231" s="13">
        <v>66.1833</v>
      </c>
      <c r="H1231" s="14">
        <v>237749.011107</v>
      </c>
      <c r="I1231" s="14" t="e">
        <f>=Round(5.35810000,0)</f>
        <v>#VALUE!</v>
      </c>
      <c r="J1231" s="14" t="e">
        <f>=Round(0.00000000,0)</f>
        <v>#VALUE!</v>
      </c>
    </row>
    <row r="1232">
      <c r="A1232" s="11" t="s">
        <v>40</v>
      </c>
      <c r="B1232" s="12">
        <v>3592.9125</v>
      </c>
      <c r="C1232" s="12">
        <v>0</v>
      </c>
      <c r="D1232" s="13">
        <v>0</v>
      </c>
      <c r="E1232" s="12">
        <v>0</v>
      </c>
      <c r="F1232" s="14">
        <v>0</v>
      </c>
      <c r="G1232" s="13">
        <v>66.1833</v>
      </c>
      <c r="H1232" s="14">
        <v>237790.805861</v>
      </c>
      <c r="I1232" s="14" t="e">
        <f>=Round(5.35910000,0)</f>
        <v>#VALUE!</v>
      </c>
      <c r="J1232" s="14" t="e">
        <f>=Round(0.00000000,0)</f>
        <v>#VALUE!</v>
      </c>
    </row>
    <row r="1233">
      <c r="A1233" s="11" t="s">
        <v>41</v>
      </c>
      <c r="B1233" s="12">
        <v>3593.5674</v>
      </c>
      <c r="C1233" s="12">
        <v>0</v>
      </c>
      <c r="D1233" s="13">
        <v>0</v>
      </c>
      <c r="E1233" s="12">
        <v>0</v>
      </c>
      <c r="F1233" s="14">
        <v>0</v>
      </c>
      <c r="G1233" s="13">
        <v>66.1833</v>
      </c>
      <c r="H1233" s="14">
        <v>237834.149304</v>
      </c>
      <c r="I1233" s="14" t="e">
        <f>=Round(5.36000000,0)</f>
        <v>#VALUE!</v>
      </c>
      <c r="J1233" s="14" t="e">
        <f>=Round(0.00000000,0)</f>
        <v>#VALUE!</v>
      </c>
    </row>
    <row r="1234">
      <c r="A1234" s="11" t="s">
        <v>42</v>
      </c>
      <c r="B1234" s="12">
        <v>3593.5674</v>
      </c>
      <c r="C1234" s="12">
        <v>0</v>
      </c>
      <c r="D1234" s="13">
        <v>0</v>
      </c>
      <c r="E1234" s="12">
        <v>0</v>
      </c>
      <c r="F1234" s="14">
        <v>0</v>
      </c>
      <c r="G1234" s="13">
        <v>66.1833</v>
      </c>
      <c r="H1234" s="14">
        <v>237834.149304</v>
      </c>
      <c r="I1234" s="14" t="e">
        <f>=Round(5.36100000,0)</f>
        <v>#VALUE!</v>
      </c>
      <c r="J1234" s="14" t="e">
        <f>=Round(0.00000000,0)</f>
        <v>#VALUE!</v>
      </c>
    </row>
    <row r="1235">
      <c r="A1235" s="11" t="s">
        <v>43</v>
      </c>
      <c r="B1235" s="12">
        <v>3593.5674</v>
      </c>
      <c r="C1235" s="12">
        <v>0</v>
      </c>
      <c r="D1235" s="13">
        <v>0</v>
      </c>
      <c r="E1235" s="12">
        <v>0</v>
      </c>
      <c r="F1235" s="14">
        <v>0</v>
      </c>
      <c r="G1235" s="13">
        <v>66.1833</v>
      </c>
      <c r="H1235" s="14">
        <v>237834.149304</v>
      </c>
      <c r="I1235" s="14" t="e">
        <f>=Round(5.36100000,0)</f>
        <v>#VALUE!</v>
      </c>
      <c r="J1235" s="14" t="e">
        <f>=Round(0.00000000,0)</f>
        <v>#VALUE!</v>
      </c>
    </row>
    <row r="1236">
      <c r="A1236" s="11" t="s">
        <v>44</v>
      </c>
      <c r="B1236" s="12">
        <v>3595.5366</v>
      </c>
      <c r="C1236" s="12">
        <v>0</v>
      </c>
      <c r="D1236" s="13">
        <v>0</v>
      </c>
      <c r="E1236" s="12">
        <v>0</v>
      </c>
      <c r="F1236" s="14">
        <v>0</v>
      </c>
      <c r="G1236" s="13">
        <v>66.1833</v>
      </c>
      <c r="H1236" s="14">
        <v>237964.477459</v>
      </c>
      <c r="I1236" s="14" t="e">
        <f>=Round(5.36100000,0)</f>
        <v>#VALUE!</v>
      </c>
      <c r="J1236" s="14" t="e">
        <f>=Round(0.00000000,0)</f>
        <v>#VALUE!</v>
      </c>
    </row>
    <row r="1237">
      <c r="A1237" s="11" t="s">
        <v>45</v>
      </c>
      <c r="B1237" s="12">
        <v>3596.1915</v>
      </c>
      <c r="C1237" s="12">
        <v>0</v>
      </c>
      <c r="D1237" s="13">
        <v>0</v>
      </c>
      <c r="E1237" s="12">
        <v>0</v>
      </c>
      <c r="F1237" s="14">
        <v>0</v>
      </c>
      <c r="G1237" s="13">
        <v>66.1833</v>
      </c>
      <c r="H1237" s="14">
        <v>238007.820902</v>
      </c>
      <c r="I1237" s="14" t="e">
        <f>=Round(5.36400000,0)</f>
        <v>#VALUE!</v>
      </c>
      <c r="J1237" s="14" t="e">
        <f>=Round(0.00000000,0)</f>
        <v>#VALUE!</v>
      </c>
    </row>
    <row r="1238">
      <c r="A1238" s="11" t="s">
        <v>46</v>
      </c>
      <c r="B1238" s="12">
        <v>3596.8461</v>
      </c>
      <c r="C1238" s="12">
        <v>0</v>
      </c>
      <c r="D1238" s="13">
        <v>0</v>
      </c>
      <c r="E1238" s="12">
        <v>0</v>
      </c>
      <c r="F1238" s="14">
        <v>0</v>
      </c>
      <c r="G1238" s="13">
        <v>66.1833</v>
      </c>
      <c r="H1238" s="14">
        <v>238051.14449</v>
      </c>
      <c r="I1238" s="14" t="e">
        <f>=Round(5.36490000,0)</f>
        <v>#VALUE!</v>
      </c>
      <c r="J1238" s="14" t="e">
        <f>=Round(0.00000000,0)</f>
        <v>#VALUE!</v>
      </c>
    </row>
    <row r="1239">
      <c r="A1239" s="11" t="s">
        <v>47</v>
      </c>
      <c r="B1239" s="12">
        <v>3597.4992</v>
      </c>
      <c r="C1239" s="12">
        <v>0</v>
      </c>
      <c r="D1239" s="13">
        <v>0</v>
      </c>
      <c r="E1239" s="12">
        <v>0</v>
      </c>
      <c r="F1239" s="14">
        <v>0</v>
      </c>
      <c r="G1239" s="13">
        <v>66.1833</v>
      </c>
      <c r="H1239" s="14">
        <v>238094.368803</v>
      </c>
      <c r="I1239" s="14" t="e">
        <f>=Round(5.36590000,0)</f>
        <v>#VALUE!</v>
      </c>
      <c r="J1239" s="14" t="e">
        <f>=Round(0.00000000,0)</f>
        <v>#VALUE!</v>
      </c>
    </row>
    <row r="1240">
      <c r="A1240" s="11" t="s">
        <v>48</v>
      </c>
      <c r="B1240" s="12">
        <v>3598.1558</v>
      </c>
      <c r="C1240" s="12">
        <v>0</v>
      </c>
      <c r="D1240" s="13">
        <v>0</v>
      </c>
      <c r="E1240" s="12">
        <v>0</v>
      </c>
      <c r="F1240" s="14">
        <v>0</v>
      </c>
      <c r="G1240" s="13">
        <v>66.1833</v>
      </c>
      <c r="H1240" s="14">
        <v>238137.824758</v>
      </c>
      <c r="I1240" s="14" t="e">
        <f>=Round(5.36690000,0)</f>
        <v>#VALUE!</v>
      </c>
      <c r="J1240" s="14" t="e">
        <f>=Round(0.00000000,0)</f>
        <v>#VALUE!</v>
      </c>
    </row>
    <row r="1241">
      <c r="A1241" s="11" t="s">
        <v>49</v>
      </c>
      <c r="B1241" s="12">
        <v>3598.1558</v>
      </c>
      <c r="C1241" s="12">
        <v>0</v>
      </c>
      <c r="D1241" s="13">
        <v>0</v>
      </c>
      <c r="E1241" s="12">
        <v>0</v>
      </c>
      <c r="F1241" s="14">
        <v>0</v>
      </c>
      <c r="G1241" s="13">
        <v>66.1833</v>
      </c>
      <c r="H1241" s="14">
        <v>238137.824758</v>
      </c>
      <c r="I1241" s="14" t="e">
        <f>=Round(5.36790000,0)</f>
        <v>#VALUE!</v>
      </c>
      <c r="J1241" s="14" t="e">
        <f>=Round(0.00000000,0)</f>
        <v>#VALUE!</v>
      </c>
    </row>
    <row r="1242">
      <c r="A1242" s="11" t="s">
        <v>50</v>
      </c>
      <c r="B1242" s="12">
        <v>3598.1558</v>
      </c>
      <c r="C1242" s="12">
        <v>0</v>
      </c>
      <c r="D1242" s="13">
        <v>0</v>
      </c>
      <c r="E1242" s="12">
        <v>0</v>
      </c>
      <c r="F1242" s="14">
        <v>0</v>
      </c>
      <c r="G1242" s="13">
        <v>66.1833</v>
      </c>
      <c r="H1242" s="14">
        <v>238137.824758</v>
      </c>
      <c r="I1242" s="14" t="e">
        <f>=Round(5.36790000,0)</f>
        <v>#VALUE!</v>
      </c>
      <c r="J1242" s="14" t="e">
        <f>=Round(0.00000000,0)</f>
        <v>#VALUE!</v>
      </c>
    </row>
    <row r="1243">
      <c r="A1243" s="11" t="s">
        <v>51</v>
      </c>
      <c r="B1243" s="12">
        <v>3600.124</v>
      </c>
      <c r="C1243" s="12">
        <v>0</v>
      </c>
      <c r="D1243" s="13">
        <v>0</v>
      </c>
      <c r="E1243" s="12">
        <v>0</v>
      </c>
      <c r="F1243" s="14">
        <v>0</v>
      </c>
      <c r="G1243" s="13">
        <v>66.1833</v>
      </c>
      <c r="H1243" s="14">
        <v>238268.086729</v>
      </c>
      <c r="I1243" s="14" t="e">
        <f>=Round(5.36790000,0)</f>
        <v>#VALUE!</v>
      </c>
      <c r="J1243" s="14" t="e">
        <f>=Round(0.00000000,0)</f>
        <v>#VALUE!</v>
      </c>
    </row>
    <row r="1244">
      <c r="A1244" s="11" t="s">
        <v>52</v>
      </c>
      <c r="B1244" s="12">
        <v>3600.7905</v>
      </c>
      <c r="C1244" s="12">
        <v>0</v>
      </c>
      <c r="D1244" s="13">
        <v>0</v>
      </c>
      <c r="E1244" s="12">
        <v>0</v>
      </c>
      <c r="F1244" s="14">
        <v>0</v>
      </c>
      <c r="G1244" s="13">
        <v>66.1833</v>
      </c>
      <c r="H1244" s="14">
        <v>238312.197899</v>
      </c>
      <c r="I1244" s="14" t="e">
        <f>=Round(5.37080000,0)</f>
        <v>#VALUE!</v>
      </c>
      <c r="J1244" s="14" t="e">
        <f>=Round(0.00000000,0)</f>
        <v>#VALUE!</v>
      </c>
    </row>
    <row r="1245">
      <c r="A1245" s="11" t="s">
        <v>53</v>
      </c>
      <c r="B1245" s="12">
        <v>3601.445</v>
      </c>
      <c r="C1245" s="12">
        <v>0</v>
      </c>
      <c r="D1245" s="13">
        <v>0</v>
      </c>
      <c r="E1245" s="12">
        <v>0</v>
      </c>
      <c r="F1245" s="14">
        <v>0</v>
      </c>
      <c r="G1245" s="13">
        <v>66.1833</v>
      </c>
      <c r="H1245" s="14">
        <v>238355.514869</v>
      </c>
      <c r="I1245" s="14" t="e">
        <f>=Round(5.37180000,0)</f>
        <v>#VALUE!</v>
      </c>
      <c r="J1245" s="14" t="e">
        <f>=Round(0.00000000,0)</f>
        <v>#VALUE!</v>
      </c>
    </row>
    <row r="1246">
      <c r="A1246" s="11" t="s">
        <v>54</v>
      </c>
      <c r="B1246" s="12">
        <v>3602.0851</v>
      </c>
      <c r="C1246" s="12">
        <v>0</v>
      </c>
      <c r="D1246" s="13">
        <v>0</v>
      </c>
      <c r="E1246" s="12">
        <v>0</v>
      </c>
      <c r="F1246" s="14">
        <v>0</v>
      </c>
      <c r="G1246" s="13">
        <v>66.1833</v>
      </c>
      <c r="H1246" s="14">
        <v>238397.878799</v>
      </c>
      <c r="I1246" s="14" t="e">
        <f>=Round(5.37280000,0)</f>
        <v>#VALUE!</v>
      </c>
      <c r="J1246" s="14" t="e">
        <f>=Round(0.00000000,0)</f>
        <v>#VALUE!</v>
      </c>
    </row>
    <row r="1247">
      <c r="A1247" s="11" t="s">
        <v>55</v>
      </c>
      <c r="B1247" s="12">
        <v>3602.7417</v>
      </c>
      <c r="C1247" s="12">
        <v>0</v>
      </c>
      <c r="D1247" s="13">
        <v>0</v>
      </c>
      <c r="E1247" s="12">
        <v>0</v>
      </c>
      <c r="F1247" s="14">
        <v>0</v>
      </c>
      <c r="G1247" s="13">
        <v>66.1833</v>
      </c>
      <c r="H1247" s="14">
        <v>238441.334754</v>
      </c>
      <c r="I1247" s="14" t="e">
        <f>=Round(5.37370000,0)</f>
        <v>#VALUE!</v>
      </c>
      <c r="J1247" s="14" t="e">
        <f>=Round(0.00000000,0)</f>
        <v>#VALUE!</v>
      </c>
    </row>
    <row r="1248" ht="-1">
      <c r="A1248" s="15"/>
      <c r="B1248" s="16" t="s">
        <v>56</v>
      </c>
      <c r="C1248" s="15"/>
      <c r="D1248" s="15"/>
      <c r="E1248" s="15"/>
      <c r="F1248" s="15"/>
      <c r="G1248" s="15"/>
      <c r="H1248" s="15"/>
      <c r="I1248" s="17" t="e">
        <f>=Round(SUM(I1222:I1247),0)</f>
        <v>#VALUE!</v>
      </c>
      <c r="J1248" s="17" t="e">
        <f>=Round(SUM(J1222:J1247),0)</f>
        <v>#VALUE!</v>
      </c>
    </row>
    <row r="1249">
      <c r="A1249" s="1" t="s">
        <v>0</v>
      </c>
      <c r="B1249" s="1"/>
      <c r="C1249" s="1"/>
      <c r="D1249" s="1"/>
    </row>
    <row r="1250">
      <c r="A1250" s="0" t="s">
        <v>1</v>
      </c>
      <c r="C1250" s="0" t="s">
        <v>2</v>
      </c>
      <c r="H1250" s="2" t="s">
        <v>3</v>
      </c>
    </row>
    <row r="1251">
      <c r="A1251" s="0" t="s">
        <v>4</v>
      </c>
      <c r="C1251" s="0" t="s">
        <v>88</v>
      </c>
      <c r="H1251" s="3" t="s">
        <v>6</v>
      </c>
    </row>
    <row r="1252">
      <c r="A1252" s="0" t="s">
        <v>7</v>
      </c>
      <c r="C1252" s="4" t="s">
        <v>8</v>
      </c>
      <c r="H1252" s="2" t="s">
        <v>9</v>
      </c>
    </row>
    <row r="1253">
      <c r="A1253" s="0" t="s">
        <v>10</v>
      </c>
      <c r="C1253" s="4" t="s">
        <v>11</v>
      </c>
      <c r="H1253" s="2" t="s">
        <v>12</v>
      </c>
    </row>
    <row r="1254">
      <c r="A1254" s="0" t="s">
        <v>13</v>
      </c>
      <c r="C1254" s="0" t="s">
        <v>14</v>
      </c>
    </row>
    <row r="1255">
      <c r="A1255" s="0" t="s">
        <v>15</v>
      </c>
      <c r="C1255" s="0" t="s">
        <v>16</v>
      </c>
    </row>
    <row r="1256">
      <c r="A1256" s="0" t="s">
        <v>17</v>
      </c>
      <c r="C1256" s="0" t="s">
        <v>18</v>
      </c>
    </row>
    <row r="1259">
      <c r="A1259" s="5" t="s">
        <v>19</v>
      </c>
      <c r="B1259" s="5" t="s">
        <v>20</v>
      </c>
      <c r="C1259" s="7" t="s">
        <v>21</v>
      </c>
      <c r="D1259" s="9"/>
      <c r="E1259" s="7" t="s">
        <v>22</v>
      </c>
      <c r="F1259" s="9"/>
      <c r="G1259" s="5" t="s">
        <v>23</v>
      </c>
      <c r="H1259" s="5" t="s">
        <v>24</v>
      </c>
      <c r="I1259" s="5" t="s">
        <v>25</v>
      </c>
      <c r="J1259" s="5" t="s">
        <v>26</v>
      </c>
    </row>
    <row r="1260">
      <c r="A1260" s="6"/>
      <c r="B1260" s="6"/>
      <c r="C1260" s="8" t="s">
        <v>27</v>
      </c>
      <c r="D1260" s="8" t="s">
        <v>28</v>
      </c>
      <c r="E1260" s="8" t="s">
        <v>27</v>
      </c>
      <c r="F1260" s="8" t="s">
        <v>28</v>
      </c>
      <c r="G1260" s="6"/>
      <c r="H1260" s="6"/>
      <c r="I1260" s="10" t="s">
        <v>29</v>
      </c>
      <c r="J1260" s="6"/>
    </row>
    <row r="1261">
      <c r="A1261" s="11" t="s">
        <v>30</v>
      </c>
      <c r="B1261" s="12">
        <v>3586.4187</v>
      </c>
      <c r="C1261" s="12">
        <v>0</v>
      </c>
      <c r="D1261" s="13">
        <v>0</v>
      </c>
      <c r="E1261" s="12">
        <v>0</v>
      </c>
      <c r="F1261" s="14">
        <v>0</v>
      </c>
      <c r="G1261" s="13">
        <v>1012.3822</v>
      </c>
      <c r="H1261" s="14">
        <v>3630826.453627</v>
      </c>
      <c r="I1261" s="14" t="e">
        <f>=Round(81.79740000,0)</f>
        <v>#VALUE!</v>
      </c>
      <c r="J1261" s="14" t="e">
        <f>=Round(0.00000000,0)</f>
        <v>#VALUE!</v>
      </c>
    </row>
    <row r="1262">
      <c r="A1262" s="11" t="s">
        <v>31</v>
      </c>
      <c r="B1262" s="12">
        <v>3587.0477</v>
      </c>
      <c r="C1262" s="12">
        <v>0</v>
      </c>
      <c r="D1262" s="13">
        <v>0</v>
      </c>
      <c r="E1262" s="12">
        <v>0</v>
      </c>
      <c r="F1262" s="14">
        <v>0</v>
      </c>
      <c r="G1262" s="13">
        <v>1012.3822</v>
      </c>
      <c r="H1262" s="14">
        <v>3631463.242031</v>
      </c>
      <c r="I1262" s="14" t="e">
        <f>=Round(81.84240000,0)</f>
        <v>#VALUE!</v>
      </c>
      <c r="J1262" s="14" t="e">
        <f>=Round(0.00000000,0)</f>
        <v>#VALUE!</v>
      </c>
    </row>
    <row r="1263">
      <c r="A1263" s="11" t="s">
        <v>32</v>
      </c>
      <c r="B1263" s="12">
        <v>3587.6685</v>
      </c>
      <c r="C1263" s="12">
        <v>0</v>
      </c>
      <c r="D1263" s="13">
        <v>0</v>
      </c>
      <c r="E1263" s="12">
        <v>0</v>
      </c>
      <c r="F1263" s="14">
        <v>0</v>
      </c>
      <c r="G1263" s="13">
        <v>1012.3822</v>
      </c>
      <c r="H1263" s="14">
        <v>3632091.728901</v>
      </c>
      <c r="I1263" s="14" t="e">
        <f>=Round(81.85680000,0)</f>
        <v>#VALUE!</v>
      </c>
      <c r="J1263" s="14" t="e">
        <f>=Round(0.00000000,0)</f>
        <v>#VALUE!</v>
      </c>
    </row>
    <row r="1264">
      <c r="A1264" s="11" t="s">
        <v>33</v>
      </c>
      <c r="B1264" s="12">
        <v>3588.3573</v>
      </c>
      <c r="C1264" s="12">
        <v>0</v>
      </c>
      <c r="D1264" s="13">
        <v>0</v>
      </c>
      <c r="E1264" s="12">
        <v>0</v>
      </c>
      <c r="F1264" s="14">
        <v>0</v>
      </c>
      <c r="G1264" s="13">
        <v>1012.3822</v>
      </c>
      <c r="H1264" s="14">
        <v>3632789.05776</v>
      </c>
      <c r="I1264" s="14" t="e">
        <f>=Round(81.87090000,0)</f>
        <v>#VALUE!</v>
      </c>
      <c r="J1264" s="14" t="e">
        <f>=Round(0.00000000,0)</f>
        <v>#VALUE!</v>
      </c>
    </row>
    <row r="1265">
      <c r="A1265" s="11" t="s">
        <v>34</v>
      </c>
      <c r="B1265" s="12">
        <v>3589.0109</v>
      </c>
      <c r="C1265" s="12">
        <v>0</v>
      </c>
      <c r="D1265" s="13">
        <v>0</v>
      </c>
      <c r="E1265" s="12">
        <v>0</v>
      </c>
      <c r="F1265" s="14">
        <v>0</v>
      </c>
      <c r="G1265" s="13">
        <v>1012.3822</v>
      </c>
      <c r="H1265" s="14">
        <v>3633450.750766</v>
      </c>
      <c r="I1265" s="14" t="e">
        <f>=Round(81.88660000,0)</f>
        <v>#VALUE!</v>
      </c>
      <c r="J1265" s="14" t="e">
        <f>=Round(0.00000000,0)</f>
        <v>#VALUE!</v>
      </c>
    </row>
    <row r="1266">
      <c r="A1266" s="11" t="s">
        <v>35</v>
      </c>
      <c r="B1266" s="12">
        <v>3589.0109</v>
      </c>
      <c r="C1266" s="12">
        <v>0</v>
      </c>
      <c r="D1266" s="13">
        <v>0</v>
      </c>
      <c r="E1266" s="12">
        <v>0</v>
      </c>
      <c r="F1266" s="14">
        <v>0</v>
      </c>
      <c r="G1266" s="13">
        <v>1012.3822</v>
      </c>
      <c r="H1266" s="14">
        <v>3633450.750766</v>
      </c>
      <c r="I1266" s="14" t="e">
        <f>=Round(81.90160000,0)</f>
        <v>#VALUE!</v>
      </c>
      <c r="J1266" s="14" t="e">
        <f>=Round(0.00000000,0)</f>
        <v>#VALUE!</v>
      </c>
    </row>
    <row r="1267">
      <c r="A1267" s="11" t="s">
        <v>36</v>
      </c>
      <c r="B1267" s="12">
        <v>3589.0109</v>
      </c>
      <c r="C1267" s="12">
        <v>0</v>
      </c>
      <c r="D1267" s="13">
        <v>0</v>
      </c>
      <c r="E1267" s="12">
        <v>0</v>
      </c>
      <c r="F1267" s="14">
        <v>0</v>
      </c>
      <c r="G1267" s="13">
        <v>1012.3822</v>
      </c>
      <c r="H1267" s="14">
        <v>3633450.750766</v>
      </c>
      <c r="I1267" s="14" t="e">
        <f>=Round(81.90160000,0)</f>
        <v>#VALUE!</v>
      </c>
      <c r="J1267" s="14" t="e">
        <f>=Round(0.00000000,0)</f>
        <v>#VALUE!</v>
      </c>
    </row>
    <row r="1268">
      <c r="A1268" s="11" t="s">
        <v>37</v>
      </c>
      <c r="B1268" s="12">
        <v>3590.972</v>
      </c>
      <c r="C1268" s="12">
        <v>0</v>
      </c>
      <c r="D1268" s="13">
        <v>0</v>
      </c>
      <c r="E1268" s="12">
        <v>0</v>
      </c>
      <c r="F1268" s="14">
        <v>0</v>
      </c>
      <c r="G1268" s="13">
        <v>1012.3822</v>
      </c>
      <c r="H1268" s="14">
        <v>3635436.133498</v>
      </c>
      <c r="I1268" s="14" t="e">
        <f>=Round(81.90160000,0)</f>
        <v>#VALUE!</v>
      </c>
      <c r="J1268" s="14" t="e">
        <f>=Round(0.00000000,0)</f>
        <v>#VALUE!</v>
      </c>
    </row>
    <row r="1269">
      <c r="A1269" s="11" t="s">
        <v>38</v>
      </c>
      <c r="B1269" s="12">
        <v>3591.6235</v>
      </c>
      <c r="C1269" s="12">
        <v>0</v>
      </c>
      <c r="D1269" s="13">
        <v>0</v>
      </c>
      <c r="E1269" s="12">
        <v>0</v>
      </c>
      <c r="F1269" s="14">
        <v>0</v>
      </c>
      <c r="G1269" s="13">
        <v>1012.3822</v>
      </c>
      <c r="H1269" s="14">
        <v>3636095.700502</v>
      </c>
      <c r="I1269" s="14" t="e">
        <f>=Round(81.94630000,0)</f>
        <v>#VALUE!</v>
      </c>
      <c r="J1269" s="14" t="e">
        <f>=Round(0.00000000,0)</f>
        <v>#VALUE!</v>
      </c>
    </row>
    <row r="1270">
      <c r="A1270" s="11" t="s">
        <v>39</v>
      </c>
      <c r="B1270" s="12">
        <v>3592.281</v>
      </c>
      <c r="C1270" s="12">
        <v>0</v>
      </c>
      <c r="D1270" s="13">
        <v>0</v>
      </c>
      <c r="E1270" s="12">
        <v>0</v>
      </c>
      <c r="F1270" s="14">
        <v>0</v>
      </c>
      <c r="G1270" s="13">
        <v>1012.3822</v>
      </c>
      <c r="H1270" s="14">
        <v>3636761.341798</v>
      </c>
      <c r="I1270" s="14" t="e">
        <f>=Round(81.96120000,0)</f>
        <v>#VALUE!</v>
      </c>
      <c r="J1270" s="14" t="e">
        <f>=Round(0.00000000,0)</f>
        <v>#VALUE!</v>
      </c>
    </row>
    <row r="1271">
      <c r="A1271" s="11" t="s">
        <v>40</v>
      </c>
      <c r="B1271" s="12">
        <v>3592.9125</v>
      </c>
      <c r="C1271" s="12">
        <v>0</v>
      </c>
      <c r="D1271" s="13">
        <v>0</v>
      </c>
      <c r="E1271" s="12">
        <v>0</v>
      </c>
      <c r="F1271" s="14">
        <v>0</v>
      </c>
      <c r="G1271" s="13">
        <v>1012.3822</v>
      </c>
      <c r="H1271" s="14">
        <v>3637400.661158</v>
      </c>
      <c r="I1271" s="14" t="e">
        <f>=Round(81.97620000,0)</f>
        <v>#VALUE!</v>
      </c>
      <c r="J1271" s="14" t="e">
        <f>=Round(0.00000000,0)</f>
        <v>#VALUE!</v>
      </c>
    </row>
    <row r="1272">
      <c r="A1272" s="11" t="s">
        <v>41</v>
      </c>
      <c r="B1272" s="12">
        <v>3593.5674</v>
      </c>
      <c r="C1272" s="12">
        <v>0</v>
      </c>
      <c r="D1272" s="13">
        <v>0</v>
      </c>
      <c r="E1272" s="12">
        <v>0</v>
      </c>
      <c r="F1272" s="14">
        <v>0</v>
      </c>
      <c r="G1272" s="13">
        <v>1012.3822</v>
      </c>
      <c r="H1272" s="14">
        <v>3638063.67026</v>
      </c>
      <c r="I1272" s="14" t="e">
        <f>=Round(81.99060000,0)</f>
        <v>#VALUE!</v>
      </c>
      <c r="J1272" s="14" t="e">
        <f>=Round(0.00000000,0)</f>
        <v>#VALUE!</v>
      </c>
    </row>
    <row r="1273">
      <c r="A1273" s="11" t="s">
        <v>42</v>
      </c>
      <c r="B1273" s="12">
        <v>3593.5674</v>
      </c>
      <c r="C1273" s="12">
        <v>0</v>
      </c>
      <c r="D1273" s="13">
        <v>0</v>
      </c>
      <c r="E1273" s="12">
        <v>0</v>
      </c>
      <c r="F1273" s="14">
        <v>0</v>
      </c>
      <c r="G1273" s="13">
        <v>1012.3822</v>
      </c>
      <c r="H1273" s="14">
        <v>3638063.67026</v>
      </c>
      <c r="I1273" s="14" t="e">
        <f>=Round(82.00550000,0)</f>
        <v>#VALUE!</v>
      </c>
      <c r="J1273" s="14" t="e">
        <f>=Round(0.00000000,0)</f>
        <v>#VALUE!</v>
      </c>
    </row>
    <row r="1274">
      <c r="A1274" s="11" t="s">
        <v>43</v>
      </c>
      <c r="B1274" s="12">
        <v>3593.5674</v>
      </c>
      <c r="C1274" s="12">
        <v>0</v>
      </c>
      <c r="D1274" s="13">
        <v>0</v>
      </c>
      <c r="E1274" s="12">
        <v>0</v>
      </c>
      <c r="F1274" s="14">
        <v>0</v>
      </c>
      <c r="G1274" s="13">
        <v>1012.3822</v>
      </c>
      <c r="H1274" s="14">
        <v>3638063.67026</v>
      </c>
      <c r="I1274" s="14" t="e">
        <f>=Round(82.00550000,0)</f>
        <v>#VALUE!</v>
      </c>
      <c r="J1274" s="14" t="e">
        <f>=Round(0.00000000,0)</f>
        <v>#VALUE!</v>
      </c>
    </row>
    <row r="1275">
      <c r="A1275" s="11" t="s">
        <v>44</v>
      </c>
      <c r="B1275" s="12">
        <v>3595.5366</v>
      </c>
      <c r="C1275" s="12">
        <v>0</v>
      </c>
      <c r="D1275" s="13">
        <v>0</v>
      </c>
      <c r="E1275" s="12">
        <v>0</v>
      </c>
      <c r="F1275" s="14">
        <v>0</v>
      </c>
      <c r="G1275" s="13">
        <v>1012.3822</v>
      </c>
      <c r="H1275" s="14">
        <v>3640057.253289</v>
      </c>
      <c r="I1275" s="14" t="e">
        <f>=Round(82.00550000,0)</f>
        <v>#VALUE!</v>
      </c>
      <c r="J1275" s="14" t="e">
        <f>=Round(0.00000000,0)</f>
        <v>#VALUE!</v>
      </c>
    </row>
    <row r="1276">
      <c r="A1276" s="11" t="s">
        <v>45</v>
      </c>
      <c r="B1276" s="12">
        <v>3596.1915</v>
      </c>
      <c r="C1276" s="12">
        <v>0</v>
      </c>
      <c r="D1276" s="13">
        <v>0</v>
      </c>
      <c r="E1276" s="12">
        <v>0</v>
      </c>
      <c r="F1276" s="14">
        <v>0</v>
      </c>
      <c r="G1276" s="13">
        <v>1012.3822</v>
      </c>
      <c r="H1276" s="14">
        <v>3640720.262391</v>
      </c>
      <c r="I1276" s="14" t="e">
        <f>=Round(82.05050000,0)</f>
        <v>#VALUE!</v>
      </c>
      <c r="J1276" s="14" t="e">
        <f>=Round(0.00000000,0)</f>
        <v>#VALUE!</v>
      </c>
    </row>
    <row r="1277">
      <c r="A1277" s="11" t="s">
        <v>46</v>
      </c>
      <c r="B1277" s="12">
        <v>3596.8461</v>
      </c>
      <c r="C1277" s="12">
        <v>0</v>
      </c>
      <c r="D1277" s="13">
        <v>0</v>
      </c>
      <c r="E1277" s="12">
        <v>0</v>
      </c>
      <c r="F1277" s="14">
        <v>0</v>
      </c>
      <c r="G1277" s="13">
        <v>1012.3822</v>
      </c>
      <c r="H1277" s="14">
        <v>3641382.967779</v>
      </c>
      <c r="I1277" s="14" t="e">
        <f>=Round(82.06540000,0)</f>
        <v>#VALUE!</v>
      </c>
      <c r="J1277" s="14" t="e">
        <f>=Round(0.00000000,0)</f>
        <v>#VALUE!</v>
      </c>
    </row>
    <row r="1278">
      <c r="A1278" s="11" t="s">
        <v>47</v>
      </c>
      <c r="B1278" s="12">
        <v>3597.4992</v>
      </c>
      <c r="C1278" s="12">
        <v>0</v>
      </c>
      <c r="D1278" s="13">
        <v>0</v>
      </c>
      <c r="E1278" s="12">
        <v>0</v>
      </c>
      <c r="F1278" s="14">
        <v>0</v>
      </c>
      <c r="G1278" s="13">
        <v>1012.3822</v>
      </c>
      <c r="H1278" s="14">
        <v>3642044.154594</v>
      </c>
      <c r="I1278" s="14" t="e">
        <f>=Round(82.08040000,0)</f>
        <v>#VALUE!</v>
      </c>
      <c r="J1278" s="14" t="e">
        <f>=Round(0.00000000,0)</f>
        <v>#VALUE!</v>
      </c>
    </row>
    <row r="1279">
      <c r="A1279" s="11" t="s">
        <v>48</v>
      </c>
      <c r="B1279" s="12">
        <v>3598.1558</v>
      </c>
      <c r="C1279" s="12">
        <v>0</v>
      </c>
      <c r="D1279" s="13">
        <v>0</v>
      </c>
      <c r="E1279" s="12">
        <v>0</v>
      </c>
      <c r="F1279" s="14">
        <v>0</v>
      </c>
      <c r="G1279" s="13">
        <v>1012.3822</v>
      </c>
      <c r="H1279" s="14">
        <v>3642708.884747</v>
      </c>
      <c r="I1279" s="14" t="e">
        <f>=Round(82.09530000,0)</f>
        <v>#VALUE!</v>
      </c>
      <c r="J1279" s="14" t="e">
        <f>=Round(0.00000000,0)</f>
        <v>#VALUE!</v>
      </c>
    </row>
    <row r="1280">
      <c r="A1280" s="11" t="s">
        <v>49</v>
      </c>
      <c r="B1280" s="12">
        <v>3598.1558</v>
      </c>
      <c r="C1280" s="12">
        <v>0</v>
      </c>
      <c r="D1280" s="13">
        <v>0</v>
      </c>
      <c r="E1280" s="12">
        <v>0</v>
      </c>
      <c r="F1280" s="14">
        <v>0</v>
      </c>
      <c r="G1280" s="13">
        <v>1012.3822</v>
      </c>
      <c r="H1280" s="14">
        <v>3642708.884747</v>
      </c>
      <c r="I1280" s="14" t="e">
        <f>=Round(82.11020000,0)</f>
        <v>#VALUE!</v>
      </c>
      <c r="J1280" s="14" t="e">
        <f>=Round(0.00000000,0)</f>
        <v>#VALUE!</v>
      </c>
    </row>
    <row r="1281">
      <c r="A1281" s="11" t="s">
        <v>50</v>
      </c>
      <c r="B1281" s="12">
        <v>3598.1558</v>
      </c>
      <c r="C1281" s="12">
        <v>0</v>
      </c>
      <c r="D1281" s="13">
        <v>0</v>
      </c>
      <c r="E1281" s="12">
        <v>0</v>
      </c>
      <c r="F1281" s="14">
        <v>0</v>
      </c>
      <c r="G1281" s="13">
        <v>1012.3822</v>
      </c>
      <c r="H1281" s="14">
        <v>3642708.884747</v>
      </c>
      <c r="I1281" s="14" t="e">
        <f>=Round(82.11020000,0)</f>
        <v>#VALUE!</v>
      </c>
      <c r="J1281" s="14" t="e">
        <f>=Round(0.00000000,0)</f>
        <v>#VALUE!</v>
      </c>
    </row>
    <row r="1282">
      <c r="A1282" s="11" t="s">
        <v>51</v>
      </c>
      <c r="B1282" s="12">
        <v>3600.124</v>
      </c>
      <c r="C1282" s="12">
        <v>0</v>
      </c>
      <c r="D1282" s="13">
        <v>0</v>
      </c>
      <c r="E1282" s="12">
        <v>0</v>
      </c>
      <c r="F1282" s="14">
        <v>0</v>
      </c>
      <c r="G1282" s="13">
        <v>1012.3822</v>
      </c>
      <c r="H1282" s="14">
        <v>3644701.455393</v>
      </c>
      <c r="I1282" s="14" t="e">
        <f>=Round(82.11020000,0)</f>
        <v>#VALUE!</v>
      </c>
      <c r="J1282" s="14" t="e">
        <f>=Round(0.00000000,0)</f>
        <v>#VALUE!</v>
      </c>
    </row>
    <row r="1283">
      <c r="A1283" s="11" t="s">
        <v>52</v>
      </c>
      <c r="B1283" s="12">
        <v>3600.7905</v>
      </c>
      <c r="C1283" s="12">
        <v>0</v>
      </c>
      <c r="D1283" s="13">
        <v>0</v>
      </c>
      <c r="E1283" s="12">
        <v>0</v>
      </c>
      <c r="F1283" s="14">
        <v>0</v>
      </c>
      <c r="G1283" s="13">
        <v>1012.3822</v>
      </c>
      <c r="H1283" s="14">
        <v>3645376.208129</v>
      </c>
      <c r="I1283" s="14" t="e">
        <f>=Round(82.15520000,0)</f>
        <v>#VALUE!</v>
      </c>
      <c r="J1283" s="14" t="e">
        <f>=Round(0.00000000,0)</f>
        <v>#VALUE!</v>
      </c>
    </row>
    <row r="1284">
      <c r="A1284" s="11" t="s">
        <v>53</v>
      </c>
      <c r="B1284" s="12">
        <v>3601.445</v>
      </c>
      <c r="C1284" s="12">
        <v>0</v>
      </c>
      <c r="D1284" s="13">
        <v>0</v>
      </c>
      <c r="E1284" s="12">
        <v>0</v>
      </c>
      <c r="F1284" s="14">
        <v>0</v>
      </c>
      <c r="G1284" s="13">
        <v>1012.3822</v>
      </c>
      <c r="H1284" s="14">
        <v>3646038.812279</v>
      </c>
      <c r="I1284" s="14" t="e">
        <f>=Round(82.17040000,0)</f>
        <v>#VALUE!</v>
      </c>
      <c r="J1284" s="14" t="e">
        <f>=Round(0.00000000,0)</f>
        <v>#VALUE!</v>
      </c>
    </row>
    <row r="1285">
      <c r="A1285" s="11" t="s">
        <v>54</v>
      </c>
      <c r="B1285" s="12">
        <v>3602.0851</v>
      </c>
      <c r="C1285" s="12">
        <v>0</v>
      </c>
      <c r="D1285" s="13">
        <v>0</v>
      </c>
      <c r="E1285" s="12">
        <v>0</v>
      </c>
      <c r="F1285" s="14">
        <v>0</v>
      </c>
      <c r="G1285" s="13">
        <v>1012.3822</v>
      </c>
      <c r="H1285" s="14">
        <v>3646686.838125</v>
      </c>
      <c r="I1285" s="14" t="e">
        <f>=Round(82.18530000,0)</f>
        <v>#VALUE!</v>
      </c>
      <c r="J1285" s="14" t="e">
        <f>=Round(0.00000000,0)</f>
        <v>#VALUE!</v>
      </c>
    </row>
    <row r="1286">
      <c r="A1286" s="11" t="s">
        <v>55</v>
      </c>
      <c r="B1286" s="12">
        <v>3602.7417</v>
      </c>
      <c r="C1286" s="12">
        <v>0</v>
      </c>
      <c r="D1286" s="13">
        <v>0</v>
      </c>
      <c r="E1286" s="12">
        <v>0</v>
      </c>
      <c r="F1286" s="14">
        <v>0</v>
      </c>
      <c r="G1286" s="13">
        <v>1012.3822</v>
      </c>
      <c r="H1286" s="14">
        <v>3647351.568278</v>
      </c>
      <c r="I1286" s="14" t="e">
        <f>=Round(82.19990000,0)</f>
        <v>#VALUE!</v>
      </c>
      <c r="J1286" s="14" t="e">
        <f>=Round(0.00000000,0)</f>
        <v>#VALUE!</v>
      </c>
    </row>
    <row r="1287" ht="-1">
      <c r="A1287" s="15"/>
      <c r="B1287" s="16" t="s">
        <v>56</v>
      </c>
      <c r="C1287" s="15"/>
      <c r="D1287" s="15"/>
      <c r="E1287" s="15"/>
      <c r="F1287" s="15"/>
      <c r="G1287" s="15"/>
      <c r="H1287" s="15"/>
      <c r="I1287" s="17" t="e">
        <f>=Round(SUM(I1261:I1286),0)</f>
        <v>#VALUE!</v>
      </c>
      <c r="J1287" s="17" t="e">
        <f>=Round(SUM(J1261:J1286),0)</f>
        <v>#VALUE!</v>
      </c>
    </row>
    <row r="1288">
      <c r="A1288" s="1" t="s">
        <v>0</v>
      </c>
      <c r="B1288" s="1"/>
      <c r="C1288" s="1"/>
      <c r="D1288" s="1"/>
    </row>
    <row r="1289">
      <c r="A1289" s="0" t="s">
        <v>1</v>
      </c>
      <c r="C1289" s="0" t="s">
        <v>2</v>
      </c>
      <c r="H1289" s="2" t="s">
        <v>3</v>
      </c>
    </row>
    <row r="1290">
      <c r="A1290" s="0" t="s">
        <v>4</v>
      </c>
      <c r="C1290" s="0" t="s">
        <v>89</v>
      </c>
      <c r="H1290" s="3" t="s">
        <v>6</v>
      </c>
    </row>
    <row r="1291">
      <c r="A1291" s="0" t="s">
        <v>7</v>
      </c>
      <c r="C1291" s="4" t="s">
        <v>8</v>
      </c>
      <c r="H1291" s="2" t="s">
        <v>9</v>
      </c>
    </row>
    <row r="1292">
      <c r="A1292" s="0" t="s">
        <v>10</v>
      </c>
      <c r="C1292" s="4" t="s">
        <v>11</v>
      </c>
      <c r="H1292" s="2" t="s">
        <v>12</v>
      </c>
    </row>
    <row r="1293">
      <c r="A1293" s="0" t="s">
        <v>13</v>
      </c>
      <c r="C1293" s="0" t="s">
        <v>14</v>
      </c>
    </row>
    <row r="1294">
      <c r="A1294" s="0" t="s">
        <v>15</v>
      </c>
      <c r="C1294" s="0" t="s">
        <v>16</v>
      </c>
    </row>
    <row r="1295">
      <c r="A1295" s="0" t="s">
        <v>17</v>
      </c>
      <c r="C1295" s="0" t="s">
        <v>18</v>
      </c>
    </row>
    <row r="1298">
      <c r="A1298" s="5" t="s">
        <v>19</v>
      </c>
      <c r="B1298" s="5" t="s">
        <v>20</v>
      </c>
      <c r="C1298" s="7" t="s">
        <v>21</v>
      </c>
      <c r="D1298" s="9"/>
      <c r="E1298" s="7" t="s">
        <v>22</v>
      </c>
      <c r="F1298" s="9"/>
      <c r="G1298" s="5" t="s">
        <v>23</v>
      </c>
      <c r="H1298" s="5" t="s">
        <v>24</v>
      </c>
      <c r="I1298" s="5" t="s">
        <v>25</v>
      </c>
      <c r="J1298" s="5" t="s">
        <v>26</v>
      </c>
    </row>
    <row r="1299">
      <c r="A1299" s="6"/>
      <c r="B1299" s="6"/>
      <c r="C1299" s="8" t="s">
        <v>27</v>
      </c>
      <c r="D1299" s="8" t="s">
        <v>28</v>
      </c>
      <c r="E1299" s="8" t="s">
        <v>27</v>
      </c>
      <c r="F1299" s="8" t="s">
        <v>28</v>
      </c>
      <c r="G1299" s="6"/>
      <c r="H1299" s="6"/>
      <c r="I1299" s="10" t="s">
        <v>29</v>
      </c>
      <c r="J1299" s="6"/>
    </row>
    <row r="1300">
      <c r="A1300" s="11" t="s">
        <v>30</v>
      </c>
      <c r="B1300" s="12">
        <v>3586.4187</v>
      </c>
      <c r="C1300" s="12">
        <v>0</v>
      </c>
      <c r="D1300" s="13">
        <v>0</v>
      </c>
      <c r="E1300" s="12">
        <v>0</v>
      </c>
      <c r="F1300" s="14">
        <v>0</v>
      </c>
      <c r="G1300" s="13">
        <v>808.4056</v>
      </c>
      <c r="H1300" s="14">
        <v>2899280.961025</v>
      </c>
      <c r="I1300" s="14" t="e">
        <f>=Round(65.31670000,0)</f>
        <v>#VALUE!</v>
      </c>
      <c r="J1300" s="14" t="e">
        <f>=Round(0.00000000,0)</f>
        <v>#VALUE!</v>
      </c>
    </row>
    <row r="1301">
      <c r="A1301" s="11" t="s">
        <v>31</v>
      </c>
      <c r="B1301" s="12">
        <v>3587.0477</v>
      </c>
      <c r="C1301" s="12">
        <v>0</v>
      </c>
      <c r="D1301" s="13">
        <v>0</v>
      </c>
      <c r="E1301" s="12">
        <v>0</v>
      </c>
      <c r="F1301" s="14">
        <v>0</v>
      </c>
      <c r="G1301" s="13">
        <v>808.4056</v>
      </c>
      <c r="H1301" s="14">
        <v>2899789.448147</v>
      </c>
      <c r="I1301" s="14" t="e">
        <f>=Round(65.35260000,0)</f>
        <v>#VALUE!</v>
      </c>
      <c r="J1301" s="14" t="e">
        <f>=Round(0.00000000,0)</f>
        <v>#VALUE!</v>
      </c>
    </row>
    <row r="1302">
      <c r="A1302" s="11" t="s">
        <v>32</v>
      </c>
      <c r="B1302" s="12">
        <v>3587.6685</v>
      </c>
      <c r="C1302" s="12">
        <v>0</v>
      </c>
      <c r="D1302" s="13">
        <v>0</v>
      </c>
      <c r="E1302" s="12">
        <v>0</v>
      </c>
      <c r="F1302" s="14">
        <v>0</v>
      </c>
      <c r="G1302" s="13">
        <v>808.4056</v>
      </c>
      <c r="H1302" s="14">
        <v>2900291.306344</v>
      </c>
      <c r="I1302" s="14" t="e">
        <f>=Round(65.36410000,0)</f>
        <v>#VALUE!</v>
      </c>
      <c r="J1302" s="14" t="e">
        <f>=Round(0.00000000,0)</f>
        <v>#VALUE!</v>
      </c>
    </row>
    <row r="1303">
      <c r="A1303" s="11" t="s">
        <v>33</v>
      </c>
      <c r="B1303" s="12">
        <v>3588.3573</v>
      </c>
      <c r="C1303" s="12">
        <v>0</v>
      </c>
      <c r="D1303" s="13">
        <v>0</v>
      </c>
      <c r="E1303" s="12">
        <v>0</v>
      </c>
      <c r="F1303" s="14">
        <v>0</v>
      </c>
      <c r="G1303" s="13">
        <v>808.4056</v>
      </c>
      <c r="H1303" s="14">
        <v>2900848.136121</v>
      </c>
      <c r="I1303" s="14" t="e">
        <f>=Round(65.37540000,0)</f>
        <v>#VALUE!</v>
      </c>
      <c r="J1303" s="14" t="e">
        <f>=Round(0.00000000,0)</f>
        <v>#VALUE!</v>
      </c>
    </row>
    <row r="1304">
      <c r="A1304" s="11" t="s">
        <v>34</v>
      </c>
      <c r="B1304" s="12">
        <v>3589.0109</v>
      </c>
      <c r="C1304" s="12">
        <v>0</v>
      </c>
      <c r="D1304" s="13">
        <v>0</v>
      </c>
      <c r="E1304" s="12">
        <v>0</v>
      </c>
      <c r="F1304" s="14">
        <v>0</v>
      </c>
      <c r="G1304" s="13">
        <v>808.4056</v>
      </c>
      <c r="H1304" s="14">
        <v>2901376.510021</v>
      </c>
      <c r="I1304" s="14" t="e">
        <f>=Round(65.38800000,0)</f>
        <v>#VALUE!</v>
      </c>
      <c r="J1304" s="14" t="e">
        <f>=Round(0.00000000,0)</f>
        <v>#VALUE!</v>
      </c>
    </row>
    <row r="1305">
      <c r="A1305" s="11" t="s">
        <v>35</v>
      </c>
      <c r="B1305" s="12">
        <v>3589.0109</v>
      </c>
      <c r="C1305" s="12">
        <v>0</v>
      </c>
      <c r="D1305" s="13">
        <v>0</v>
      </c>
      <c r="E1305" s="12">
        <v>0</v>
      </c>
      <c r="F1305" s="14">
        <v>0</v>
      </c>
      <c r="G1305" s="13">
        <v>808.4056</v>
      </c>
      <c r="H1305" s="14">
        <v>2901376.510021</v>
      </c>
      <c r="I1305" s="14" t="e">
        <f>=Round(65.39990000,0)</f>
        <v>#VALUE!</v>
      </c>
      <c r="J1305" s="14" t="e">
        <f>=Round(0.00000000,0)</f>
        <v>#VALUE!</v>
      </c>
    </row>
    <row r="1306">
      <c r="A1306" s="11" t="s">
        <v>36</v>
      </c>
      <c r="B1306" s="12">
        <v>3589.0109</v>
      </c>
      <c r="C1306" s="12">
        <v>0</v>
      </c>
      <c r="D1306" s="13">
        <v>0</v>
      </c>
      <c r="E1306" s="12">
        <v>0</v>
      </c>
      <c r="F1306" s="14">
        <v>0</v>
      </c>
      <c r="G1306" s="13">
        <v>808.4056</v>
      </c>
      <c r="H1306" s="14">
        <v>2901376.510021</v>
      </c>
      <c r="I1306" s="14" t="e">
        <f>=Round(65.39990000,0)</f>
        <v>#VALUE!</v>
      </c>
      <c r="J1306" s="14" t="e">
        <f>=Round(0.00000000,0)</f>
        <v>#VALUE!</v>
      </c>
    </row>
    <row r="1307">
      <c r="A1307" s="11" t="s">
        <v>37</v>
      </c>
      <c r="B1307" s="12">
        <v>3590.972</v>
      </c>
      <c r="C1307" s="12">
        <v>0</v>
      </c>
      <c r="D1307" s="13">
        <v>0</v>
      </c>
      <c r="E1307" s="12">
        <v>0</v>
      </c>
      <c r="F1307" s="14">
        <v>0</v>
      </c>
      <c r="G1307" s="13">
        <v>808.4056</v>
      </c>
      <c r="H1307" s="14">
        <v>2902961.874243</v>
      </c>
      <c r="I1307" s="14" t="e">
        <f>=Round(65.39990000,0)</f>
        <v>#VALUE!</v>
      </c>
      <c r="J1307" s="14" t="e">
        <f>=Round(0.00000000,0)</f>
        <v>#VALUE!</v>
      </c>
    </row>
    <row r="1308">
      <c r="A1308" s="11" t="s">
        <v>38</v>
      </c>
      <c r="B1308" s="12">
        <v>3591.6235</v>
      </c>
      <c r="C1308" s="12">
        <v>0</v>
      </c>
      <c r="D1308" s="13">
        <v>0</v>
      </c>
      <c r="E1308" s="12">
        <v>0</v>
      </c>
      <c r="F1308" s="14">
        <v>0</v>
      </c>
      <c r="G1308" s="13">
        <v>808.4056</v>
      </c>
      <c r="H1308" s="14">
        <v>2903488.550492</v>
      </c>
      <c r="I1308" s="14" t="e">
        <f>=Round(65.43560000,0)</f>
        <v>#VALUE!</v>
      </c>
      <c r="J1308" s="14" t="e">
        <f>=Round(0.00000000,0)</f>
        <v>#VALUE!</v>
      </c>
    </row>
    <row r="1309">
      <c r="A1309" s="11" t="s">
        <v>39</v>
      </c>
      <c r="B1309" s="12">
        <v>3592.281</v>
      </c>
      <c r="C1309" s="12">
        <v>0</v>
      </c>
      <c r="D1309" s="13">
        <v>0</v>
      </c>
      <c r="E1309" s="12">
        <v>0</v>
      </c>
      <c r="F1309" s="14">
        <v>0</v>
      </c>
      <c r="G1309" s="13">
        <v>808.4056</v>
      </c>
      <c r="H1309" s="14">
        <v>2904020.077174</v>
      </c>
      <c r="I1309" s="14" t="e">
        <f>=Round(65.44750000,0)</f>
        <v>#VALUE!</v>
      </c>
      <c r="J1309" s="14" t="e">
        <f>=Round(0.00000000,0)</f>
        <v>#VALUE!</v>
      </c>
    </row>
    <row r="1310">
      <c r="A1310" s="11" t="s">
        <v>40</v>
      </c>
      <c r="B1310" s="12">
        <v>3592.9125</v>
      </c>
      <c r="C1310" s="12">
        <v>0</v>
      </c>
      <c r="D1310" s="13">
        <v>0</v>
      </c>
      <c r="E1310" s="12">
        <v>0</v>
      </c>
      <c r="F1310" s="14">
        <v>0</v>
      </c>
      <c r="G1310" s="13">
        <v>808.4056</v>
      </c>
      <c r="H1310" s="14">
        <v>2904530.58531</v>
      </c>
      <c r="I1310" s="14" t="e">
        <f>=Round(65.45950000,0)</f>
        <v>#VALUE!</v>
      </c>
      <c r="J1310" s="14" t="e">
        <f>=Round(0.00000000,0)</f>
        <v>#VALUE!</v>
      </c>
    </row>
    <row r="1311">
      <c r="A1311" s="11" t="s">
        <v>41</v>
      </c>
      <c r="B1311" s="12">
        <v>3593.5674</v>
      </c>
      <c r="C1311" s="12">
        <v>0</v>
      </c>
      <c r="D1311" s="13">
        <v>0</v>
      </c>
      <c r="E1311" s="12">
        <v>0</v>
      </c>
      <c r="F1311" s="14">
        <v>0</v>
      </c>
      <c r="G1311" s="13">
        <v>808.4056</v>
      </c>
      <c r="H1311" s="14">
        <v>2905060.010137</v>
      </c>
      <c r="I1311" s="14" t="e">
        <f>=Round(65.47100000,0)</f>
        <v>#VALUE!</v>
      </c>
      <c r="J1311" s="14" t="e">
        <f>=Round(0.00000000,0)</f>
        <v>#VALUE!</v>
      </c>
    </row>
    <row r="1312">
      <c r="A1312" s="11" t="s">
        <v>42</v>
      </c>
      <c r="B1312" s="12">
        <v>3593.5674</v>
      </c>
      <c r="C1312" s="12">
        <v>0</v>
      </c>
      <c r="D1312" s="13">
        <v>0</v>
      </c>
      <c r="E1312" s="12">
        <v>0</v>
      </c>
      <c r="F1312" s="14">
        <v>0</v>
      </c>
      <c r="G1312" s="13">
        <v>808.4056</v>
      </c>
      <c r="H1312" s="14">
        <v>2905060.010137</v>
      </c>
      <c r="I1312" s="14" t="e">
        <f>=Round(65.48290000,0)</f>
        <v>#VALUE!</v>
      </c>
      <c r="J1312" s="14" t="e">
        <f>=Round(0.00000000,0)</f>
        <v>#VALUE!</v>
      </c>
    </row>
    <row r="1313">
      <c r="A1313" s="11" t="s">
        <v>43</v>
      </c>
      <c r="B1313" s="12">
        <v>3593.5674</v>
      </c>
      <c r="C1313" s="12">
        <v>0</v>
      </c>
      <c r="D1313" s="13">
        <v>0</v>
      </c>
      <c r="E1313" s="12">
        <v>0</v>
      </c>
      <c r="F1313" s="14">
        <v>0</v>
      </c>
      <c r="G1313" s="13">
        <v>808.4056</v>
      </c>
      <c r="H1313" s="14">
        <v>2905060.010137</v>
      </c>
      <c r="I1313" s="14" t="e">
        <f>=Round(65.48290000,0)</f>
        <v>#VALUE!</v>
      </c>
      <c r="J1313" s="14" t="e">
        <f>=Round(0.00000000,0)</f>
        <v>#VALUE!</v>
      </c>
    </row>
    <row r="1314">
      <c r="A1314" s="11" t="s">
        <v>44</v>
      </c>
      <c r="B1314" s="12">
        <v>3595.5366</v>
      </c>
      <c r="C1314" s="12">
        <v>0</v>
      </c>
      <c r="D1314" s="13">
        <v>0</v>
      </c>
      <c r="E1314" s="12">
        <v>0</v>
      </c>
      <c r="F1314" s="14">
        <v>0</v>
      </c>
      <c r="G1314" s="13">
        <v>808.4056</v>
      </c>
      <c r="H1314" s="14">
        <v>2906651.922445</v>
      </c>
      <c r="I1314" s="14" t="e">
        <f>=Round(65.48290000,0)</f>
        <v>#VALUE!</v>
      </c>
      <c r="J1314" s="14" t="e">
        <f>=Round(0.00000000,0)</f>
        <v>#VALUE!</v>
      </c>
    </row>
    <row r="1315">
      <c r="A1315" s="11" t="s">
        <v>45</v>
      </c>
      <c r="B1315" s="12">
        <v>3596.1915</v>
      </c>
      <c r="C1315" s="12">
        <v>0</v>
      </c>
      <c r="D1315" s="13">
        <v>0</v>
      </c>
      <c r="E1315" s="12">
        <v>0</v>
      </c>
      <c r="F1315" s="14">
        <v>0</v>
      </c>
      <c r="G1315" s="13">
        <v>808.4056</v>
      </c>
      <c r="H1315" s="14">
        <v>2907181.347272</v>
      </c>
      <c r="I1315" s="14" t="e">
        <f>=Round(65.51880000,0)</f>
        <v>#VALUE!</v>
      </c>
      <c r="J1315" s="14" t="e">
        <f>=Round(0.00000000,0)</f>
        <v>#VALUE!</v>
      </c>
    </row>
    <row r="1316">
      <c r="A1316" s="11" t="s">
        <v>46</v>
      </c>
      <c r="B1316" s="12">
        <v>3596.8461</v>
      </c>
      <c r="C1316" s="12">
        <v>0</v>
      </c>
      <c r="D1316" s="13">
        <v>0</v>
      </c>
      <c r="E1316" s="12">
        <v>0</v>
      </c>
      <c r="F1316" s="14">
        <v>0</v>
      </c>
      <c r="G1316" s="13">
        <v>808.4056</v>
      </c>
      <c r="H1316" s="14">
        <v>2907710.529578</v>
      </c>
      <c r="I1316" s="14" t="e">
        <f>=Round(65.53070000,0)</f>
        <v>#VALUE!</v>
      </c>
      <c r="J1316" s="14" t="e">
        <f>=Round(0.00000000,0)</f>
        <v>#VALUE!</v>
      </c>
    </row>
    <row r="1317">
      <c r="A1317" s="11" t="s">
        <v>47</v>
      </c>
      <c r="B1317" s="12">
        <v>3597.4992</v>
      </c>
      <c r="C1317" s="12">
        <v>0</v>
      </c>
      <c r="D1317" s="13">
        <v>0</v>
      </c>
      <c r="E1317" s="12">
        <v>0</v>
      </c>
      <c r="F1317" s="14">
        <v>0</v>
      </c>
      <c r="G1317" s="13">
        <v>808.4056</v>
      </c>
      <c r="H1317" s="14">
        <v>2908238.499276</v>
      </c>
      <c r="I1317" s="14" t="e">
        <f>=Round(65.54270000,0)</f>
        <v>#VALUE!</v>
      </c>
      <c r="J1317" s="14" t="e">
        <f>=Round(0.00000000,0)</f>
        <v>#VALUE!</v>
      </c>
    </row>
    <row r="1318">
      <c r="A1318" s="11" t="s">
        <v>48</v>
      </c>
      <c r="B1318" s="12">
        <v>3598.1558</v>
      </c>
      <c r="C1318" s="12">
        <v>0</v>
      </c>
      <c r="D1318" s="13">
        <v>0</v>
      </c>
      <c r="E1318" s="12">
        <v>0</v>
      </c>
      <c r="F1318" s="14">
        <v>0</v>
      </c>
      <c r="G1318" s="13">
        <v>808.4056</v>
      </c>
      <c r="H1318" s="14">
        <v>2908769.298392</v>
      </c>
      <c r="I1318" s="14" t="e">
        <f>=Round(65.55460000,0)</f>
        <v>#VALUE!</v>
      </c>
      <c r="J1318" s="14" t="e">
        <f>=Round(0.00000000,0)</f>
        <v>#VALUE!</v>
      </c>
    </row>
    <row r="1319">
      <c r="A1319" s="11" t="s">
        <v>49</v>
      </c>
      <c r="B1319" s="12">
        <v>3598.1558</v>
      </c>
      <c r="C1319" s="12">
        <v>0</v>
      </c>
      <c r="D1319" s="13">
        <v>0</v>
      </c>
      <c r="E1319" s="12">
        <v>0</v>
      </c>
      <c r="F1319" s="14">
        <v>0</v>
      </c>
      <c r="G1319" s="13">
        <v>808.4056</v>
      </c>
      <c r="H1319" s="14">
        <v>2908769.298392</v>
      </c>
      <c r="I1319" s="14" t="e">
        <f>=Round(65.56650000,0)</f>
        <v>#VALUE!</v>
      </c>
      <c r="J1319" s="14" t="e">
        <f>=Round(0.00000000,0)</f>
        <v>#VALUE!</v>
      </c>
    </row>
    <row r="1320">
      <c r="A1320" s="11" t="s">
        <v>50</v>
      </c>
      <c r="B1320" s="12">
        <v>3598.1558</v>
      </c>
      <c r="C1320" s="12">
        <v>0</v>
      </c>
      <c r="D1320" s="13">
        <v>0</v>
      </c>
      <c r="E1320" s="12">
        <v>0</v>
      </c>
      <c r="F1320" s="14">
        <v>0</v>
      </c>
      <c r="G1320" s="13">
        <v>808.4056</v>
      </c>
      <c r="H1320" s="14">
        <v>2908769.298392</v>
      </c>
      <c r="I1320" s="14" t="e">
        <f>=Round(65.56650000,0)</f>
        <v>#VALUE!</v>
      </c>
      <c r="J1320" s="14" t="e">
        <f>=Round(0.00000000,0)</f>
        <v>#VALUE!</v>
      </c>
    </row>
    <row r="1321">
      <c r="A1321" s="11" t="s">
        <v>51</v>
      </c>
      <c r="B1321" s="12">
        <v>3600.124</v>
      </c>
      <c r="C1321" s="12">
        <v>0</v>
      </c>
      <c r="D1321" s="13">
        <v>0</v>
      </c>
      <c r="E1321" s="12">
        <v>0</v>
      </c>
      <c r="F1321" s="14">
        <v>0</v>
      </c>
      <c r="G1321" s="13">
        <v>808.4056</v>
      </c>
      <c r="H1321" s="14">
        <v>2910360.402294</v>
      </c>
      <c r="I1321" s="14" t="e">
        <f>=Round(65.56650000,0)</f>
        <v>#VALUE!</v>
      </c>
      <c r="J1321" s="14" t="e">
        <f>=Round(0.00000000,0)</f>
        <v>#VALUE!</v>
      </c>
    </row>
    <row r="1322">
      <c r="A1322" s="11" t="s">
        <v>52</v>
      </c>
      <c r="B1322" s="12">
        <v>3600.7905</v>
      </c>
      <c r="C1322" s="12">
        <v>0</v>
      </c>
      <c r="D1322" s="13">
        <v>0</v>
      </c>
      <c r="E1322" s="12">
        <v>0</v>
      </c>
      <c r="F1322" s="14">
        <v>0</v>
      </c>
      <c r="G1322" s="13">
        <v>808.4056</v>
      </c>
      <c r="H1322" s="14">
        <v>2910899.204627</v>
      </c>
      <c r="I1322" s="14" t="e">
        <f>=Round(65.60240000,0)</f>
        <v>#VALUE!</v>
      </c>
      <c r="J1322" s="14" t="e">
        <f>=Round(0.00000000,0)</f>
        <v>#VALUE!</v>
      </c>
    </row>
    <row r="1323">
      <c r="A1323" s="11" t="s">
        <v>53</v>
      </c>
      <c r="B1323" s="12">
        <v>3601.445</v>
      </c>
      <c r="C1323" s="12">
        <v>0</v>
      </c>
      <c r="D1323" s="13">
        <v>0</v>
      </c>
      <c r="E1323" s="12">
        <v>0</v>
      </c>
      <c r="F1323" s="14">
        <v>0</v>
      </c>
      <c r="G1323" s="13">
        <v>808.4056</v>
      </c>
      <c r="H1323" s="14">
        <v>2911428.306092</v>
      </c>
      <c r="I1323" s="14" t="e">
        <f>=Round(65.61450000,0)</f>
        <v>#VALUE!</v>
      </c>
      <c r="J1323" s="14" t="e">
        <f>=Round(0.00000000,0)</f>
        <v>#VALUE!</v>
      </c>
    </row>
    <row r="1324">
      <c r="A1324" s="11" t="s">
        <v>54</v>
      </c>
      <c r="B1324" s="12">
        <v>3602.0851</v>
      </c>
      <c r="C1324" s="12">
        <v>0</v>
      </c>
      <c r="D1324" s="13">
        <v>0</v>
      </c>
      <c r="E1324" s="12">
        <v>0</v>
      </c>
      <c r="F1324" s="14">
        <v>0</v>
      </c>
      <c r="G1324" s="13">
        <v>808.4056</v>
      </c>
      <c r="H1324" s="14">
        <v>2911945.766517</v>
      </c>
      <c r="I1324" s="14" t="e">
        <f>=Round(65.62650000,0)</f>
        <v>#VALUE!</v>
      </c>
      <c r="J1324" s="14" t="e">
        <f>=Round(0.00000000,0)</f>
        <v>#VALUE!</v>
      </c>
    </row>
    <row r="1325">
      <c r="A1325" s="11" t="s">
        <v>55</v>
      </c>
      <c r="B1325" s="12">
        <v>3602.7417</v>
      </c>
      <c r="C1325" s="12">
        <v>0</v>
      </c>
      <c r="D1325" s="13">
        <v>0</v>
      </c>
      <c r="E1325" s="12">
        <v>0</v>
      </c>
      <c r="F1325" s="14">
        <v>0</v>
      </c>
      <c r="G1325" s="13">
        <v>808.4056</v>
      </c>
      <c r="H1325" s="14">
        <v>2912476.565634</v>
      </c>
      <c r="I1325" s="14" t="e">
        <f>=Round(65.63810000,0)</f>
        <v>#VALUE!</v>
      </c>
      <c r="J1325" s="14" t="e">
        <f>=Round(0.00000000,0)</f>
        <v>#VALUE!</v>
      </c>
    </row>
    <row r="1326" ht="-1">
      <c r="A1326" s="15"/>
      <c r="B1326" s="16" t="s">
        <v>56</v>
      </c>
      <c r="C1326" s="15"/>
      <c r="D1326" s="15"/>
      <c r="E1326" s="15"/>
      <c r="F1326" s="15"/>
      <c r="G1326" s="15"/>
      <c r="H1326" s="15"/>
      <c r="I1326" s="17" t="e">
        <f>=Round(SUM(I1300:I1325),0)</f>
        <v>#VALUE!</v>
      </c>
      <c r="J1326" s="17" t="e">
        <f>=Round(SUM(J1300:J1325),0)</f>
        <v>#VALUE!</v>
      </c>
    </row>
    <row r="1327">
      <c r="A1327" s="1" t="s">
        <v>0</v>
      </c>
      <c r="B1327" s="1"/>
      <c r="C1327" s="1"/>
      <c r="D1327" s="1"/>
    </row>
    <row r="1328">
      <c r="A1328" s="0" t="s">
        <v>1</v>
      </c>
      <c r="C1328" s="0" t="s">
        <v>2</v>
      </c>
      <c r="H1328" s="2" t="s">
        <v>3</v>
      </c>
    </row>
    <row r="1329">
      <c r="A1329" s="0" t="s">
        <v>4</v>
      </c>
      <c r="C1329" s="0" t="s">
        <v>90</v>
      </c>
      <c r="H1329" s="3" t="s">
        <v>6</v>
      </c>
    </row>
    <row r="1330">
      <c r="A1330" s="0" t="s">
        <v>7</v>
      </c>
      <c r="C1330" s="4" t="s">
        <v>8</v>
      </c>
      <c r="H1330" s="2" t="s">
        <v>9</v>
      </c>
    </row>
    <row r="1331">
      <c r="A1331" s="0" t="s">
        <v>10</v>
      </c>
      <c r="C1331" s="4" t="s">
        <v>11</v>
      </c>
      <c r="H1331" s="2" t="s">
        <v>12</v>
      </c>
    </row>
    <row r="1332">
      <c r="A1332" s="0" t="s">
        <v>13</v>
      </c>
      <c r="C1332" s="0" t="s">
        <v>14</v>
      </c>
    </row>
    <row r="1333">
      <c r="A1333" s="0" t="s">
        <v>15</v>
      </c>
      <c r="C1333" s="0" t="s">
        <v>16</v>
      </c>
    </row>
    <row r="1334">
      <c r="A1334" s="0" t="s">
        <v>17</v>
      </c>
      <c r="C1334" s="0" t="s">
        <v>18</v>
      </c>
    </row>
    <row r="1337">
      <c r="A1337" s="5" t="s">
        <v>19</v>
      </c>
      <c r="B1337" s="5" t="s">
        <v>20</v>
      </c>
      <c r="C1337" s="7" t="s">
        <v>21</v>
      </c>
      <c r="D1337" s="9"/>
      <c r="E1337" s="7" t="s">
        <v>22</v>
      </c>
      <c r="F1337" s="9"/>
      <c r="G1337" s="5" t="s">
        <v>23</v>
      </c>
      <c r="H1337" s="5" t="s">
        <v>24</v>
      </c>
      <c r="I1337" s="5" t="s">
        <v>25</v>
      </c>
      <c r="J1337" s="5" t="s">
        <v>26</v>
      </c>
    </row>
    <row r="1338">
      <c r="A1338" s="6"/>
      <c r="B1338" s="6"/>
      <c r="C1338" s="8" t="s">
        <v>27</v>
      </c>
      <c r="D1338" s="8" t="s">
        <v>28</v>
      </c>
      <c r="E1338" s="8" t="s">
        <v>27</v>
      </c>
      <c r="F1338" s="8" t="s">
        <v>28</v>
      </c>
      <c r="G1338" s="6"/>
      <c r="H1338" s="6"/>
      <c r="I1338" s="10" t="s">
        <v>29</v>
      </c>
      <c r="J1338" s="6"/>
    </row>
    <row r="1339">
      <c r="A1339" s="11" t="s">
        <v>30</v>
      </c>
      <c r="B1339" s="12">
        <v>3586.4187</v>
      </c>
      <c r="C1339" s="12">
        <v>0</v>
      </c>
      <c r="D1339" s="13">
        <v>0</v>
      </c>
      <c r="E1339" s="12">
        <v>0</v>
      </c>
      <c r="F1339" s="14">
        <v>0</v>
      </c>
      <c r="G1339" s="13">
        <v>18580.7778</v>
      </c>
      <c r="H1339" s="14">
        <v>66638448.962465</v>
      </c>
      <c r="I1339" s="14" t="e">
        <f>=Round(1501.27020000,0)</f>
        <v>#VALUE!</v>
      </c>
      <c r="J1339" s="14" t="e">
        <f>=Round(0.00000000,0)</f>
        <v>#VALUE!</v>
      </c>
    </row>
    <row r="1340">
      <c r="A1340" s="11" t="s">
        <v>31</v>
      </c>
      <c r="B1340" s="12">
        <v>3587.0477</v>
      </c>
      <c r="C1340" s="12">
        <v>0</v>
      </c>
      <c r="D1340" s="13">
        <v>0</v>
      </c>
      <c r="E1340" s="12">
        <v>0</v>
      </c>
      <c r="F1340" s="14">
        <v>0</v>
      </c>
      <c r="G1340" s="13">
        <v>18580.7778</v>
      </c>
      <c r="H1340" s="14">
        <v>66650136.271701</v>
      </c>
      <c r="I1340" s="14" t="e">
        <f>=Round(1502.09620000,0)</f>
        <v>#VALUE!</v>
      </c>
      <c r="J1340" s="14" t="e">
        <f>=Round(0.00000000,0)</f>
        <v>#VALUE!</v>
      </c>
    </row>
    <row r="1341">
      <c r="A1341" s="11" t="s">
        <v>32</v>
      </c>
      <c r="B1341" s="12">
        <v>3587.6685</v>
      </c>
      <c r="C1341" s="12">
        <v>0</v>
      </c>
      <c r="D1341" s="13">
        <v>0</v>
      </c>
      <c r="E1341" s="12">
        <v>0</v>
      </c>
      <c r="F1341" s="14">
        <v>0</v>
      </c>
      <c r="G1341" s="13">
        <v>18580.7778</v>
      </c>
      <c r="H1341" s="14">
        <v>66661671.218559</v>
      </c>
      <c r="I1341" s="14" t="e">
        <f>=Round(1502.35960000,0)</f>
        <v>#VALUE!</v>
      </c>
      <c r="J1341" s="14" t="e">
        <f>=Round(0.00000000,0)</f>
        <v>#VALUE!</v>
      </c>
    </row>
    <row r="1342">
      <c r="A1342" s="11" t="s">
        <v>33</v>
      </c>
      <c r="B1342" s="12">
        <v>3588.3573</v>
      </c>
      <c r="C1342" s="12">
        <v>0</v>
      </c>
      <c r="D1342" s="13">
        <v>0</v>
      </c>
      <c r="E1342" s="12">
        <v>0</v>
      </c>
      <c r="F1342" s="14">
        <v>0</v>
      </c>
      <c r="G1342" s="13">
        <v>18580.7778</v>
      </c>
      <c r="H1342" s="14">
        <v>66674469.658308</v>
      </c>
      <c r="I1342" s="14" t="e">
        <f>=Round(1502.61960000,0)</f>
        <v>#VALUE!</v>
      </c>
      <c r="J1342" s="14" t="e">
        <f>=Round(0.00000000,0)</f>
        <v>#VALUE!</v>
      </c>
    </row>
    <row r="1343">
      <c r="A1343" s="11" t="s">
        <v>34</v>
      </c>
      <c r="B1343" s="12">
        <v>3589.0109</v>
      </c>
      <c r="C1343" s="12">
        <v>0</v>
      </c>
      <c r="D1343" s="13">
        <v>0</v>
      </c>
      <c r="E1343" s="12">
        <v>0</v>
      </c>
      <c r="F1343" s="14">
        <v>0</v>
      </c>
      <c r="G1343" s="13">
        <v>18580.7778</v>
      </c>
      <c r="H1343" s="14">
        <v>66686614.054678</v>
      </c>
      <c r="I1343" s="14" t="e">
        <f>=Round(1502.90810000,0)</f>
        <v>#VALUE!</v>
      </c>
      <c r="J1343" s="14" t="e">
        <f>=Round(0.00000000,0)</f>
        <v>#VALUE!</v>
      </c>
    </row>
    <row r="1344">
      <c r="A1344" s="11" t="s">
        <v>35</v>
      </c>
      <c r="B1344" s="12">
        <v>3589.0109</v>
      </c>
      <c r="C1344" s="12">
        <v>0</v>
      </c>
      <c r="D1344" s="13">
        <v>0</v>
      </c>
      <c r="E1344" s="12">
        <v>0</v>
      </c>
      <c r="F1344" s="14">
        <v>0</v>
      </c>
      <c r="G1344" s="13">
        <v>18580.7778</v>
      </c>
      <c r="H1344" s="14">
        <v>66686614.054678</v>
      </c>
      <c r="I1344" s="14" t="e">
        <f>=Round(1503.18190000,0)</f>
        <v>#VALUE!</v>
      </c>
      <c r="J1344" s="14" t="e">
        <f>=Round(0.00000000,0)</f>
        <v>#VALUE!</v>
      </c>
    </row>
    <row r="1345">
      <c r="A1345" s="11" t="s">
        <v>36</v>
      </c>
      <c r="B1345" s="12">
        <v>3589.0109</v>
      </c>
      <c r="C1345" s="12">
        <v>0</v>
      </c>
      <c r="D1345" s="13">
        <v>0</v>
      </c>
      <c r="E1345" s="12">
        <v>0</v>
      </c>
      <c r="F1345" s="14">
        <v>0</v>
      </c>
      <c r="G1345" s="13">
        <v>18580.7778</v>
      </c>
      <c r="H1345" s="14">
        <v>66686614.054678</v>
      </c>
      <c r="I1345" s="14" t="e">
        <f>=Round(1503.18190000,0)</f>
        <v>#VALUE!</v>
      </c>
      <c r="J1345" s="14" t="e">
        <f>=Round(0.00000000,0)</f>
        <v>#VALUE!</v>
      </c>
    </row>
    <row r="1346">
      <c r="A1346" s="11" t="s">
        <v>37</v>
      </c>
      <c r="B1346" s="12">
        <v>3590.972</v>
      </c>
      <c r="C1346" s="12">
        <v>0</v>
      </c>
      <c r="D1346" s="13">
        <v>0</v>
      </c>
      <c r="E1346" s="12">
        <v>0</v>
      </c>
      <c r="F1346" s="14">
        <v>0</v>
      </c>
      <c r="G1346" s="13">
        <v>18580.7778</v>
      </c>
      <c r="H1346" s="14">
        <v>66723052.818022</v>
      </c>
      <c r="I1346" s="14" t="e">
        <f>=Round(1503.18190000,0)</f>
        <v>#VALUE!</v>
      </c>
      <c r="J1346" s="14" t="e">
        <f>=Round(0.00000000,0)</f>
        <v>#VALUE!</v>
      </c>
    </row>
    <row r="1347">
      <c r="A1347" s="11" t="s">
        <v>38</v>
      </c>
      <c r="B1347" s="12">
        <v>3591.6235</v>
      </c>
      <c r="C1347" s="12">
        <v>0</v>
      </c>
      <c r="D1347" s="13">
        <v>0</v>
      </c>
      <c r="E1347" s="12">
        <v>0</v>
      </c>
      <c r="F1347" s="14">
        <v>0</v>
      </c>
      <c r="G1347" s="13">
        <v>18580.7778</v>
      </c>
      <c r="H1347" s="14">
        <v>66735158.194758</v>
      </c>
      <c r="I1347" s="14" t="e">
        <f>=Round(1504.00320000,0)</f>
        <v>#VALUE!</v>
      </c>
      <c r="J1347" s="14" t="e">
        <f>=Round(0.00000000,0)</f>
        <v>#VALUE!</v>
      </c>
    </row>
    <row r="1348">
      <c r="A1348" s="11" t="s">
        <v>39</v>
      </c>
      <c r="B1348" s="12">
        <v>3592.281</v>
      </c>
      <c r="C1348" s="12">
        <v>0</v>
      </c>
      <c r="D1348" s="13">
        <v>0</v>
      </c>
      <c r="E1348" s="12">
        <v>0</v>
      </c>
      <c r="F1348" s="14">
        <v>0</v>
      </c>
      <c r="G1348" s="13">
        <v>18580.7778</v>
      </c>
      <c r="H1348" s="14">
        <v>66747375.056162</v>
      </c>
      <c r="I1348" s="14" t="e">
        <f>=Round(1504.27610000,0)</f>
        <v>#VALUE!</v>
      </c>
      <c r="J1348" s="14" t="e">
        <f>=Round(0.00000000,0)</f>
        <v>#VALUE!</v>
      </c>
    </row>
    <row r="1349">
      <c r="A1349" s="11" t="s">
        <v>40</v>
      </c>
      <c r="B1349" s="12">
        <v>3592.9125</v>
      </c>
      <c r="C1349" s="12">
        <v>0</v>
      </c>
      <c r="D1349" s="13">
        <v>0</v>
      </c>
      <c r="E1349" s="12">
        <v>0</v>
      </c>
      <c r="F1349" s="14">
        <v>0</v>
      </c>
      <c r="G1349" s="13">
        <v>18580.7778</v>
      </c>
      <c r="H1349" s="14">
        <v>66759108.817343</v>
      </c>
      <c r="I1349" s="14" t="e">
        <f>=Round(1504.55150000,0)</f>
        <v>#VALUE!</v>
      </c>
      <c r="J1349" s="14" t="e">
        <f>=Round(0.00000000,0)</f>
        <v>#VALUE!</v>
      </c>
    </row>
    <row r="1350">
      <c r="A1350" s="11" t="s">
        <v>41</v>
      </c>
      <c r="B1350" s="12">
        <v>3593.5674</v>
      </c>
      <c r="C1350" s="12">
        <v>0</v>
      </c>
      <c r="D1350" s="13">
        <v>0</v>
      </c>
      <c r="E1350" s="12">
        <v>0</v>
      </c>
      <c r="F1350" s="14">
        <v>0</v>
      </c>
      <c r="G1350" s="13">
        <v>18580.7778</v>
      </c>
      <c r="H1350" s="14">
        <v>66771277.368724</v>
      </c>
      <c r="I1350" s="14" t="e">
        <f>=Round(1504.81600000,0)</f>
        <v>#VALUE!</v>
      </c>
      <c r="J1350" s="14" t="e">
        <f>=Round(0.00000000,0)</f>
        <v>#VALUE!</v>
      </c>
    </row>
    <row r="1351">
      <c r="A1351" s="11" t="s">
        <v>42</v>
      </c>
      <c r="B1351" s="12">
        <v>3593.5674</v>
      </c>
      <c r="C1351" s="12">
        <v>0</v>
      </c>
      <c r="D1351" s="13">
        <v>0</v>
      </c>
      <c r="E1351" s="12">
        <v>0</v>
      </c>
      <c r="F1351" s="14">
        <v>0</v>
      </c>
      <c r="G1351" s="13">
        <v>18580.7778</v>
      </c>
      <c r="H1351" s="14">
        <v>66771277.368724</v>
      </c>
      <c r="I1351" s="14" t="e">
        <f>=Round(1505.09030000,0)</f>
        <v>#VALUE!</v>
      </c>
      <c r="J1351" s="14" t="e">
        <f>=Round(0.00000000,0)</f>
        <v>#VALUE!</v>
      </c>
    </row>
    <row r="1352">
      <c r="A1352" s="11" t="s">
        <v>43</v>
      </c>
      <c r="B1352" s="12">
        <v>3593.5674</v>
      </c>
      <c r="C1352" s="12">
        <v>0</v>
      </c>
      <c r="D1352" s="13">
        <v>0</v>
      </c>
      <c r="E1352" s="12">
        <v>0</v>
      </c>
      <c r="F1352" s="14">
        <v>0</v>
      </c>
      <c r="G1352" s="13">
        <v>18580.7778</v>
      </c>
      <c r="H1352" s="14">
        <v>66771277.368724</v>
      </c>
      <c r="I1352" s="14" t="e">
        <f>=Round(1505.09030000,0)</f>
        <v>#VALUE!</v>
      </c>
      <c r="J1352" s="14" t="e">
        <f>=Round(0.00000000,0)</f>
        <v>#VALUE!</v>
      </c>
    </row>
    <row r="1353">
      <c r="A1353" s="11" t="s">
        <v>44</v>
      </c>
      <c r="B1353" s="12">
        <v>3595.5366</v>
      </c>
      <c r="C1353" s="12">
        <v>0</v>
      </c>
      <c r="D1353" s="13">
        <v>0</v>
      </c>
      <c r="E1353" s="12">
        <v>0</v>
      </c>
      <c r="F1353" s="14">
        <v>0</v>
      </c>
      <c r="G1353" s="13">
        <v>18580.7778</v>
      </c>
      <c r="H1353" s="14">
        <v>66807866.636367</v>
      </c>
      <c r="I1353" s="14" t="e">
        <f>=Round(1505.09030000,0)</f>
        <v>#VALUE!</v>
      </c>
      <c r="J1353" s="14" t="e">
        <f>=Round(0.00000000,0)</f>
        <v>#VALUE!</v>
      </c>
    </row>
    <row r="1354">
      <c r="A1354" s="11" t="s">
        <v>45</v>
      </c>
      <c r="B1354" s="12">
        <v>3596.1915</v>
      </c>
      <c r="C1354" s="12">
        <v>0</v>
      </c>
      <c r="D1354" s="13">
        <v>0</v>
      </c>
      <c r="E1354" s="12">
        <v>0</v>
      </c>
      <c r="F1354" s="14">
        <v>0</v>
      </c>
      <c r="G1354" s="13">
        <v>18580.7778</v>
      </c>
      <c r="H1354" s="14">
        <v>66820035.187749</v>
      </c>
      <c r="I1354" s="14" t="e">
        <f>=Round(1505.91500000,0)</f>
        <v>#VALUE!</v>
      </c>
      <c r="J1354" s="14" t="e">
        <f>=Round(0.00000000,0)</f>
        <v>#VALUE!</v>
      </c>
    </row>
    <row r="1355">
      <c r="A1355" s="11" t="s">
        <v>46</v>
      </c>
      <c r="B1355" s="12">
        <v>3596.8461</v>
      </c>
      <c r="C1355" s="12">
        <v>0</v>
      </c>
      <c r="D1355" s="13">
        <v>0</v>
      </c>
      <c r="E1355" s="12">
        <v>0</v>
      </c>
      <c r="F1355" s="14">
        <v>0</v>
      </c>
      <c r="G1355" s="13">
        <v>18580.7778</v>
      </c>
      <c r="H1355" s="14">
        <v>66832198.164897</v>
      </c>
      <c r="I1355" s="14" t="e">
        <f>=Round(1506.18930000,0)</f>
        <v>#VALUE!</v>
      </c>
      <c r="J1355" s="14" t="e">
        <f>=Round(0.00000000,0)</f>
        <v>#VALUE!</v>
      </c>
    </row>
    <row r="1356">
      <c r="A1356" s="11" t="s">
        <v>47</v>
      </c>
      <c r="B1356" s="12">
        <v>3597.4992</v>
      </c>
      <c r="C1356" s="12">
        <v>0</v>
      </c>
      <c r="D1356" s="13">
        <v>0</v>
      </c>
      <c r="E1356" s="12">
        <v>0</v>
      </c>
      <c r="F1356" s="14">
        <v>0</v>
      </c>
      <c r="G1356" s="13">
        <v>18580.7778</v>
      </c>
      <c r="H1356" s="14">
        <v>66844333.270878</v>
      </c>
      <c r="I1356" s="14" t="e">
        <f>=Round(1506.46350000,0)</f>
        <v>#VALUE!</v>
      </c>
      <c r="J1356" s="14" t="e">
        <f>=Round(0.00000000,0)</f>
        <v>#VALUE!</v>
      </c>
    </row>
    <row r="1357">
      <c r="A1357" s="11" t="s">
        <v>48</v>
      </c>
      <c r="B1357" s="12">
        <v>3598.1558</v>
      </c>
      <c r="C1357" s="12">
        <v>0</v>
      </c>
      <c r="D1357" s="13">
        <v>0</v>
      </c>
      <c r="E1357" s="12">
        <v>0</v>
      </c>
      <c r="F1357" s="14">
        <v>0</v>
      </c>
      <c r="G1357" s="13">
        <v>18580.7778</v>
      </c>
      <c r="H1357" s="14">
        <v>66856533.409581</v>
      </c>
      <c r="I1357" s="14" t="e">
        <f>=Round(1506.73700000,0)</f>
        <v>#VALUE!</v>
      </c>
      <c r="J1357" s="14" t="e">
        <f>=Round(0.00000000,0)</f>
        <v>#VALUE!</v>
      </c>
    </row>
    <row r="1358">
      <c r="A1358" s="11" t="s">
        <v>49</v>
      </c>
      <c r="B1358" s="12">
        <v>3598.1558</v>
      </c>
      <c r="C1358" s="12">
        <v>0</v>
      </c>
      <c r="D1358" s="13">
        <v>0</v>
      </c>
      <c r="E1358" s="12">
        <v>0</v>
      </c>
      <c r="F1358" s="14">
        <v>0</v>
      </c>
      <c r="G1358" s="13">
        <v>18580.7778</v>
      </c>
      <c r="H1358" s="14">
        <v>66856533.409581</v>
      </c>
      <c r="I1358" s="14" t="e">
        <f>=Round(1507.01200000,0)</f>
        <v>#VALUE!</v>
      </c>
      <c r="J1358" s="14" t="e">
        <f>=Round(0.00000000,0)</f>
        <v>#VALUE!</v>
      </c>
    </row>
    <row r="1359">
      <c r="A1359" s="11" t="s">
        <v>50</v>
      </c>
      <c r="B1359" s="12">
        <v>3598.1558</v>
      </c>
      <c r="C1359" s="12">
        <v>0</v>
      </c>
      <c r="D1359" s="13">
        <v>0</v>
      </c>
      <c r="E1359" s="12">
        <v>0</v>
      </c>
      <c r="F1359" s="14">
        <v>0</v>
      </c>
      <c r="G1359" s="13">
        <v>18580.7778</v>
      </c>
      <c r="H1359" s="14">
        <v>66856533.409581</v>
      </c>
      <c r="I1359" s="14" t="e">
        <f>=Round(1507.01200000,0)</f>
        <v>#VALUE!</v>
      </c>
      <c r="J1359" s="14" t="e">
        <f>=Round(0.00000000,0)</f>
        <v>#VALUE!</v>
      </c>
    </row>
    <row r="1360">
      <c r="A1360" s="11" t="s">
        <v>51</v>
      </c>
      <c r="B1360" s="12">
        <v>3600.124</v>
      </c>
      <c r="C1360" s="12">
        <v>0</v>
      </c>
      <c r="D1360" s="13">
        <v>0</v>
      </c>
      <c r="E1360" s="12">
        <v>0</v>
      </c>
      <c r="F1360" s="14">
        <v>0</v>
      </c>
      <c r="G1360" s="13">
        <v>18580.7778</v>
      </c>
      <c r="H1360" s="14">
        <v>66893104.096447</v>
      </c>
      <c r="I1360" s="14" t="e">
        <f>=Round(1507.01200000,0)</f>
        <v>#VALUE!</v>
      </c>
      <c r="J1360" s="14" t="e">
        <f>=Round(0.00000000,0)</f>
        <v>#VALUE!</v>
      </c>
    </row>
    <row r="1361">
      <c r="A1361" s="11" t="s">
        <v>52</v>
      </c>
      <c r="B1361" s="12">
        <v>3600.7905</v>
      </c>
      <c r="C1361" s="12">
        <v>0</v>
      </c>
      <c r="D1361" s="13">
        <v>0</v>
      </c>
      <c r="E1361" s="12">
        <v>0</v>
      </c>
      <c r="F1361" s="14">
        <v>0</v>
      </c>
      <c r="G1361" s="13">
        <v>18580.7778</v>
      </c>
      <c r="H1361" s="14">
        <v>66905488.184851</v>
      </c>
      <c r="I1361" s="14" t="e">
        <f>=Round(1507.83640000,0)</f>
        <v>#VALUE!</v>
      </c>
      <c r="J1361" s="14" t="e">
        <f>=Round(0.00000000,0)</f>
        <v>#VALUE!</v>
      </c>
    </row>
    <row r="1362">
      <c r="A1362" s="11" t="s">
        <v>53</v>
      </c>
      <c r="B1362" s="12">
        <v>3601.445</v>
      </c>
      <c r="C1362" s="12">
        <v>0</v>
      </c>
      <c r="D1362" s="13">
        <v>0</v>
      </c>
      <c r="E1362" s="12">
        <v>0</v>
      </c>
      <c r="F1362" s="14">
        <v>0</v>
      </c>
      <c r="G1362" s="13">
        <v>18580.7778</v>
      </c>
      <c r="H1362" s="14">
        <v>66917649.303921</v>
      </c>
      <c r="I1362" s="14" t="e">
        <f>=Round(1508.11550000,0)</f>
        <v>#VALUE!</v>
      </c>
      <c r="J1362" s="14" t="e">
        <f>=Round(0.00000000,0)</f>
        <v>#VALUE!</v>
      </c>
    </row>
    <row r="1363">
      <c r="A1363" s="11" t="s">
        <v>54</v>
      </c>
      <c r="B1363" s="12">
        <v>3602.0851</v>
      </c>
      <c r="C1363" s="12">
        <v>0</v>
      </c>
      <c r="D1363" s="13">
        <v>0</v>
      </c>
      <c r="E1363" s="12">
        <v>0</v>
      </c>
      <c r="F1363" s="14">
        <v>0</v>
      </c>
      <c r="G1363" s="13">
        <v>18580.7778</v>
      </c>
      <c r="H1363" s="14">
        <v>66929542.859791</v>
      </c>
      <c r="I1363" s="14" t="e">
        <f>=Round(1508.38960000,0)</f>
        <v>#VALUE!</v>
      </c>
      <c r="J1363" s="14" t="e">
        <f>=Round(0.00000000,0)</f>
        <v>#VALUE!</v>
      </c>
    </row>
    <row r="1364">
      <c r="A1364" s="11" t="s">
        <v>55</v>
      </c>
      <c r="B1364" s="12">
        <v>3602.7417</v>
      </c>
      <c r="C1364" s="12">
        <v>0</v>
      </c>
      <c r="D1364" s="13">
        <v>0</v>
      </c>
      <c r="E1364" s="12">
        <v>0</v>
      </c>
      <c r="F1364" s="14">
        <v>0</v>
      </c>
      <c r="G1364" s="13">
        <v>18580.7778</v>
      </c>
      <c r="H1364" s="14">
        <v>66941742.998494</v>
      </c>
      <c r="I1364" s="14" t="e">
        <f>=Round(1508.65770000,0)</f>
        <v>#VALUE!</v>
      </c>
      <c r="J1364" s="14" t="e">
        <f>=Round(0.00000000,0)</f>
        <v>#VALUE!</v>
      </c>
    </row>
    <row r="1365" ht="-1">
      <c r="A1365" s="15"/>
      <c r="B1365" s="16" t="s">
        <v>56</v>
      </c>
      <c r="C1365" s="15"/>
      <c r="D1365" s="15"/>
      <c r="E1365" s="15"/>
      <c r="F1365" s="15"/>
      <c r="G1365" s="15"/>
      <c r="H1365" s="15"/>
      <c r="I1365" s="17" t="e">
        <f>=Round(SUM(I1339:I1364),0)</f>
        <v>#VALUE!</v>
      </c>
      <c r="J1365" s="17" t="e">
        <f>=Round(SUM(J1339:J1364),0)</f>
        <v>#VALUE!</v>
      </c>
    </row>
    <row r="1366">
      <c r="A1366" s="1" t="s">
        <v>0</v>
      </c>
      <c r="B1366" s="1"/>
      <c r="C1366" s="1"/>
      <c r="D1366" s="1"/>
    </row>
    <row r="1367">
      <c r="A1367" s="0" t="s">
        <v>1</v>
      </c>
      <c r="C1367" s="0" t="s">
        <v>2</v>
      </c>
      <c r="H1367" s="2" t="s">
        <v>3</v>
      </c>
    </row>
    <row r="1368">
      <c r="A1368" s="0" t="s">
        <v>4</v>
      </c>
      <c r="C1368" s="0" t="s">
        <v>91</v>
      </c>
      <c r="H1368" s="3" t="s">
        <v>6</v>
      </c>
    </row>
    <row r="1369">
      <c r="A1369" s="0" t="s">
        <v>7</v>
      </c>
      <c r="C1369" s="4" t="s">
        <v>8</v>
      </c>
      <c r="H1369" s="2" t="s">
        <v>9</v>
      </c>
    </row>
    <row r="1370">
      <c r="A1370" s="0" t="s">
        <v>10</v>
      </c>
      <c r="C1370" s="4" t="s">
        <v>11</v>
      </c>
      <c r="H1370" s="2" t="s">
        <v>12</v>
      </c>
    </row>
    <row r="1371">
      <c r="A1371" s="0" t="s">
        <v>13</v>
      </c>
      <c r="C1371" s="0" t="s">
        <v>14</v>
      </c>
    </row>
    <row r="1372">
      <c r="A1372" s="0" t="s">
        <v>15</v>
      </c>
      <c r="C1372" s="0" t="s">
        <v>16</v>
      </c>
    </row>
    <row r="1373">
      <c r="A1373" s="0" t="s">
        <v>17</v>
      </c>
      <c r="C1373" s="0" t="s">
        <v>18</v>
      </c>
    </row>
    <row r="1376">
      <c r="A1376" s="5" t="s">
        <v>19</v>
      </c>
      <c r="B1376" s="5" t="s">
        <v>20</v>
      </c>
      <c r="C1376" s="7" t="s">
        <v>21</v>
      </c>
      <c r="D1376" s="9"/>
      <c r="E1376" s="7" t="s">
        <v>22</v>
      </c>
      <c r="F1376" s="9"/>
      <c r="G1376" s="5" t="s">
        <v>23</v>
      </c>
      <c r="H1376" s="5" t="s">
        <v>24</v>
      </c>
      <c r="I1376" s="5" t="s">
        <v>25</v>
      </c>
      <c r="J1376" s="5" t="s">
        <v>26</v>
      </c>
    </row>
    <row r="1377">
      <c r="A1377" s="6"/>
      <c r="B1377" s="6"/>
      <c r="C1377" s="8" t="s">
        <v>27</v>
      </c>
      <c r="D1377" s="8" t="s">
        <v>28</v>
      </c>
      <c r="E1377" s="8" t="s">
        <v>27</v>
      </c>
      <c r="F1377" s="8" t="s">
        <v>28</v>
      </c>
      <c r="G1377" s="6"/>
      <c r="H1377" s="6"/>
      <c r="I1377" s="10" t="s">
        <v>29</v>
      </c>
      <c r="J1377" s="6"/>
    </row>
    <row r="1378">
      <c r="A1378" s="11" t="s">
        <v>30</v>
      </c>
      <c r="B1378" s="12">
        <v>3586.4187</v>
      </c>
      <c r="C1378" s="12">
        <v>0</v>
      </c>
      <c r="D1378" s="13">
        <v>0</v>
      </c>
      <c r="E1378" s="12">
        <v>0</v>
      </c>
      <c r="F1378" s="14">
        <v>0</v>
      </c>
      <c r="G1378" s="13">
        <v>2061.3482</v>
      </c>
      <c r="H1378" s="14">
        <v>7392857.731691</v>
      </c>
      <c r="I1378" s="14" t="e">
        <f>=Round(166.55060000,0)</f>
        <v>#VALUE!</v>
      </c>
      <c r="J1378" s="14" t="e">
        <f>=Round(0.00000000,0)</f>
        <v>#VALUE!</v>
      </c>
    </row>
    <row r="1379">
      <c r="A1379" s="11" t="s">
        <v>31</v>
      </c>
      <c r="B1379" s="12">
        <v>3587.0477</v>
      </c>
      <c r="C1379" s="12">
        <v>0</v>
      </c>
      <c r="D1379" s="13">
        <v>0</v>
      </c>
      <c r="E1379" s="12">
        <v>0</v>
      </c>
      <c r="F1379" s="14">
        <v>0</v>
      </c>
      <c r="G1379" s="13">
        <v>2061.3482</v>
      </c>
      <c r="H1379" s="14">
        <v>7394154.319709</v>
      </c>
      <c r="I1379" s="14" t="e">
        <f>=Round(166.64230000,0)</f>
        <v>#VALUE!</v>
      </c>
      <c r="J1379" s="14" t="e">
        <f>=Round(0.00000000,0)</f>
        <v>#VALUE!</v>
      </c>
    </row>
    <row r="1380">
      <c r="A1380" s="11" t="s">
        <v>32</v>
      </c>
      <c r="B1380" s="12">
        <v>3587.6685</v>
      </c>
      <c r="C1380" s="12">
        <v>0</v>
      </c>
      <c r="D1380" s="13">
        <v>0</v>
      </c>
      <c r="E1380" s="12">
        <v>0</v>
      </c>
      <c r="F1380" s="14">
        <v>0</v>
      </c>
      <c r="G1380" s="13">
        <v>2061.3482</v>
      </c>
      <c r="H1380" s="14">
        <v>7395434.004672</v>
      </c>
      <c r="I1380" s="14" t="e">
        <f>=Round(166.67150000,0)</f>
        <v>#VALUE!</v>
      </c>
      <c r="J1380" s="14" t="e">
        <f>=Round(0.00000000,0)</f>
        <v>#VALUE!</v>
      </c>
    </row>
    <row r="1381">
      <c r="A1381" s="11" t="s">
        <v>33</v>
      </c>
      <c r="B1381" s="12">
        <v>3588.3573</v>
      </c>
      <c r="C1381" s="12">
        <v>0</v>
      </c>
      <c r="D1381" s="13">
        <v>0</v>
      </c>
      <c r="E1381" s="12">
        <v>0</v>
      </c>
      <c r="F1381" s="14">
        <v>0</v>
      </c>
      <c r="G1381" s="13">
        <v>2061.3482</v>
      </c>
      <c r="H1381" s="14">
        <v>7396853.861312</v>
      </c>
      <c r="I1381" s="14" t="e">
        <f>=Round(166.70040000,0)</f>
        <v>#VALUE!</v>
      </c>
      <c r="J1381" s="14" t="e">
        <f>=Round(0.00000000,0)</f>
        <v>#VALUE!</v>
      </c>
    </row>
    <row r="1382">
      <c r="A1382" s="11" t="s">
        <v>34</v>
      </c>
      <c r="B1382" s="12">
        <v>3589.0109</v>
      </c>
      <c r="C1382" s="12">
        <v>0</v>
      </c>
      <c r="D1382" s="13">
        <v>0</v>
      </c>
      <c r="E1382" s="12">
        <v>0</v>
      </c>
      <c r="F1382" s="14">
        <v>0</v>
      </c>
      <c r="G1382" s="13">
        <v>2061.3482</v>
      </c>
      <c r="H1382" s="14">
        <v>7398201.158495</v>
      </c>
      <c r="I1382" s="14" t="e">
        <f>=Round(166.73240000,0)</f>
        <v>#VALUE!</v>
      </c>
      <c r="J1382" s="14" t="e">
        <f>=Round(0.00000000,0)</f>
        <v>#VALUE!</v>
      </c>
    </row>
    <row r="1383">
      <c r="A1383" s="11" t="s">
        <v>35</v>
      </c>
      <c r="B1383" s="12">
        <v>3589.0109</v>
      </c>
      <c r="C1383" s="12">
        <v>0</v>
      </c>
      <c r="D1383" s="13">
        <v>0</v>
      </c>
      <c r="E1383" s="12">
        <v>0</v>
      </c>
      <c r="F1383" s="14">
        <v>0</v>
      </c>
      <c r="G1383" s="13">
        <v>2061.3482</v>
      </c>
      <c r="H1383" s="14">
        <v>7398201.158495</v>
      </c>
      <c r="I1383" s="14" t="e">
        <f>=Round(166.76270000,0)</f>
        <v>#VALUE!</v>
      </c>
      <c r="J1383" s="14" t="e">
        <f>=Round(0.00000000,0)</f>
        <v>#VALUE!</v>
      </c>
    </row>
    <row r="1384">
      <c r="A1384" s="11" t="s">
        <v>36</v>
      </c>
      <c r="B1384" s="12">
        <v>3589.0109</v>
      </c>
      <c r="C1384" s="12">
        <v>0</v>
      </c>
      <c r="D1384" s="13">
        <v>0</v>
      </c>
      <c r="E1384" s="12">
        <v>0</v>
      </c>
      <c r="F1384" s="14">
        <v>0</v>
      </c>
      <c r="G1384" s="13">
        <v>2061.3482</v>
      </c>
      <c r="H1384" s="14">
        <v>7398201.158495</v>
      </c>
      <c r="I1384" s="14" t="e">
        <f>=Round(166.76270000,0)</f>
        <v>#VALUE!</v>
      </c>
      <c r="J1384" s="14" t="e">
        <f>=Round(0.00000000,0)</f>
        <v>#VALUE!</v>
      </c>
    </row>
    <row r="1385">
      <c r="A1385" s="11" t="s">
        <v>37</v>
      </c>
      <c r="B1385" s="12">
        <v>3590.972</v>
      </c>
      <c r="C1385" s="12">
        <v>0</v>
      </c>
      <c r="D1385" s="13">
        <v>0</v>
      </c>
      <c r="E1385" s="12">
        <v>0</v>
      </c>
      <c r="F1385" s="14">
        <v>0</v>
      </c>
      <c r="G1385" s="13">
        <v>2061.3482</v>
      </c>
      <c r="H1385" s="14">
        <v>7402243.66845</v>
      </c>
      <c r="I1385" s="14" t="e">
        <f>=Round(166.76270000,0)</f>
        <v>#VALUE!</v>
      </c>
      <c r="J1385" s="14" t="e">
        <f>=Round(0.00000000,0)</f>
        <v>#VALUE!</v>
      </c>
    </row>
    <row r="1386">
      <c r="A1386" s="11" t="s">
        <v>38</v>
      </c>
      <c r="B1386" s="12">
        <v>3591.6235</v>
      </c>
      <c r="C1386" s="12">
        <v>0</v>
      </c>
      <c r="D1386" s="13">
        <v>0</v>
      </c>
      <c r="E1386" s="12">
        <v>0</v>
      </c>
      <c r="F1386" s="14">
        <v>0</v>
      </c>
      <c r="G1386" s="13">
        <v>2061.3482</v>
      </c>
      <c r="H1386" s="14">
        <v>7403586.636803</v>
      </c>
      <c r="I1386" s="14" t="e">
        <f>=Round(166.85390000,0)</f>
        <v>#VALUE!</v>
      </c>
      <c r="J1386" s="14" t="e">
        <f>=Round(0.00000000,0)</f>
        <v>#VALUE!</v>
      </c>
    </row>
    <row r="1387">
      <c r="A1387" s="11" t="s">
        <v>39</v>
      </c>
      <c r="B1387" s="12">
        <v>3592.281</v>
      </c>
      <c r="C1387" s="12">
        <v>0</v>
      </c>
      <c r="D1387" s="13">
        <v>0</v>
      </c>
      <c r="E1387" s="12">
        <v>0</v>
      </c>
      <c r="F1387" s="14">
        <v>0</v>
      </c>
      <c r="G1387" s="13">
        <v>2061.3482</v>
      </c>
      <c r="H1387" s="14">
        <v>7404941.973244</v>
      </c>
      <c r="I1387" s="14" t="e">
        <f>=Round(166.88410000,0)</f>
        <v>#VALUE!</v>
      </c>
      <c r="J1387" s="14" t="e">
        <f>=Round(0.00000000,0)</f>
        <v>#VALUE!</v>
      </c>
    </row>
    <row r="1388">
      <c r="A1388" s="11" t="s">
        <v>40</v>
      </c>
      <c r="B1388" s="12">
        <v>3592.9125</v>
      </c>
      <c r="C1388" s="12">
        <v>0</v>
      </c>
      <c r="D1388" s="13">
        <v>0</v>
      </c>
      <c r="E1388" s="12">
        <v>0</v>
      </c>
      <c r="F1388" s="14">
        <v>0</v>
      </c>
      <c r="G1388" s="13">
        <v>2061.3482</v>
      </c>
      <c r="H1388" s="14">
        <v>7406243.714633</v>
      </c>
      <c r="I1388" s="14" t="e">
        <f>=Round(166.91470000,0)</f>
        <v>#VALUE!</v>
      </c>
      <c r="J1388" s="14" t="e">
        <f>=Round(0.00000000,0)</f>
        <v>#VALUE!</v>
      </c>
    </row>
    <row r="1389">
      <c r="A1389" s="11" t="s">
        <v>41</v>
      </c>
      <c r="B1389" s="12">
        <v>3593.5674</v>
      </c>
      <c r="C1389" s="12">
        <v>0</v>
      </c>
      <c r="D1389" s="13">
        <v>0</v>
      </c>
      <c r="E1389" s="12">
        <v>0</v>
      </c>
      <c r="F1389" s="14">
        <v>0</v>
      </c>
      <c r="G1389" s="13">
        <v>2061.3482</v>
      </c>
      <c r="H1389" s="14">
        <v>7407593.691569</v>
      </c>
      <c r="I1389" s="14" t="e">
        <f>=Round(166.94400000,0)</f>
        <v>#VALUE!</v>
      </c>
      <c r="J1389" s="14" t="e">
        <f>=Round(0.00000000,0)</f>
        <v>#VALUE!</v>
      </c>
    </row>
    <row r="1390">
      <c r="A1390" s="11" t="s">
        <v>42</v>
      </c>
      <c r="B1390" s="12">
        <v>3593.5674</v>
      </c>
      <c r="C1390" s="12">
        <v>0</v>
      </c>
      <c r="D1390" s="13">
        <v>0</v>
      </c>
      <c r="E1390" s="12">
        <v>0</v>
      </c>
      <c r="F1390" s="14">
        <v>0</v>
      </c>
      <c r="G1390" s="13">
        <v>2061.3482</v>
      </c>
      <c r="H1390" s="14">
        <v>7407593.691569</v>
      </c>
      <c r="I1390" s="14" t="e">
        <f>=Round(166.97440000,0)</f>
        <v>#VALUE!</v>
      </c>
      <c r="J1390" s="14" t="e">
        <f>=Round(0.00000000,0)</f>
        <v>#VALUE!</v>
      </c>
    </row>
    <row r="1391">
      <c r="A1391" s="11" t="s">
        <v>43</v>
      </c>
      <c r="B1391" s="12">
        <v>3593.5674</v>
      </c>
      <c r="C1391" s="12">
        <v>0</v>
      </c>
      <c r="D1391" s="13">
        <v>0</v>
      </c>
      <c r="E1391" s="12">
        <v>0</v>
      </c>
      <c r="F1391" s="14">
        <v>0</v>
      </c>
      <c r="G1391" s="13">
        <v>2061.3482</v>
      </c>
      <c r="H1391" s="14">
        <v>7407593.691569</v>
      </c>
      <c r="I1391" s="14" t="e">
        <f>=Round(166.97440000,0)</f>
        <v>#VALUE!</v>
      </c>
      <c r="J1391" s="14" t="e">
        <f>=Round(0.00000000,0)</f>
        <v>#VALUE!</v>
      </c>
    </row>
    <row r="1392">
      <c r="A1392" s="11" t="s">
        <v>44</v>
      </c>
      <c r="B1392" s="12">
        <v>3595.5366</v>
      </c>
      <c r="C1392" s="12">
        <v>0</v>
      </c>
      <c r="D1392" s="13">
        <v>0</v>
      </c>
      <c r="E1392" s="12">
        <v>0</v>
      </c>
      <c r="F1392" s="14">
        <v>0</v>
      </c>
      <c r="G1392" s="13">
        <v>2061.3482</v>
      </c>
      <c r="H1392" s="14">
        <v>7411652.898444</v>
      </c>
      <c r="I1392" s="14" t="e">
        <f>=Round(166.97440000,0)</f>
        <v>#VALUE!</v>
      </c>
      <c r="J1392" s="14" t="e">
        <f>=Round(0.00000000,0)</f>
        <v>#VALUE!</v>
      </c>
    </row>
    <row r="1393">
      <c r="A1393" s="11" t="s">
        <v>45</v>
      </c>
      <c r="B1393" s="12">
        <v>3596.1915</v>
      </c>
      <c r="C1393" s="12">
        <v>0</v>
      </c>
      <c r="D1393" s="13">
        <v>0</v>
      </c>
      <c r="E1393" s="12">
        <v>0</v>
      </c>
      <c r="F1393" s="14">
        <v>0</v>
      </c>
      <c r="G1393" s="13">
        <v>2061.3482</v>
      </c>
      <c r="H1393" s="14">
        <v>7413002.87538</v>
      </c>
      <c r="I1393" s="14" t="e">
        <f>=Round(167.06590000,0)</f>
        <v>#VALUE!</v>
      </c>
      <c r="J1393" s="14" t="e">
        <f>=Round(0.00000000,0)</f>
        <v>#VALUE!</v>
      </c>
    </row>
    <row r="1394">
      <c r="A1394" s="11" t="s">
        <v>46</v>
      </c>
      <c r="B1394" s="12">
        <v>3596.8461</v>
      </c>
      <c r="C1394" s="12">
        <v>0</v>
      </c>
      <c r="D1394" s="13">
        <v>0</v>
      </c>
      <c r="E1394" s="12">
        <v>0</v>
      </c>
      <c r="F1394" s="14">
        <v>0</v>
      </c>
      <c r="G1394" s="13">
        <v>2061.3482</v>
      </c>
      <c r="H1394" s="14">
        <v>7414352.233912</v>
      </c>
      <c r="I1394" s="14" t="e">
        <f>=Round(167.09640000,0)</f>
        <v>#VALUE!</v>
      </c>
      <c r="J1394" s="14" t="e">
        <f>=Round(0.00000000,0)</f>
        <v>#VALUE!</v>
      </c>
    </row>
    <row r="1395">
      <c r="A1395" s="11" t="s">
        <v>47</v>
      </c>
      <c r="B1395" s="12">
        <v>3597.4992</v>
      </c>
      <c r="C1395" s="12">
        <v>0</v>
      </c>
      <c r="D1395" s="13">
        <v>0</v>
      </c>
      <c r="E1395" s="12">
        <v>0</v>
      </c>
      <c r="F1395" s="14">
        <v>0</v>
      </c>
      <c r="G1395" s="13">
        <v>2061.3482</v>
      </c>
      <c r="H1395" s="14">
        <v>7415698.500421</v>
      </c>
      <c r="I1395" s="14" t="e">
        <f>=Round(167.12680000,0)</f>
        <v>#VALUE!</v>
      </c>
      <c r="J1395" s="14" t="e">
        <f>=Round(0.00000000,0)</f>
        <v>#VALUE!</v>
      </c>
    </row>
    <row r="1396">
      <c r="A1396" s="11" t="s">
        <v>48</v>
      </c>
      <c r="B1396" s="12">
        <v>3598.1558</v>
      </c>
      <c r="C1396" s="12">
        <v>0</v>
      </c>
      <c r="D1396" s="13">
        <v>0</v>
      </c>
      <c r="E1396" s="12">
        <v>0</v>
      </c>
      <c r="F1396" s="14">
        <v>0</v>
      </c>
      <c r="G1396" s="13">
        <v>2061.3482</v>
      </c>
      <c r="H1396" s="14">
        <v>7417051.98165</v>
      </c>
      <c r="I1396" s="14" t="e">
        <f>=Round(167.15710000,0)</f>
        <v>#VALUE!</v>
      </c>
      <c r="J1396" s="14" t="e">
        <f>=Round(0.00000000,0)</f>
        <v>#VALUE!</v>
      </c>
    </row>
    <row r="1397">
      <c r="A1397" s="11" t="s">
        <v>49</v>
      </c>
      <c r="B1397" s="12">
        <v>3598.1558</v>
      </c>
      <c r="C1397" s="12">
        <v>0</v>
      </c>
      <c r="D1397" s="13">
        <v>0</v>
      </c>
      <c r="E1397" s="12">
        <v>0</v>
      </c>
      <c r="F1397" s="14">
        <v>0</v>
      </c>
      <c r="G1397" s="13">
        <v>2061.3482</v>
      </c>
      <c r="H1397" s="14">
        <v>7417051.98165</v>
      </c>
      <c r="I1397" s="14" t="e">
        <f>=Round(167.18760000,0)</f>
        <v>#VALUE!</v>
      </c>
      <c r="J1397" s="14" t="e">
        <f>=Round(0.00000000,0)</f>
        <v>#VALUE!</v>
      </c>
    </row>
    <row r="1398">
      <c r="A1398" s="11" t="s">
        <v>50</v>
      </c>
      <c r="B1398" s="12">
        <v>3598.1558</v>
      </c>
      <c r="C1398" s="12">
        <v>0</v>
      </c>
      <c r="D1398" s="13">
        <v>0</v>
      </c>
      <c r="E1398" s="12">
        <v>0</v>
      </c>
      <c r="F1398" s="14">
        <v>0</v>
      </c>
      <c r="G1398" s="13">
        <v>2061.3482</v>
      </c>
      <c r="H1398" s="14">
        <v>7417051.98165</v>
      </c>
      <c r="I1398" s="14" t="e">
        <f>=Round(167.18760000,0)</f>
        <v>#VALUE!</v>
      </c>
      <c r="J1398" s="14" t="e">
        <f>=Round(0.00000000,0)</f>
        <v>#VALUE!</v>
      </c>
    </row>
    <row r="1399">
      <c r="A1399" s="11" t="s">
        <v>51</v>
      </c>
      <c r="B1399" s="12">
        <v>3600.124</v>
      </c>
      <c r="C1399" s="12">
        <v>0</v>
      </c>
      <c r="D1399" s="13">
        <v>0</v>
      </c>
      <c r="E1399" s="12">
        <v>0</v>
      </c>
      <c r="F1399" s="14">
        <v>0</v>
      </c>
      <c r="G1399" s="13">
        <v>2061.3482</v>
      </c>
      <c r="H1399" s="14">
        <v>7421109.127177</v>
      </c>
      <c r="I1399" s="14" t="e">
        <f>=Round(167.18760000,0)</f>
        <v>#VALUE!</v>
      </c>
      <c r="J1399" s="14" t="e">
        <f>=Round(0.00000000,0)</f>
        <v>#VALUE!</v>
      </c>
    </row>
    <row r="1400">
      <c r="A1400" s="11" t="s">
        <v>52</v>
      </c>
      <c r="B1400" s="12">
        <v>3600.7905</v>
      </c>
      <c r="C1400" s="12">
        <v>0</v>
      </c>
      <c r="D1400" s="13">
        <v>0</v>
      </c>
      <c r="E1400" s="12">
        <v>0</v>
      </c>
      <c r="F1400" s="14">
        <v>0</v>
      </c>
      <c r="G1400" s="13">
        <v>2061.3482</v>
      </c>
      <c r="H1400" s="14">
        <v>7422483.015752</v>
      </c>
      <c r="I1400" s="14" t="e">
        <f>=Round(167.27910000,0)</f>
        <v>#VALUE!</v>
      </c>
      <c r="J1400" s="14" t="e">
        <f>=Round(0.00000000,0)</f>
        <v>#VALUE!</v>
      </c>
    </row>
    <row r="1401">
      <c r="A1401" s="11" t="s">
        <v>53</v>
      </c>
      <c r="B1401" s="12">
        <v>3601.445</v>
      </c>
      <c r="C1401" s="12">
        <v>0</v>
      </c>
      <c r="D1401" s="13">
        <v>0</v>
      </c>
      <c r="E1401" s="12">
        <v>0</v>
      </c>
      <c r="F1401" s="14">
        <v>0</v>
      </c>
      <c r="G1401" s="13">
        <v>2061.3482</v>
      </c>
      <c r="H1401" s="14">
        <v>7423832.168149</v>
      </c>
      <c r="I1401" s="14" t="e">
        <f>=Round(167.31010000,0)</f>
        <v>#VALUE!</v>
      </c>
      <c r="J1401" s="14" t="e">
        <f>=Round(0.00000000,0)</f>
        <v>#VALUE!</v>
      </c>
    </row>
    <row r="1402">
      <c r="A1402" s="11" t="s">
        <v>54</v>
      </c>
      <c r="B1402" s="12">
        <v>3602.0851</v>
      </c>
      <c r="C1402" s="12">
        <v>0</v>
      </c>
      <c r="D1402" s="13">
        <v>0</v>
      </c>
      <c r="E1402" s="12">
        <v>0</v>
      </c>
      <c r="F1402" s="14">
        <v>0</v>
      </c>
      <c r="G1402" s="13">
        <v>2061.3482</v>
      </c>
      <c r="H1402" s="14">
        <v>7425151.637132</v>
      </c>
      <c r="I1402" s="14" t="e">
        <f>=Round(167.34050000,0)</f>
        <v>#VALUE!</v>
      </c>
      <c r="J1402" s="14" t="e">
        <f>=Round(0.00000000,0)</f>
        <v>#VALUE!</v>
      </c>
    </row>
    <row r="1403">
      <c r="A1403" s="11" t="s">
        <v>55</v>
      </c>
      <c r="B1403" s="12">
        <v>3602.7417</v>
      </c>
      <c r="C1403" s="12">
        <v>0</v>
      </c>
      <c r="D1403" s="13">
        <v>0</v>
      </c>
      <c r="E1403" s="12">
        <v>0</v>
      </c>
      <c r="F1403" s="14">
        <v>0</v>
      </c>
      <c r="G1403" s="13">
        <v>2061.3482</v>
      </c>
      <c r="H1403" s="14">
        <v>7426505.11836</v>
      </c>
      <c r="I1403" s="14" t="e">
        <f>=Round(167.37020000,0)</f>
        <v>#VALUE!</v>
      </c>
      <c r="J1403" s="14" t="e">
        <f>=Round(0.00000000,0)</f>
        <v>#VALUE!</v>
      </c>
    </row>
    <row r="1404" ht="-1">
      <c r="A1404" s="15"/>
      <c r="B1404" s="16" t="s">
        <v>56</v>
      </c>
      <c r="C1404" s="15"/>
      <c r="D1404" s="15"/>
      <c r="E1404" s="15"/>
      <c r="F1404" s="15"/>
      <c r="G1404" s="15"/>
      <c r="H1404" s="15"/>
      <c r="I1404" s="17" t="e">
        <f>=Round(SUM(I1378:I1403),0)</f>
        <v>#VALUE!</v>
      </c>
      <c r="J1404" s="17" t="e">
        <f>=Round(SUM(J1378:J1403),0)</f>
        <v>#VALUE!</v>
      </c>
    </row>
    <row r="1405">
      <c r="A1405" s="1" t="s">
        <v>0</v>
      </c>
      <c r="B1405" s="1"/>
      <c r="C1405" s="1"/>
      <c r="D1405" s="1"/>
    </row>
    <row r="1406">
      <c r="A1406" s="0" t="s">
        <v>1</v>
      </c>
      <c r="C1406" s="0" t="s">
        <v>2</v>
      </c>
      <c r="H1406" s="2" t="s">
        <v>3</v>
      </c>
    </row>
    <row r="1407">
      <c r="A1407" s="0" t="s">
        <v>4</v>
      </c>
      <c r="C1407" s="0" t="s">
        <v>92</v>
      </c>
      <c r="H1407" s="3" t="s">
        <v>6</v>
      </c>
    </row>
    <row r="1408">
      <c r="A1408" s="0" t="s">
        <v>7</v>
      </c>
      <c r="C1408" s="4" t="s">
        <v>8</v>
      </c>
      <c r="H1408" s="2" t="s">
        <v>9</v>
      </c>
    </row>
    <row r="1409">
      <c r="A1409" s="0" t="s">
        <v>10</v>
      </c>
      <c r="C1409" s="4" t="s">
        <v>11</v>
      </c>
      <c r="H1409" s="2" t="s">
        <v>12</v>
      </c>
    </row>
    <row r="1410">
      <c r="A1410" s="0" t="s">
        <v>13</v>
      </c>
      <c r="C1410" s="0" t="s">
        <v>14</v>
      </c>
    </row>
    <row r="1411">
      <c r="A1411" s="0" t="s">
        <v>15</v>
      </c>
      <c r="C1411" s="0" t="s">
        <v>16</v>
      </c>
    </row>
    <row r="1412">
      <c r="A1412" s="0" t="s">
        <v>17</v>
      </c>
      <c r="C1412" s="0" t="s">
        <v>18</v>
      </c>
    </row>
    <row r="1415">
      <c r="A1415" s="5" t="s">
        <v>19</v>
      </c>
      <c r="B1415" s="5" t="s">
        <v>20</v>
      </c>
      <c r="C1415" s="7" t="s">
        <v>21</v>
      </c>
      <c r="D1415" s="9"/>
      <c r="E1415" s="7" t="s">
        <v>22</v>
      </c>
      <c r="F1415" s="9"/>
      <c r="G1415" s="5" t="s">
        <v>23</v>
      </c>
      <c r="H1415" s="5" t="s">
        <v>24</v>
      </c>
      <c r="I1415" s="5" t="s">
        <v>25</v>
      </c>
      <c r="J1415" s="5" t="s">
        <v>26</v>
      </c>
    </row>
    <row r="1416">
      <c r="A1416" s="6"/>
      <c r="B1416" s="6"/>
      <c r="C1416" s="8" t="s">
        <v>27</v>
      </c>
      <c r="D1416" s="8" t="s">
        <v>28</v>
      </c>
      <c r="E1416" s="8" t="s">
        <v>27</v>
      </c>
      <c r="F1416" s="8" t="s">
        <v>28</v>
      </c>
      <c r="G1416" s="6"/>
      <c r="H1416" s="6"/>
      <c r="I1416" s="10" t="s">
        <v>29</v>
      </c>
      <c r="J1416" s="6"/>
    </row>
    <row r="1417">
      <c r="A1417" s="11" t="s">
        <v>30</v>
      </c>
      <c r="B1417" s="12">
        <v>3586.4187</v>
      </c>
      <c r="C1417" s="12">
        <v>0</v>
      </c>
      <c r="D1417" s="13">
        <v>0</v>
      </c>
      <c r="E1417" s="12">
        <v>0</v>
      </c>
      <c r="F1417" s="14">
        <v>0</v>
      </c>
      <c r="G1417" s="13">
        <v>483.8469</v>
      </c>
      <c r="H1417" s="14">
        <v>1735277.570097</v>
      </c>
      <c r="I1417" s="14" t="e">
        <f>=Round(39.09340000,0)</f>
        <v>#VALUE!</v>
      </c>
      <c r="J1417" s="14" t="e">
        <f>=Round(0.00000000,0)</f>
        <v>#VALUE!</v>
      </c>
    </row>
    <row r="1418">
      <c r="A1418" s="11" t="s">
        <v>31</v>
      </c>
      <c r="B1418" s="12">
        <v>3587.0477</v>
      </c>
      <c r="C1418" s="12">
        <v>0</v>
      </c>
      <c r="D1418" s="13">
        <v>0</v>
      </c>
      <c r="E1418" s="12">
        <v>0</v>
      </c>
      <c r="F1418" s="14">
        <v>0</v>
      </c>
      <c r="G1418" s="13">
        <v>483.8469</v>
      </c>
      <c r="H1418" s="14">
        <v>1735581.909797</v>
      </c>
      <c r="I1418" s="14" t="e">
        <f>=Round(39.11490000,0)</f>
        <v>#VALUE!</v>
      </c>
      <c r="J1418" s="14" t="e">
        <f>=Round(0.00000000,0)</f>
        <v>#VALUE!</v>
      </c>
    </row>
    <row r="1419">
      <c r="A1419" s="11" t="s">
        <v>32</v>
      </c>
      <c r="B1419" s="12">
        <v>3587.6685</v>
      </c>
      <c r="C1419" s="12">
        <v>0</v>
      </c>
      <c r="D1419" s="13">
        <v>0</v>
      </c>
      <c r="E1419" s="12">
        <v>0</v>
      </c>
      <c r="F1419" s="14">
        <v>0</v>
      </c>
      <c r="G1419" s="13">
        <v>483.8469</v>
      </c>
      <c r="H1419" s="14">
        <v>1735882.281953</v>
      </c>
      <c r="I1419" s="14" t="e">
        <f>=Round(39.12170000,0)</f>
        <v>#VALUE!</v>
      </c>
      <c r="J1419" s="14" t="e">
        <f>=Round(0.00000000,0)</f>
        <v>#VALUE!</v>
      </c>
    </row>
    <row r="1420">
      <c r="A1420" s="11" t="s">
        <v>33</v>
      </c>
      <c r="B1420" s="12">
        <v>3588.3573</v>
      </c>
      <c r="C1420" s="12">
        <v>0</v>
      </c>
      <c r="D1420" s="13">
        <v>0</v>
      </c>
      <c r="E1420" s="12">
        <v>0</v>
      </c>
      <c r="F1420" s="14">
        <v>0</v>
      </c>
      <c r="G1420" s="13">
        <v>483.8469</v>
      </c>
      <c r="H1420" s="14">
        <v>1736215.555697</v>
      </c>
      <c r="I1420" s="14" t="e">
        <f>=Round(39.12850000,0)</f>
        <v>#VALUE!</v>
      </c>
      <c r="J1420" s="14" t="e">
        <f>=Round(0.00000000,0)</f>
        <v>#VALUE!</v>
      </c>
    </row>
    <row r="1421">
      <c r="A1421" s="11" t="s">
        <v>34</v>
      </c>
      <c r="B1421" s="12">
        <v>3589.0109</v>
      </c>
      <c r="C1421" s="12">
        <v>0</v>
      </c>
      <c r="D1421" s="13">
        <v>0</v>
      </c>
      <c r="E1421" s="12">
        <v>0</v>
      </c>
      <c r="F1421" s="14">
        <v>0</v>
      </c>
      <c r="G1421" s="13">
        <v>483.8469</v>
      </c>
      <c r="H1421" s="14">
        <v>1736531.798031</v>
      </c>
      <c r="I1421" s="14" t="e">
        <f>=Round(39.13600000,0)</f>
        <v>#VALUE!</v>
      </c>
      <c r="J1421" s="14" t="e">
        <f>=Round(0.00000000,0)</f>
        <v>#VALUE!</v>
      </c>
    </row>
    <row r="1422">
      <c r="A1422" s="11" t="s">
        <v>35</v>
      </c>
      <c r="B1422" s="12">
        <v>3589.0109</v>
      </c>
      <c r="C1422" s="12">
        <v>0</v>
      </c>
      <c r="D1422" s="13">
        <v>0</v>
      </c>
      <c r="E1422" s="12">
        <v>0</v>
      </c>
      <c r="F1422" s="14">
        <v>0</v>
      </c>
      <c r="G1422" s="13">
        <v>483.8469</v>
      </c>
      <c r="H1422" s="14">
        <v>1736531.798031</v>
      </c>
      <c r="I1422" s="14" t="e">
        <f>=Round(39.14310000,0)</f>
        <v>#VALUE!</v>
      </c>
      <c r="J1422" s="14" t="e">
        <f>=Round(0.00000000,0)</f>
        <v>#VALUE!</v>
      </c>
    </row>
    <row r="1423">
      <c r="A1423" s="11" t="s">
        <v>36</v>
      </c>
      <c r="B1423" s="12">
        <v>3589.0109</v>
      </c>
      <c r="C1423" s="12">
        <v>0</v>
      </c>
      <c r="D1423" s="13">
        <v>0</v>
      </c>
      <c r="E1423" s="12">
        <v>0</v>
      </c>
      <c r="F1423" s="14">
        <v>0</v>
      </c>
      <c r="G1423" s="13">
        <v>483.8469</v>
      </c>
      <c r="H1423" s="14">
        <v>1736531.798031</v>
      </c>
      <c r="I1423" s="14" t="e">
        <f>=Round(39.14310000,0)</f>
        <v>#VALUE!</v>
      </c>
      <c r="J1423" s="14" t="e">
        <f>=Round(0.00000000,0)</f>
        <v>#VALUE!</v>
      </c>
    </row>
    <row r="1424">
      <c r="A1424" s="11" t="s">
        <v>37</v>
      </c>
      <c r="B1424" s="12">
        <v>3590.972</v>
      </c>
      <c r="C1424" s="12">
        <v>0</v>
      </c>
      <c r="D1424" s="13">
        <v>0</v>
      </c>
      <c r="E1424" s="12">
        <v>0</v>
      </c>
      <c r="F1424" s="14">
        <v>0</v>
      </c>
      <c r="G1424" s="13">
        <v>483.8469</v>
      </c>
      <c r="H1424" s="14">
        <v>1737480.670187</v>
      </c>
      <c r="I1424" s="14" t="e">
        <f>=Round(39.14310000,0)</f>
        <v>#VALUE!</v>
      </c>
      <c r="J1424" s="14" t="e">
        <f>=Round(0.00000000,0)</f>
        <v>#VALUE!</v>
      </c>
    </row>
    <row r="1425">
      <c r="A1425" s="11" t="s">
        <v>38</v>
      </c>
      <c r="B1425" s="12">
        <v>3591.6235</v>
      </c>
      <c r="C1425" s="12">
        <v>0</v>
      </c>
      <c r="D1425" s="13">
        <v>0</v>
      </c>
      <c r="E1425" s="12">
        <v>0</v>
      </c>
      <c r="F1425" s="14">
        <v>0</v>
      </c>
      <c r="G1425" s="13">
        <v>483.8469</v>
      </c>
      <c r="H1425" s="14">
        <v>1737795.896442</v>
      </c>
      <c r="I1425" s="14" t="e">
        <f>=Round(39.16450000,0)</f>
        <v>#VALUE!</v>
      </c>
      <c r="J1425" s="14" t="e">
        <f>=Round(0.00000000,0)</f>
        <v>#VALUE!</v>
      </c>
    </row>
    <row r="1426">
      <c r="A1426" s="11" t="s">
        <v>39</v>
      </c>
      <c r="B1426" s="12">
        <v>3592.281</v>
      </c>
      <c r="C1426" s="12">
        <v>0</v>
      </c>
      <c r="D1426" s="13">
        <v>0</v>
      </c>
      <c r="E1426" s="12">
        <v>0</v>
      </c>
      <c r="F1426" s="14">
        <v>0</v>
      </c>
      <c r="G1426" s="13">
        <v>483.8469</v>
      </c>
      <c r="H1426" s="14">
        <v>1738114.025779</v>
      </c>
      <c r="I1426" s="14" t="e">
        <f>=Round(39.17160000,0)</f>
        <v>#VALUE!</v>
      </c>
      <c r="J1426" s="14" t="e">
        <f>=Round(0.00000000,0)</f>
        <v>#VALUE!</v>
      </c>
    </row>
    <row r="1427">
      <c r="A1427" s="11" t="s">
        <v>40</v>
      </c>
      <c r="B1427" s="12">
        <v>3592.9125</v>
      </c>
      <c r="C1427" s="12">
        <v>0</v>
      </c>
      <c r="D1427" s="13">
        <v>0</v>
      </c>
      <c r="E1427" s="12">
        <v>0</v>
      </c>
      <c r="F1427" s="14">
        <v>0</v>
      </c>
      <c r="G1427" s="13">
        <v>483.8469</v>
      </c>
      <c r="H1427" s="14">
        <v>1738419.575096</v>
      </c>
      <c r="I1427" s="14" t="e">
        <f>=Round(39.17880000,0)</f>
        <v>#VALUE!</v>
      </c>
      <c r="J1427" s="14" t="e">
        <f>=Round(0.00000000,0)</f>
        <v>#VALUE!</v>
      </c>
    </row>
    <row r="1428">
      <c r="A1428" s="11" t="s">
        <v>41</v>
      </c>
      <c r="B1428" s="12">
        <v>3593.5674</v>
      </c>
      <c r="C1428" s="12">
        <v>0</v>
      </c>
      <c r="D1428" s="13">
        <v>0</v>
      </c>
      <c r="E1428" s="12">
        <v>0</v>
      </c>
      <c r="F1428" s="14">
        <v>0</v>
      </c>
      <c r="G1428" s="13">
        <v>483.8469</v>
      </c>
      <c r="H1428" s="14">
        <v>1738736.446431</v>
      </c>
      <c r="I1428" s="14" t="e">
        <f>=Round(39.18570000,0)</f>
        <v>#VALUE!</v>
      </c>
      <c r="J1428" s="14" t="e">
        <f>=Round(0.00000000,0)</f>
        <v>#VALUE!</v>
      </c>
    </row>
    <row r="1429">
      <c r="A1429" s="11" t="s">
        <v>42</v>
      </c>
      <c r="B1429" s="12">
        <v>3593.5674</v>
      </c>
      <c r="C1429" s="12">
        <v>0</v>
      </c>
      <c r="D1429" s="13">
        <v>0</v>
      </c>
      <c r="E1429" s="12">
        <v>0</v>
      </c>
      <c r="F1429" s="14">
        <v>0</v>
      </c>
      <c r="G1429" s="13">
        <v>483.8469</v>
      </c>
      <c r="H1429" s="14">
        <v>1738736.446431</v>
      </c>
      <c r="I1429" s="14" t="e">
        <f>=Round(39.19280000,0)</f>
        <v>#VALUE!</v>
      </c>
      <c r="J1429" s="14" t="e">
        <f>=Round(0.00000000,0)</f>
        <v>#VALUE!</v>
      </c>
    </row>
    <row r="1430">
      <c r="A1430" s="11" t="s">
        <v>43</v>
      </c>
      <c r="B1430" s="12">
        <v>3593.5674</v>
      </c>
      <c r="C1430" s="12">
        <v>0</v>
      </c>
      <c r="D1430" s="13">
        <v>0</v>
      </c>
      <c r="E1430" s="12">
        <v>0</v>
      </c>
      <c r="F1430" s="14">
        <v>0</v>
      </c>
      <c r="G1430" s="13">
        <v>483.8469</v>
      </c>
      <c r="H1430" s="14">
        <v>1738736.446431</v>
      </c>
      <c r="I1430" s="14" t="e">
        <f>=Round(39.19280000,0)</f>
        <v>#VALUE!</v>
      </c>
      <c r="J1430" s="14" t="e">
        <f>=Round(0.00000000,0)</f>
        <v>#VALUE!</v>
      </c>
    </row>
    <row r="1431">
      <c r="A1431" s="11" t="s">
        <v>44</v>
      </c>
      <c r="B1431" s="12">
        <v>3595.5366</v>
      </c>
      <c r="C1431" s="12">
        <v>0</v>
      </c>
      <c r="D1431" s="13">
        <v>0</v>
      </c>
      <c r="E1431" s="12">
        <v>0</v>
      </c>
      <c r="F1431" s="14">
        <v>0</v>
      </c>
      <c r="G1431" s="13">
        <v>483.8469</v>
      </c>
      <c r="H1431" s="14">
        <v>1739689.237747</v>
      </c>
      <c r="I1431" s="14" t="e">
        <f>=Round(39.19280000,0)</f>
        <v>#VALUE!</v>
      </c>
      <c r="J1431" s="14" t="e">
        <f>=Round(0.00000000,0)</f>
        <v>#VALUE!</v>
      </c>
    </row>
    <row r="1432">
      <c r="A1432" s="11" t="s">
        <v>45</v>
      </c>
      <c r="B1432" s="12">
        <v>3596.1915</v>
      </c>
      <c r="C1432" s="12">
        <v>0</v>
      </c>
      <c r="D1432" s="13">
        <v>0</v>
      </c>
      <c r="E1432" s="12">
        <v>0</v>
      </c>
      <c r="F1432" s="14">
        <v>0</v>
      </c>
      <c r="G1432" s="13">
        <v>483.8469</v>
      </c>
      <c r="H1432" s="14">
        <v>1740006.109081</v>
      </c>
      <c r="I1432" s="14" t="e">
        <f>=Round(39.21430000,0)</f>
        <v>#VALUE!</v>
      </c>
      <c r="J1432" s="14" t="e">
        <f>=Round(0.00000000,0)</f>
        <v>#VALUE!</v>
      </c>
    </row>
    <row r="1433">
      <c r="A1433" s="11" t="s">
        <v>46</v>
      </c>
      <c r="B1433" s="12">
        <v>3596.8461</v>
      </c>
      <c r="C1433" s="12">
        <v>0</v>
      </c>
      <c r="D1433" s="13">
        <v>0</v>
      </c>
      <c r="E1433" s="12">
        <v>0</v>
      </c>
      <c r="F1433" s="14">
        <v>0</v>
      </c>
      <c r="G1433" s="13">
        <v>483.8469</v>
      </c>
      <c r="H1433" s="14">
        <v>1740322.835262</v>
      </c>
      <c r="I1433" s="14" t="e">
        <f>=Round(39.22140000,0)</f>
        <v>#VALUE!</v>
      </c>
      <c r="J1433" s="14" t="e">
        <f>=Round(0.00000000,0)</f>
        <v>#VALUE!</v>
      </c>
    </row>
    <row r="1434">
      <c r="A1434" s="11" t="s">
        <v>47</v>
      </c>
      <c r="B1434" s="12">
        <v>3597.4992</v>
      </c>
      <c r="C1434" s="12">
        <v>0</v>
      </c>
      <c r="D1434" s="13">
        <v>0</v>
      </c>
      <c r="E1434" s="12">
        <v>0</v>
      </c>
      <c r="F1434" s="14">
        <v>0</v>
      </c>
      <c r="G1434" s="13">
        <v>483.8469</v>
      </c>
      <c r="H1434" s="14">
        <v>1740638.835672</v>
      </c>
      <c r="I1434" s="14" t="e">
        <f>=Round(39.22860000,0)</f>
        <v>#VALUE!</v>
      </c>
      <c r="J1434" s="14" t="e">
        <f>=Round(0.00000000,0)</f>
        <v>#VALUE!</v>
      </c>
    </row>
    <row r="1435">
      <c r="A1435" s="11" t="s">
        <v>48</v>
      </c>
      <c r="B1435" s="12">
        <v>3598.1558</v>
      </c>
      <c r="C1435" s="12">
        <v>0</v>
      </c>
      <c r="D1435" s="13">
        <v>0</v>
      </c>
      <c r="E1435" s="12">
        <v>0</v>
      </c>
      <c r="F1435" s="14">
        <v>0</v>
      </c>
      <c r="G1435" s="13">
        <v>483.8469</v>
      </c>
      <c r="H1435" s="14">
        <v>1740956.529547</v>
      </c>
      <c r="I1435" s="14" t="e">
        <f>=Round(39.23570000,0)</f>
        <v>#VALUE!</v>
      </c>
      <c r="J1435" s="14" t="e">
        <f>=Round(0.00000000,0)</f>
        <v>#VALUE!</v>
      </c>
    </row>
    <row r="1436">
      <c r="A1436" s="11" t="s">
        <v>49</v>
      </c>
      <c r="B1436" s="12">
        <v>3598.1558</v>
      </c>
      <c r="C1436" s="12">
        <v>0</v>
      </c>
      <c r="D1436" s="13">
        <v>0</v>
      </c>
      <c r="E1436" s="12">
        <v>0</v>
      </c>
      <c r="F1436" s="14">
        <v>0</v>
      </c>
      <c r="G1436" s="13">
        <v>483.8469</v>
      </c>
      <c r="H1436" s="14">
        <v>1740956.529547</v>
      </c>
      <c r="I1436" s="14" t="e">
        <f>=Round(39.24290000,0)</f>
        <v>#VALUE!</v>
      </c>
      <c r="J1436" s="14" t="e">
        <f>=Round(0.00000000,0)</f>
        <v>#VALUE!</v>
      </c>
    </row>
    <row r="1437">
      <c r="A1437" s="11" t="s">
        <v>50</v>
      </c>
      <c r="B1437" s="12">
        <v>3598.1558</v>
      </c>
      <c r="C1437" s="12">
        <v>0</v>
      </c>
      <c r="D1437" s="13">
        <v>0</v>
      </c>
      <c r="E1437" s="12">
        <v>0</v>
      </c>
      <c r="F1437" s="14">
        <v>0</v>
      </c>
      <c r="G1437" s="13">
        <v>483.8469</v>
      </c>
      <c r="H1437" s="14">
        <v>1740956.529547</v>
      </c>
      <c r="I1437" s="14" t="e">
        <f>=Round(39.24290000,0)</f>
        <v>#VALUE!</v>
      </c>
      <c r="J1437" s="14" t="e">
        <f>=Round(0.00000000,0)</f>
        <v>#VALUE!</v>
      </c>
    </row>
    <row r="1438">
      <c r="A1438" s="11" t="s">
        <v>51</v>
      </c>
      <c r="B1438" s="12">
        <v>3600.124</v>
      </c>
      <c r="C1438" s="12">
        <v>0</v>
      </c>
      <c r="D1438" s="13">
        <v>0</v>
      </c>
      <c r="E1438" s="12">
        <v>0</v>
      </c>
      <c r="F1438" s="14">
        <v>0</v>
      </c>
      <c r="G1438" s="13">
        <v>483.8469</v>
      </c>
      <c r="H1438" s="14">
        <v>1741908.837016</v>
      </c>
      <c r="I1438" s="14" t="e">
        <f>=Round(39.24290000,0)</f>
        <v>#VALUE!</v>
      </c>
      <c r="J1438" s="14" t="e">
        <f>=Round(0.00000000,0)</f>
        <v>#VALUE!</v>
      </c>
    </row>
    <row r="1439">
      <c r="A1439" s="11" t="s">
        <v>52</v>
      </c>
      <c r="B1439" s="12">
        <v>3600.7905</v>
      </c>
      <c r="C1439" s="12">
        <v>0</v>
      </c>
      <c r="D1439" s="13">
        <v>0</v>
      </c>
      <c r="E1439" s="12">
        <v>0</v>
      </c>
      <c r="F1439" s="14">
        <v>0</v>
      </c>
      <c r="G1439" s="13">
        <v>483.8469</v>
      </c>
      <c r="H1439" s="14">
        <v>1742231.320974</v>
      </c>
      <c r="I1439" s="14" t="e">
        <f>=Round(39.26430000,0)</f>
        <v>#VALUE!</v>
      </c>
      <c r="J1439" s="14" t="e">
        <f>=Round(0.00000000,0)</f>
        <v>#VALUE!</v>
      </c>
    </row>
    <row r="1440">
      <c r="A1440" s="11" t="s">
        <v>53</v>
      </c>
      <c r="B1440" s="12">
        <v>3601.445</v>
      </c>
      <c r="C1440" s="12">
        <v>0</v>
      </c>
      <c r="D1440" s="13">
        <v>0</v>
      </c>
      <c r="E1440" s="12">
        <v>0</v>
      </c>
      <c r="F1440" s="14">
        <v>0</v>
      </c>
      <c r="G1440" s="13">
        <v>483.8469</v>
      </c>
      <c r="H1440" s="14">
        <v>1742547.998771</v>
      </c>
      <c r="I1440" s="14" t="e">
        <f>=Round(39.27160000,0)</f>
        <v>#VALUE!</v>
      </c>
      <c r="J1440" s="14" t="e">
        <f>=Round(0.00000000,0)</f>
        <v>#VALUE!</v>
      </c>
    </row>
    <row r="1441">
      <c r="A1441" s="11" t="s">
        <v>54</v>
      </c>
      <c r="B1441" s="12">
        <v>3602.0851</v>
      </c>
      <c r="C1441" s="12">
        <v>0</v>
      </c>
      <c r="D1441" s="13">
        <v>0</v>
      </c>
      <c r="E1441" s="12">
        <v>0</v>
      </c>
      <c r="F1441" s="14">
        <v>0</v>
      </c>
      <c r="G1441" s="13">
        <v>483.8469</v>
      </c>
      <c r="H1441" s="14">
        <v>1742857.709171</v>
      </c>
      <c r="I1441" s="14" t="e">
        <f>=Round(39.27870000,0)</f>
        <v>#VALUE!</v>
      </c>
      <c r="J1441" s="14" t="e">
        <f>=Round(0.00000000,0)</f>
        <v>#VALUE!</v>
      </c>
    </row>
    <row r="1442">
      <c r="A1442" s="11" t="s">
        <v>55</v>
      </c>
      <c r="B1442" s="12">
        <v>3602.7417</v>
      </c>
      <c r="C1442" s="12">
        <v>0</v>
      </c>
      <c r="D1442" s="13">
        <v>0</v>
      </c>
      <c r="E1442" s="12">
        <v>0</v>
      </c>
      <c r="F1442" s="14">
        <v>0</v>
      </c>
      <c r="G1442" s="13">
        <v>483.8469</v>
      </c>
      <c r="H1442" s="14">
        <v>1743175.403046</v>
      </c>
      <c r="I1442" s="14" t="e">
        <f>=Round(39.28570000,0)</f>
        <v>#VALUE!</v>
      </c>
      <c r="J1442" s="14" t="e">
        <f>=Round(0.00000000,0)</f>
        <v>#VALUE!</v>
      </c>
    </row>
    <row r="1443" ht="-1">
      <c r="A1443" s="15"/>
      <c r="B1443" s="16" t="s">
        <v>56</v>
      </c>
      <c r="C1443" s="15"/>
      <c r="D1443" s="15"/>
      <c r="E1443" s="15"/>
      <c r="F1443" s="15"/>
      <c r="G1443" s="15"/>
      <c r="H1443" s="15"/>
      <c r="I1443" s="17" t="e">
        <f>=Round(SUM(I1417:I1442),0)</f>
        <v>#VALUE!</v>
      </c>
      <c r="J1443" s="17" t="e">
        <f>=Round(SUM(J1417:J1442),0)</f>
        <v>#VALUE!</v>
      </c>
    </row>
    <row r="1444">
      <c r="A1444" s="1" t="s">
        <v>0</v>
      </c>
      <c r="B1444" s="1"/>
      <c r="C1444" s="1"/>
      <c r="D1444" s="1"/>
    </row>
    <row r="1445">
      <c r="A1445" s="0" t="s">
        <v>1</v>
      </c>
      <c r="C1445" s="0" t="s">
        <v>2</v>
      </c>
      <c r="H1445" s="2" t="s">
        <v>3</v>
      </c>
    </row>
    <row r="1446">
      <c r="A1446" s="0" t="s">
        <v>4</v>
      </c>
      <c r="C1446" s="0" t="s">
        <v>93</v>
      </c>
      <c r="H1446" s="3" t="s">
        <v>6</v>
      </c>
    </row>
    <row r="1447">
      <c r="A1447" s="0" t="s">
        <v>7</v>
      </c>
      <c r="C1447" s="4" t="s">
        <v>8</v>
      </c>
      <c r="H1447" s="2" t="s">
        <v>9</v>
      </c>
    </row>
    <row r="1448">
      <c r="A1448" s="0" t="s">
        <v>10</v>
      </c>
      <c r="C1448" s="4" t="s">
        <v>11</v>
      </c>
      <c r="H1448" s="2" t="s">
        <v>12</v>
      </c>
    </row>
    <row r="1449">
      <c r="A1449" s="0" t="s">
        <v>13</v>
      </c>
      <c r="C1449" s="0" t="s">
        <v>14</v>
      </c>
    </row>
    <row r="1450">
      <c r="A1450" s="0" t="s">
        <v>15</v>
      </c>
      <c r="C1450" s="0" t="s">
        <v>16</v>
      </c>
    </row>
    <row r="1451">
      <c r="A1451" s="0" t="s">
        <v>17</v>
      </c>
      <c r="C1451" s="0" t="s">
        <v>18</v>
      </c>
    </row>
    <row r="1454">
      <c r="A1454" s="5" t="s">
        <v>19</v>
      </c>
      <c r="B1454" s="5" t="s">
        <v>20</v>
      </c>
      <c r="C1454" s="7" t="s">
        <v>21</v>
      </c>
      <c r="D1454" s="9"/>
      <c r="E1454" s="7" t="s">
        <v>22</v>
      </c>
      <c r="F1454" s="9"/>
      <c r="G1454" s="5" t="s">
        <v>23</v>
      </c>
      <c r="H1454" s="5" t="s">
        <v>24</v>
      </c>
      <c r="I1454" s="5" t="s">
        <v>25</v>
      </c>
      <c r="J1454" s="5" t="s">
        <v>26</v>
      </c>
    </row>
    <row r="1455">
      <c r="A1455" s="6"/>
      <c r="B1455" s="6"/>
      <c r="C1455" s="8" t="s">
        <v>27</v>
      </c>
      <c r="D1455" s="8" t="s">
        <v>28</v>
      </c>
      <c r="E1455" s="8" t="s">
        <v>27</v>
      </c>
      <c r="F1455" s="8" t="s">
        <v>28</v>
      </c>
      <c r="G1455" s="6"/>
      <c r="H1455" s="6"/>
      <c r="I1455" s="10" t="s">
        <v>29</v>
      </c>
      <c r="J1455" s="6"/>
    </row>
    <row r="1456">
      <c r="A1456" s="11" t="s">
        <v>30</v>
      </c>
      <c r="B1456" s="12">
        <v>3586.4187</v>
      </c>
      <c r="C1456" s="12">
        <v>418.2445</v>
      </c>
      <c r="D1456" s="13">
        <v>1500000</v>
      </c>
      <c r="E1456" s="12">
        <v>0</v>
      </c>
      <c r="F1456" s="14">
        <v>0</v>
      </c>
      <c r="G1456" s="13">
        <v>35686.7602</v>
      </c>
      <c r="H1456" s="14">
        <v>127987664.123696</v>
      </c>
      <c r="I1456" s="14" t="e">
        <f>=Round(2883.38140000,0)</f>
        <v>#VALUE!</v>
      </c>
      <c r="J1456" s="14" t="e">
        <f>=Round(0.00000000,0)</f>
        <v>#VALUE!</v>
      </c>
    </row>
    <row r="1457">
      <c r="A1457" s="11" t="s">
        <v>31</v>
      </c>
      <c r="B1457" s="12">
        <v>3587.0477</v>
      </c>
      <c r="C1457" s="12">
        <v>0</v>
      </c>
      <c r="D1457" s="13">
        <v>0</v>
      </c>
      <c r="E1457" s="12">
        <v>0</v>
      </c>
      <c r="F1457" s="14">
        <v>0</v>
      </c>
      <c r="G1457" s="13">
        <v>36105.0047</v>
      </c>
      <c r="H1457" s="14">
        <v>129510374.067624</v>
      </c>
      <c r="I1457" s="14" t="e">
        <f>=Round(2884.96780000,0)</f>
        <v>#VALUE!</v>
      </c>
      <c r="J1457" s="14" t="e">
        <f>=Round(0.00000000,0)</f>
        <v>#VALUE!</v>
      </c>
    </row>
    <row r="1458">
      <c r="A1458" s="11" t="s">
        <v>32</v>
      </c>
      <c r="B1458" s="12">
        <v>3587.6685</v>
      </c>
      <c r="C1458" s="12">
        <v>0</v>
      </c>
      <c r="D1458" s="13">
        <v>0</v>
      </c>
      <c r="E1458" s="12">
        <v>0</v>
      </c>
      <c r="F1458" s="14">
        <v>0</v>
      </c>
      <c r="G1458" s="13">
        <v>36105.0047</v>
      </c>
      <c r="H1458" s="14">
        <v>129532788.054542</v>
      </c>
      <c r="I1458" s="14" t="e">
        <f>=Round(2919.29120000,0)</f>
        <v>#VALUE!</v>
      </c>
      <c r="J1458" s="14" t="e">
        <f>=Round(0.00000000,0)</f>
        <v>#VALUE!</v>
      </c>
    </row>
    <row r="1459">
      <c r="A1459" s="11" t="s">
        <v>33</v>
      </c>
      <c r="B1459" s="12">
        <v>3588.3573</v>
      </c>
      <c r="C1459" s="12">
        <v>0</v>
      </c>
      <c r="D1459" s="13">
        <v>0</v>
      </c>
      <c r="E1459" s="12">
        <v>0</v>
      </c>
      <c r="F1459" s="14">
        <v>0</v>
      </c>
      <c r="G1459" s="13">
        <v>36105.0047</v>
      </c>
      <c r="H1459" s="14">
        <v>129557657.181779</v>
      </c>
      <c r="I1459" s="14" t="e">
        <f>=Round(2919.79650000,0)</f>
        <v>#VALUE!</v>
      </c>
      <c r="J1459" s="14" t="e">
        <f>=Round(0.00000000,0)</f>
        <v>#VALUE!</v>
      </c>
    </row>
    <row r="1460">
      <c r="A1460" s="11" t="s">
        <v>34</v>
      </c>
      <c r="B1460" s="12">
        <v>3589.0109</v>
      </c>
      <c r="C1460" s="12">
        <v>0</v>
      </c>
      <c r="D1460" s="13">
        <v>0</v>
      </c>
      <c r="E1460" s="12">
        <v>0</v>
      </c>
      <c r="F1460" s="14">
        <v>0</v>
      </c>
      <c r="G1460" s="13">
        <v>36105.0047</v>
      </c>
      <c r="H1460" s="14">
        <v>129581255.412851</v>
      </c>
      <c r="I1460" s="14" t="e">
        <f>=Round(2920.35700000,0)</f>
        <v>#VALUE!</v>
      </c>
      <c r="J1460" s="14" t="e">
        <f>=Round(0.00000000,0)</f>
        <v>#VALUE!</v>
      </c>
    </row>
    <row r="1461">
      <c r="A1461" s="11" t="s">
        <v>35</v>
      </c>
      <c r="B1461" s="12">
        <v>3589.0109</v>
      </c>
      <c r="C1461" s="12">
        <v>0</v>
      </c>
      <c r="D1461" s="13">
        <v>0</v>
      </c>
      <c r="E1461" s="12">
        <v>0</v>
      </c>
      <c r="F1461" s="14">
        <v>0</v>
      </c>
      <c r="G1461" s="13">
        <v>36105.0047</v>
      </c>
      <c r="H1461" s="14">
        <v>129581255.412851</v>
      </c>
      <c r="I1461" s="14" t="e">
        <f>=Round(2920.88900000,0)</f>
        <v>#VALUE!</v>
      </c>
      <c r="J1461" s="14" t="e">
        <f>=Round(0.00000000,0)</f>
        <v>#VALUE!</v>
      </c>
    </row>
    <row r="1462">
      <c r="A1462" s="11" t="s">
        <v>36</v>
      </c>
      <c r="B1462" s="12">
        <v>3589.0109</v>
      </c>
      <c r="C1462" s="12">
        <v>0</v>
      </c>
      <c r="D1462" s="13">
        <v>0</v>
      </c>
      <c r="E1462" s="12">
        <v>0</v>
      </c>
      <c r="F1462" s="14">
        <v>0</v>
      </c>
      <c r="G1462" s="13">
        <v>36105.0047</v>
      </c>
      <c r="H1462" s="14">
        <v>129581255.412851</v>
      </c>
      <c r="I1462" s="14" t="e">
        <f>=Round(2920.88900000,0)</f>
        <v>#VALUE!</v>
      </c>
      <c r="J1462" s="14" t="e">
        <f>=Round(0.00000000,0)</f>
        <v>#VALUE!</v>
      </c>
    </row>
    <row r="1463">
      <c r="A1463" s="11" t="s">
        <v>37</v>
      </c>
      <c r="B1463" s="12">
        <v>3590.972</v>
      </c>
      <c r="C1463" s="12">
        <v>0</v>
      </c>
      <c r="D1463" s="13">
        <v>0</v>
      </c>
      <c r="E1463" s="12">
        <v>0</v>
      </c>
      <c r="F1463" s="14">
        <v>0</v>
      </c>
      <c r="G1463" s="13">
        <v>36105.0047</v>
      </c>
      <c r="H1463" s="14">
        <v>129652060.937568</v>
      </c>
      <c r="I1463" s="14" t="e">
        <f>=Round(2920.88900000,0)</f>
        <v>#VALUE!</v>
      </c>
      <c r="J1463" s="14" t="e">
        <f>=Round(0.00000000,0)</f>
        <v>#VALUE!</v>
      </c>
    </row>
    <row r="1464">
      <c r="A1464" s="11" t="s">
        <v>38</v>
      </c>
      <c r="B1464" s="12">
        <v>3591.6235</v>
      </c>
      <c r="C1464" s="12">
        <v>0</v>
      </c>
      <c r="D1464" s="13">
        <v>0</v>
      </c>
      <c r="E1464" s="12">
        <v>0</v>
      </c>
      <c r="F1464" s="14">
        <v>0</v>
      </c>
      <c r="G1464" s="13">
        <v>36105.0047</v>
      </c>
      <c r="H1464" s="14">
        <v>129675583.34813</v>
      </c>
      <c r="I1464" s="14" t="e">
        <f>=Round(2922.48500000,0)</f>
        <v>#VALUE!</v>
      </c>
      <c r="J1464" s="14" t="e">
        <f>=Round(0.00000000,0)</f>
        <v>#VALUE!</v>
      </c>
    </row>
    <row r="1465">
      <c r="A1465" s="11" t="s">
        <v>39</v>
      </c>
      <c r="B1465" s="12">
        <v>3592.281</v>
      </c>
      <c r="C1465" s="12">
        <v>0</v>
      </c>
      <c r="D1465" s="13">
        <v>0</v>
      </c>
      <c r="E1465" s="12">
        <v>0</v>
      </c>
      <c r="F1465" s="14">
        <v>0</v>
      </c>
      <c r="G1465" s="13">
        <v>36105.0047</v>
      </c>
      <c r="H1465" s="14">
        <v>129699322.388721</v>
      </c>
      <c r="I1465" s="14" t="e">
        <f>=Round(2923.01520000,0)</f>
        <v>#VALUE!</v>
      </c>
      <c r="J1465" s="14" t="e">
        <f>=Round(0.00000000,0)</f>
        <v>#VALUE!</v>
      </c>
    </row>
    <row r="1466">
      <c r="A1466" s="11" t="s">
        <v>40</v>
      </c>
      <c r="B1466" s="12">
        <v>3592.9125</v>
      </c>
      <c r="C1466" s="12">
        <v>0</v>
      </c>
      <c r="D1466" s="13">
        <v>0</v>
      </c>
      <c r="E1466" s="12">
        <v>0</v>
      </c>
      <c r="F1466" s="14">
        <v>0</v>
      </c>
      <c r="G1466" s="13">
        <v>36105.0047</v>
      </c>
      <c r="H1466" s="14">
        <v>129722122.699189</v>
      </c>
      <c r="I1466" s="14" t="e">
        <f>=Round(2923.55030000,0)</f>
        <v>#VALUE!</v>
      </c>
      <c r="J1466" s="14" t="e">
        <f>=Round(0.00000000,0)</f>
        <v>#VALUE!</v>
      </c>
    </row>
    <row r="1467">
      <c r="A1467" s="11" t="s">
        <v>41</v>
      </c>
      <c r="B1467" s="12">
        <v>3593.5674</v>
      </c>
      <c r="C1467" s="12">
        <v>0</v>
      </c>
      <c r="D1467" s="13">
        <v>0</v>
      </c>
      <c r="E1467" s="12">
        <v>0</v>
      </c>
      <c r="F1467" s="14">
        <v>0</v>
      </c>
      <c r="G1467" s="13">
        <v>36105.0047</v>
      </c>
      <c r="H1467" s="14">
        <v>129745767.866767</v>
      </c>
      <c r="I1467" s="14" t="e">
        <f>=Round(2924.06420000,0)</f>
        <v>#VALUE!</v>
      </c>
      <c r="J1467" s="14" t="e">
        <f>=Round(0.00000000,0)</f>
        <v>#VALUE!</v>
      </c>
    </row>
    <row r="1468">
      <c r="A1468" s="11" t="s">
        <v>42</v>
      </c>
      <c r="B1468" s="12">
        <v>3593.5674</v>
      </c>
      <c r="C1468" s="12">
        <v>0</v>
      </c>
      <c r="D1468" s="13">
        <v>0</v>
      </c>
      <c r="E1468" s="12">
        <v>0</v>
      </c>
      <c r="F1468" s="14">
        <v>0</v>
      </c>
      <c r="G1468" s="13">
        <v>36105.0047</v>
      </c>
      <c r="H1468" s="14">
        <v>129745767.866767</v>
      </c>
      <c r="I1468" s="14" t="e">
        <f>=Round(2924.59720000,0)</f>
        <v>#VALUE!</v>
      </c>
      <c r="J1468" s="14" t="e">
        <f>=Round(0.00000000,0)</f>
        <v>#VALUE!</v>
      </c>
    </row>
    <row r="1469">
      <c r="A1469" s="11" t="s">
        <v>43</v>
      </c>
      <c r="B1469" s="12">
        <v>3593.5674</v>
      </c>
      <c r="C1469" s="12">
        <v>0</v>
      </c>
      <c r="D1469" s="13">
        <v>0</v>
      </c>
      <c r="E1469" s="12">
        <v>0</v>
      </c>
      <c r="F1469" s="14">
        <v>0</v>
      </c>
      <c r="G1469" s="13">
        <v>36105.0047</v>
      </c>
      <c r="H1469" s="14">
        <v>129745767.866767</v>
      </c>
      <c r="I1469" s="14" t="e">
        <f>=Round(2924.59720000,0)</f>
        <v>#VALUE!</v>
      </c>
      <c r="J1469" s="14" t="e">
        <f>=Round(0.00000000,0)</f>
        <v>#VALUE!</v>
      </c>
    </row>
    <row r="1470">
      <c r="A1470" s="11" t="s">
        <v>44</v>
      </c>
      <c r="B1470" s="12">
        <v>3595.5366</v>
      </c>
      <c r="C1470" s="12">
        <v>0</v>
      </c>
      <c r="D1470" s="13">
        <v>0</v>
      </c>
      <c r="E1470" s="12">
        <v>0</v>
      </c>
      <c r="F1470" s="14">
        <v>0</v>
      </c>
      <c r="G1470" s="13">
        <v>36105.0047</v>
      </c>
      <c r="H1470" s="14">
        <v>129816865.842022</v>
      </c>
      <c r="I1470" s="14" t="e">
        <f>=Round(2924.59720000,0)</f>
        <v>#VALUE!</v>
      </c>
      <c r="J1470" s="14" t="e">
        <f>=Round(0.00000000,0)</f>
        <v>#VALUE!</v>
      </c>
    </row>
    <row r="1471">
      <c r="A1471" s="11" t="s">
        <v>45</v>
      </c>
      <c r="B1471" s="12">
        <v>3596.1915</v>
      </c>
      <c r="C1471" s="12">
        <v>0</v>
      </c>
      <c r="D1471" s="13">
        <v>0</v>
      </c>
      <c r="E1471" s="12">
        <v>0</v>
      </c>
      <c r="F1471" s="14">
        <v>0</v>
      </c>
      <c r="G1471" s="13">
        <v>36105.0047</v>
      </c>
      <c r="H1471" s="14">
        <v>129840511.0096</v>
      </c>
      <c r="I1471" s="14" t="e">
        <f>=Round(2926.19980000,0)</f>
        <v>#VALUE!</v>
      </c>
      <c r="J1471" s="14" t="e">
        <f>=Round(0.00000000,0)</f>
        <v>#VALUE!</v>
      </c>
    </row>
    <row r="1472">
      <c r="A1472" s="11" t="s">
        <v>46</v>
      </c>
      <c r="B1472" s="12">
        <v>3596.8461</v>
      </c>
      <c r="C1472" s="12">
        <v>0</v>
      </c>
      <c r="D1472" s="13">
        <v>0</v>
      </c>
      <c r="E1472" s="12">
        <v>0</v>
      </c>
      <c r="F1472" s="14">
        <v>0</v>
      </c>
      <c r="G1472" s="13">
        <v>36105.0047</v>
      </c>
      <c r="H1472" s="14">
        <v>129864145.345677</v>
      </c>
      <c r="I1472" s="14" t="e">
        <f>=Round(2926.73280000,0)</f>
        <v>#VALUE!</v>
      </c>
      <c r="J1472" s="14" t="e">
        <f>=Round(0.00000000,0)</f>
        <v>#VALUE!</v>
      </c>
    </row>
    <row r="1473">
      <c r="A1473" s="11" t="s">
        <v>47</v>
      </c>
      <c r="B1473" s="12">
        <v>3597.4992</v>
      </c>
      <c r="C1473" s="12">
        <v>0</v>
      </c>
      <c r="D1473" s="13">
        <v>0</v>
      </c>
      <c r="E1473" s="12">
        <v>0</v>
      </c>
      <c r="F1473" s="14">
        <v>0</v>
      </c>
      <c r="G1473" s="13">
        <v>36105.0047</v>
      </c>
      <c r="H1473" s="14">
        <v>129887725.524246</v>
      </c>
      <c r="I1473" s="14" t="e">
        <f>=Round(2927.26560000,0)</f>
        <v>#VALUE!</v>
      </c>
      <c r="J1473" s="14" t="e">
        <f>=Round(0.00000000,0)</f>
        <v>#VALUE!</v>
      </c>
    </row>
    <row r="1474">
      <c r="A1474" s="11" t="s">
        <v>48</v>
      </c>
      <c r="B1474" s="12">
        <v>3598.1558</v>
      </c>
      <c r="C1474" s="12">
        <v>0</v>
      </c>
      <c r="D1474" s="13">
        <v>0</v>
      </c>
      <c r="E1474" s="12">
        <v>0</v>
      </c>
      <c r="F1474" s="14">
        <v>0</v>
      </c>
      <c r="G1474" s="13">
        <v>36105.0047</v>
      </c>
      <c r="H1474" s="14">
        <v>129911432.070332</v>
      </c>
      <c r="I1474" s="14" t="e">
        <f>=Round(2927.79710000,0)</f>
        <v>#VALUE!</v>
      </c>
      <c r="J1474" s="14" t="e">
        <f>=Round(0.00000000,0)</f>
        <v>#VALUE!</v>
      </c>
    </row>
    <row r="1475">
      <c r="A1475" s="11" t="s">
        <v>49</v>
      </c>
      <c r="B1475" s="12">
        <v>3598.1558</v>
      </c>
      <c r="C1475" s="12">
        <v>0</v>
      </c>
      <c r="D1475" s="13">
        <v>0</v>
      </c>
      <c r="E1475" s="12">
        <v>0</v>
      </c>
      <c r="F1475" s="14">
        <v>0</v>
      </c>
      <c r="G1475" s="13">
        <v>36105.0047</v>
      </c>
      <c r="H1475" s="14">
        <v>129911432.070332</v>
      </c>
      <c r="I1475" s="14" t="e">
        <f>=Round(2928.33150000,0)</f>
        <v>#VALUE!</v>
      </c>
      <c r="J1475" s="14" t="e">
        <f>=Round(0.00000000,0)</f>
        <v>#VALUE!</v>
      </c>
    </row>
    <row r="1476">
      <c r="A1476" s="11" t="s">
        <v>50</v>
      </c>
      <c r="B1476" s="12">
        <v>3598.1558</v>
      </c>
      <c r="C1476" s="12">
        <v>0</v>
      </c>
      <c r="D1476" s="13">
        <v>0</v>
      </c>
      <c r="E1476" s="12">
        <v>0</v>
      </c>
      <c r="F1476" s="14">
        <v>0</v>
      </c>
      <c r="G1476" s="13">
        <v>36105.0047</v>
      </c>
      <c r="H1476" s="14">
        <v>129911432.070332</v>
      </c>
      <c r="I1476" s="14" t="e">
        <f>=Round(2928.33150000,0)</f>
        <v>#VALUE!</v>
      </c>
      <c r="J1476" s="14" t="e">
        <f>=Round(0.00000000,0)</f>
        <v>#VALUE!</v>
      </c>
    </row>
    <row r="1477">
      <c r="A1477" s="11" t="s">
        <v>51</v>
      </c>
      <c r="B1477" s="12">
        <v>3600.124</v>
      </c>
      <c r="C1477" s="12">
        <v>0</v>
      </c>
      <c r="D1477" s="13">
        <v>0</v>
      </c>
      <c r="E1477" s="12">
        <v>0</v>
      </c>
      <c r="F1477" s="14">
        <v>0</v>
      </c>
      <c r="G1477" s="13">
        <v>36105.0047</v>
      </c>
      <c r="H1477" s="14">
        <v>129982493.940583</v>
      </c>
      <c r="I1477" s="14" t="e">
        <f>=Round(2928.33150000,0)</f>
        <v>#VALUE!</v>
      </c>
      <c r="J1477" s="14" t="e">
        <f>=Round(0.00000000,0)</f>
        <v>#VALUE!</v>
      </c>
    </row>
    <row r="1478">
      <c r="A1478" s="11" t="s">
        <v>52</v>
      </c>
      <c r="B1478" s="12">
        <v>3600.7905</v>
      </c>
      <c r="C1478" s="12">
        <v>0</v>
      </c>
      <c r="D1478" s="13">
        <v>0</v>
      </c>
      <c r="E1478" s="12">
        <v>0</v>
      </c>
      <c r="F1478" s="14">
        <v>0</v>
      </c>
      <c r="G1478" s="13">
        <v>36105.0047</v>
      </c>
      <c r="H1478" s="14">
        <v>130006557.926215</v>
      </c>
      <c r="I1478" s="14" t="e">
        <f>=Round(2929.93330000,0)</f>
        <v>#VALUE!</v>
      </c>
      <c r="J1478" s="14" t="e">
        <f>=Round(0.00000000,0)</f>
        <v>#VALUE!</v>
      </c>
    </row>
    <row r="1479">
      <c r="A1479" s="11" t="s">
        <v>53</v>
      </c>
      <c r="B1479" s="12">
        <v>3601.445</v>
      </c>
      <c r="C1479" s="12">
        <v>0</v>
      </c>
      <c r="D1479" s="13">
        <v>0</v>
      </c>
      <c r="E1479" s="12">
        <v>0</v>
      </c>
      <c r="F1479" s="14">
        <v>0</v>
      </c>
      <c r="G1479" s="13">
        <v>36105.0047</v>
      </c>
      <c r="H1479" s="14">
        <v>130030188.651792</v>
      </c>
      <c r="I1479" s="14" t="e">
        <f>=Round(2930.47570000,0)</f>
        <v>#VALUE!</v>
      </c>
      <c r="J1479" s="14" t="e">
        <f>=Round(0.00000000,0)</f>
        <v>#VALUE!</v>
      </c>
    </row>
    <row r="1480">
      <c r="A1480" s="11" t="s">
        <v>54</v>
      </c>
      <c r="B1480" s="12">
        <v>3602.0851</v>
      </c>
      <c r="C1480" s="12">
        <v>0</v>
      </c>
      <c r="D1480" s="13">
        <v>0</v>
      </c>
      <c r="E1480" s="12">
        <v>0</v>
      </c>
      <c r="F1480" s="14">
        <v>0</v>
      </c>
      <c r="G1480" s="13">
        <v>36105.0047</v>
      </c>
      <c r="H1480" s="14">
        <v>130053299.4653</v>
      </c>
      <c r="I1480" s="14" t="e">
        <f>=Round(2931.00840000,0)</f>
        <v>#VALUE!</v>
      </c>
      <c r="J1480" s="14" t="e">
        <f>=Round(0.00000000,0)</f>
        <v>#VALUE!</v>
      </c>
    </row>
    <row r="1481">
      <c r="A1481" s="11" t="s">
        <v>55</v>
      </c>
      <c r="B1481" s="12">
        <v>3602.7417</v>
      </c>
      <c r="C1481" s="12">
        <v>0</v>
      </c>
      <c r="D1481" s="13">
        <v>0</v>
      </c>
      <c r="E1481" s="12">
        <v>0</v>
      </c>
      <c r="F1481" s="14">
        <v>0</v>
      </c>
      <c r="G1481" s="13">
        <v>36105.0047</v>
      </c>
      <c r="H1481" s="14">
        <v>130077006.011386</v>
      </c>
      <c r="I1481" s="14" t="e">
        <f>=Round(2931.52930000,0)</f>
        <v>#VALUE!</v>
      </c>
      <c r="J1481" s="14" t="e">
        <f>=Round(0.00000000,0)</f>
        <v>#VALUE!</v>
      </c>
    </row>
    <row r="1482" ht="-1">
      <c r="A1482" s="15"/>
      <c r="B1482" s="16" t="s">
        <v>56</v>
      </c>
      <c r="C1482" s="15"/>
      <c r="D1482" s="15"/>
      <c r="E1482" s="15"/>
      <c r="F1482" s="15"/>
      <c r="G1482" s="15"/>
      <c r="H1482" s="15"/>
      <c r="I1482" s="17" t="e">
        <f>=Round(SUM(I1456:I1481),0)</f>
        <v>#VALUE!</v>
      </c>
      <c r="J1482" s="17" t="e">
        <f>=Round(SUM(J1456:J1481),0)</f>
        <v>#VALUE!</v>
      </c>
    </row>
    <row r="1483">
      <c r="A1483" s="1" t="s">
        <v>0</v>
      </c>
      <c r="B1483" s="1"/>
      <c r="C1483" s="1"/>
      <c r="D1483" s="1"/>
    </row>
    <row r="1484">
      <c r="A1484" s="0" t="s">
        <v>1</v>
      </c>
      <c r="C1484" s="0" t="s">
        <v>2</v>
      </c>
      <c r="H1484" s="2" t="s">
        <v>3</v>
      </c>
    </row>
    <row r="1485">
      <c r="A1485" s="0" t="s">
        <v>4</v>
      </c>
      <c r="C1485" s="0" t="s">
        <v>94</v>
      </c>
      <c r="H1485" s="3" t="s">
        <v>6</v>
      </c>
    </row>
    <row r="1486">
      <c r="A1486" s="0" t="s">
        <v>7</v>
      </c>
      <c r="C1486" s="4" t="s">
        <v>8</v>
      </c>
      <c r="H1486" s="2" t="s">
        <v>9</v>
      </c>
    </row>
    <row r="1487">
      <c r="A1487" s="0" t="s">
        <v>10</v>
      </c>
      <c r="C1487" s="4" t="s">
        <v>11</v>
      </c>
      <c r="H1487" s="2" t="s">
        <v>12</v>
      </c>
    </row>
    <row r="1488">
      <c r="A1488" s="0" t="s">
        <v>13</v>
      </c>
      <c r="C1488" s="0" t="s">
        <v>14</v>
      </c>
    </row>
    <row r="1489">
      <c r="A1489" s="0" t="s">
        <v>15</v>
      </c>
      <c r="C1489" s="0" t="s">
        <v>16</v>
      </c>
    </row>
    <row r="1490">
      <c r="A1490" s="0" t="s">
        <v>17</v>
      </c>
      <c r="C1490" s="0" t="s">
        <v>18</v>
      </c>
    </row>
    <row r="1493">
      <c r="A1493" s="5" t="s">
        <v>19</v>
      </c>
      <c r="B1493" s="5" t="s">
        <v>20</v>
      </c>
      <c r="C1493" s="7" t="s">
        <v>21</v>
      </c>
      <c r="D1493" s="9"/>
      <c r="E1493" s="7" t="s">
        <v>22</v>
      </c>
      <c r="F1493" s="9"/>
      <c r="G1493" s="5" t="s">
        <v>23</v>
      </c>
      <c r="H1493" s="5" t="s">
        <v>24</v>
      </c>
      <c r="I1493" s="5" t="s">
        <v>25</v>
      </c>
      <c r="J1493" s="5" t="s">
        <v>26</v>
      </c>
    </row>
    <row r="1494">
      <c r="A1494" s="6"/>
      <c r="B1494" s="6"/>
      <c r="C1494" s="8" t="s">
        <v>27</v>
      </c>
      <c r="D1494" s="8" t="s">
        <v>28</v>
      </c>
      <c r="E1494" s="8" t="s">
        <v>27</v>
      </c>
      <c r="F1494" s="8" t="s">
        <v>28</v>
      </c>
      <c r="G1494" s="6"/>
      <c r="H1494" s="6"/>
      <c r="I1494" s="10" t="s">
        <v>29</v>
      </c>
      <c r="J1494" s="6"/>
    </row>
    <row r="1495">
      <c r="A1495" s="11" t="s">
        <v>30</v>
      </c>
      <c r="B1495" s="12">
        <v>3586.4187</v>
      </c>
      <c r="C1495" s="12">
        <v>0</v>
      </c>
      <c r="D1495" s="13">
        <v>0</v>
      </c>
      <c r="E1495" s="12">
        <v>0</v>
      </c>
      <c r="F1495" s="14">
        <v>0</v>
      </c>
      <c r="G1495" s="13">
        <v>2383.2464</v>
      </c>
      <c r="H1495" s="14">
        <v>8547319.455668</v>
      </c>
      <c r="I1495" s="14" t="e">
        <f>=Round(192.55900000,0)</f>
        <v>#VALUE!</v>
      </c>
      <c r="J1495" s="14" t="e">
        <f>=Round(0.00000000,0)</f>
        <v>#VALUE!</v>
      </c>
    </row>
    <row r="1496">
      <c r="A1496" s="11" t="s">
        <v>31</v>
      </c>
      <c r="B1496" s="12">
        <v>3587.0477</v>
      </c>
      <c r="C1496" s="12">
        <v>0</v>
      </c>
      <c r="D1496" s="13">
        <v>0</v>
      </c>
      <c r="E1496" s="12">
        <v>0</v>
      </c>
      <c r="F1496" s="14">
        <v>0</v>
      </c>
      <c r="G1496" s="13">
        <v>2383.2464</v>
      </c>
      <c r="H1496" s="14">
        <v>8548818.517653</v>
      </c>
      <c r="I1496" s="14" t="e">
        <f>=Round(192.66500000,0)</f>
        <v>#VALUE!</v>
      </c>
      <c r="J1496" s="14" t="e">
        <f>=Round(0.00000000,0)</f>
        <v>#VALUE!</v>
      </c>
    </row>
    <row r="1497">
      <c r="A1497" s="11" t="s">
        <v>32</v>
      </c>
      <c r="B1497" s="12">
        <v>3587.6685</v>
      </c>
      <c r="C1497" s="12">
        <v>0</v>
      </c>
      <c r="D1497" s="13">
        <v>0</v>
      </c>
      <c r="E1497" s="12">
        <v>0</v>
      </c>
      <c r="F1497" s="14">
        <v>0</v>
      </c>
      <c r="G1497" s="13">
        <v>2383.2464</v>
      </c>
      <c r="H1497" s="14">
        <v>8550298.037018</v>
      </c>
      <c r="I1497" s="14" t="e">
        <f>=Round(192.69880000,0)</f>
        <v>#VALUE!</v>
      </c>
      <c r="J1497" s="14" t="e">
        <f>=Round(0.00000000,0)</f>
        <v>#VALUE!</v>
      </c>
    </row>
    <row r="1498">
      <c r="A1498" s="11" t="s">
        <v>33</v>
      </c>
      <c r="B1498" s="12">
        <v>3588.3573</v>
      </c>
      <c r="C1498" s="12">
        <v>0</v>
      </c>
      <c r="D1498" s="13">
        <v>0</v>
      </c>
      <c r="E1498" s="12">
        <v>0</v>
      </c>
      <c r="F1498" s="14">
        <v>0</v>
      </c>
      <c r="G1498" s="13">
        <v>2383.2464</v>
      </c>
      <c r="H1498" s="14">
        <v>8551939.617139</v>
      </c>
      <c r="I1498" s="14" t="e">
        <f>=Round(192.73210000,0)</f>
        <v>#VALUE!</v>
      </c>
      <c r="J1498" s="14" t="e">
        <f>=Round(0.00000000,0)</f>
        <v>#VALUE!</v>
      </c>
    </row>
    <row r="1499">
      <c r="A1499" s="11" t="s">
        <v>34</v>
      </c>
      <c r="B1499" s="12">
        <v>3589.0109</v>
      </c>
      <c r="C1499" s="12">
        <v>0</v>
      </c>
      <c r="D1499" s="13">
        <v>0</v>
      </c>
      <c r="E1499" s="12">
        <v>0</v>
      </c>
      <c r="F1499" s="14">
        <v>0</v>
      </c>
      <c r="G1499" s="13">
        <v>2383.2464</v>
      </c>
      <c r="H1499" s="14">
        <v>8553497.306986</v>
      </c>
      <c r="I1499" s="14" t="e">
        <f>=Round(192.76910000,0)</f>
        <v>#VALUE!</v>
      </c>
      <c r="J1499" s="14" t="e">
        <f>=Round(0.00000000,0)</f>
        <v>#VALUE!</v>
      </c>
    </row>
    <row r="1500">
      <c r="A1500" s="11" t="s">
        <v>35</v>
      </c>
      <c r="B1500" s="12">
        <v>3589.0109</v>
      </c>
      <c r="C1500" s="12">
        <v>0</v>
      </c>
      <c r="D1500" s="13">
        <v>0</v>
      </c>
      <c r="E1500" s="12">
        <v>0</v>
      </c>
      <c r="F1500" s="14">
        <v>0</v>
      </c>
      <c r="G1500" s="13">
        <v>2383.2464</v>
      </c>
      <c r="H1500" s="14">
        <v>8553497.306986</v>
      </c>
      <c r="I1500" s="14" t="e">
        <f>=Round(192.80420000,0)</f>
        <v>#VALUE!</v>
      </c>
      <c r="J1500" s="14" t="e">
        <f>=Round(0.00000000,0)</f>
        <v>#VALUE!</v>
      </c>
    </row>
    <row r="1501">
      <c r="A1501" s="11" t="s">
        <v>36</v>
      </c>
      <c r="B1501" s="12">
        <v>3589.0109</v>
      </c>
      <c r="C1501" s="12">
        <v>0</v>
      </c>
      <c r="D1501" s="13">
        <v>0</v>
      </c>
      <c r="E1501" s="12">
        <v>0</v>
      </c>
      <c r="F1501" s="14">
        <v>0</v>
      </c>
      <c r="G1501" s="13">
        <v>2383.2464</v>
      </c>
      <c r="H1501" s="14">
        <v>8553497.306986</v>
      </c>
      <c r="I1501" s="14" t="e">
        <f>=Round(192.80420000,0)</f>
        <v>#VALUE!</v>
      </c>
      <c r="J1501" s="14" t="e">
        <f>=Round(0.00000000,0)</f>
        <v>#VALUE!</v>
      </c>
    </row>
    <row r="1502">
      <c r="A1502" s="11" t="s">
        <v>37</v>
      </c>
      <c r="B1502" s="12">
        <v>3590.972</v>
      </c>
      <c r="C1502" s="12">
        <v>0</v>
      </c>
      <c r="D1502" s="13">
        <v>0</v>
      </c>
      <c r="E1502" s="12">
        <v>0</v>
      </c>
      <c r="F1502" s="14">
        <v>0</v>
      </c>
      <c r="G1502" s="13">
        <v>2383.2464</v>
      </c>
      <c r="H1502" s="14">
        <v>8558171.091501</v>
      </c>
      <c r="I1502" s="14" t="e">
        <f>=Round(192.80420000,0)</f>
        <v>#VALUE!</v>
      </c>
      <c r="J1502" s="14" t="e">
        <f>=Round(0.00000000,0)</f>
        <v>#VALUE!</v>
      </c>
    </row>
    <row r="1503">
      <c r="A1503" s="11" t="s">
        <v>38</v>
      </c>
      <c r="B1503" s="12">
        <v>3591.6235</v>
      </c>
      <c r="C1503" s="12">
        <v>0</v>
      </c>
      <c r="D1503" s="13">
        <v>0</v>
      </c>
      <c r="E1503" s="12">
        <v>0</v>
      </c>
      <c r="F1503" s="14">
        <v>0</v>
      </c>
      <c r="G1503" s="13">
        <v>2383.2464</v>
      </c>
      <c r="H1503" s="14">
        <v>8559723.77653</v>
      </c>
      <c r="I1503" s="14" t="e">
        <f>=Round(192.90960000,0)</f>
        <v>#VALUE!</v>
      </c>
      <c r="J1503" s="14" t="e">
        <f>=Round(0.00000000,0)</f>
        <v>#VALUE!</v>
      </c>
    </row>
    <row r="1504">
      <c r="A1504" s="11" t="s">
        <v>39</v>
      </c>
      <c r="B1504" s="12">
        <v>3592.281</v>
      </c>
      <c r="C1504" s="12">
        <v>0</v>
      </c>
      <c r="D1504" s="13">
        <v>0</v>
      </c>
      <c r="E1504" s="12">
        <v>0</v>
      </c>
      <c r="F1504" s="14">
        <v>0</v>
      </c>
      <c r="G1504" s="13">
        <v>2383.2464</v>
      </c>
      <c r="H1504" s="14">
        <v>8561290.761038</v>
      </c>
      <c r="I1504" s="14" t="e">
        <f>=Round(192.94460000,0)</f>
        <v>#VALUE!</v>
      </c>
      <c r="J1504" s="14" t="e">
        <f>=Round(0.00000000,0)</f>
        <v>#VALUE!</v>
      </c>
    </row>
    <row r="1505">
      <c r="A1505" s="11" t="s">
        <v>40</v>
      </c>
      <c r="B1505" s="12">
        <v>3592.9125</v>
      </c>
      <c r="C1505" s="12">
        <v>0</v>
      </c>
      <c r="D1505" s="13">
        <v>0</v>
      </c>
      <c r="E1505" s="12">
        <v>0</v>
      </c>
      <c r="F1505" s="14">
        <v>0</v>
      </c>
      <c r="G1505" s="13">
        <v>2383.2464</v>
      </c>
      <c r="H1505" s="14">
        <v>8562795.78114</v>
      </c>
      <c r="I1505" s="14" t="e">
        <f>=Round(192.97990000,0)</f>
        <v>#VALUE!</v>
      </c>
      <c r="J1505" s="14" t="e">
        <f>=Round(0.00000000,0)</f>
        <v>#VALUE!</v>
      </c>
    </row>
    <row r="1506">
      <c r="A1506" s="11" t="s">
        <v>41</v>
      </c>
      <c r="B1506" s="12">
        <v>3593.5674</v>
      </c>
      <c r="C1506" s="12">
        <v>0</v>
      </c>
      <c r="D1506" s="13">
        <v>0</v>
      </c>
      <c r="E1506" s="12">
        <v>0</v>
      </c>
      <c r="F1506" s="14">
        <v>0</v>
      </c>
      <c r="G1506" s="13">
        <v>2383.2464</v>
      </c>
      <c r="H1506" s="14">
        <v>8564356.569207</v>
      </c>
      <c r="I1506" s="14" t="e">
        <f>=Round(193.01380000,0)</f>
        <v>#VALUE!</v>
      </c>
      <c r="J1506" s="14" t="e">
        <f>=Round(0.00000000,0)</f>
        <v>#VALUE!</v>
      </c>
    </row>
    <row r="1507">
      <c r="A1507" s="11" t="s">
        <v>42</v>
      </c>
      <c r="B1507" s="12">
        <v>3593.5674</v>
      </c>
      <c r="C1507" s="12">
        <v>0</v>
      </c>
      <c r="D1507" s="13">
        <v>0</v>
      </c>
      <c r="E1507" s="12">
        <v>0</v>
      </c>
      <c r="F1507" s="14">
        <v>0</v>
      </c>
      <c r="G1507" s="13">
        <v>2383.2464</v>
      </c>
      <c r="H1507" s="14">
        <v>8564356.569207</v>
      </c>
      <c r="I1507" s="14" t="e">
        <f>=Round(193.04900000,0)</f>
        <v>#VALUE!</v>
      </c>
      <c r="J1507" s="14" t="e">
        <f>=Round(0.00000000,0)</f>
        <v>#VALUE!</v>
      </c>
    </row>
    <row r="1508">
      <c r="A1508" s="11" t="s">
        <v>43</v>
      </c>
      <c r="B1508" s="12">
        <v>3593.5674</v>
      </c>
      <c r="C1508" s="12">
        <v>0</v>
      </c>
      <c r="D1508" s="13">
        <v>0</v>
      </c>
      <c r="E1508" s="12">
        <v>0</v>
      </c>
      <c r="F1508" s="14">
        <v>0</v>
      </c>
      <c r="G1508" s="13">
        <v>2383.2464</v>
      </c>
      <c r="H1508" s="14">
        <v>8564356.569207</v>
      </c>
      <c r="I1508" s="14" t="e">
        <f>=Round(193.04900000,0)</f>
        <v>#VALUE!</v>
      </c>
      <c r="J1508" s="14" t="e">
        <f>=Round(0.00000000,0)</f>
        <v>#VALUE!</v>
      </c>
    </row>
    <row r="1509">
      <c r="A1509" s="11" t="s">
        <v>44</v>
      </c>
      <c r="B1509" s="12">
        <v>3595.5366</v>
      </c>
      <c r="C1509" s="12">
        <v>0</v>
      </c>
      <c r="D1509" s="13">
        <v>0</v>
      </c>
      <c r="E1509" s="12">
        <v>0</v>
      </c>
      <c r="F1509" s="14">
        <v>0</v>
      </c>
      <c r="G1509" s="13">
        <v>2383.2464</v>
      </c>
      <c r="H1509" s="14">
        <v>8569049.658018</v>
      </c>
      <c r="I1509" s="14" t="e">
        <f>=Round(193.04900000,0)</f>
        <v>#VALUE!</v>
      </c>
      <c r="J1509" s="14" t="e">
        <f>=Round(0.00000000,0)</f>
        <v>#VALUE!</v>
      </c>
    </row>
    <row r="1510">
      <c r="A1510" s="11" t="s">
        <v>45</v>
      </c>
      <c r="B1510" s="12">
        <v>3596.1915</v>
      </c>
      <c r="C1510" s="12">
        <v>0</v>
      </c>
      <c r="D1510" s="13">
        <v>0</v>
      </c>
      <c r="E1510" s="12">
        <v>0</v>
      </c>
      <c r="F1510" s="14">
        <v>0</v>
      </c>
      <c r="G1510" s="13">
        <v>2383.2464</v>
      </c>
      <c r="H1510" s="14">
        <v>8570610.446086</v>
      </c>
      <c r="I1510" s="14" t="e">
        <f>=Round(193.15480000,0)</f>
        <v>#VALUE!</v>
      </c>
      <c r="J1510" s="14" t="e">
        <f>=Round(0.00000000,0)</f>
        <v>#VALUE!</v>
      </c>
    </row>
    <row r="1511">
      <c r="A1511" s="11" t="s">
        <v>46</v>
      </c>
      <c r="B1511" s="12">
        <v>3596.8461</v>
      </c>
      <c r="C1511" s="12">
        <v>0</v>
      </c>
      <c r="D1511" s="13">
        <v>0</v>
      </c>
      <c r="E1511" s="12">
        <v>0</v>
      </c>
      <c r="F1511" s="14">
        <v>0</v>
      </c>
      <c r="G1511" s="13">
        <v>2383.2464</v>
      </c>
      <c r="H1511" s="14">
        <v>8572170.519179</v>
      </c>
      <c r="I1511" s="14" t="e">
        <f>=Round(193.19000000,0)</f>
        <v>#VALUE!</v>
      </c>
      <c r="J1511" s="14" t="e">
        <f>=Round(0.00000000,0)</f>
        <v>#VALUE!</v>
      </c>
    </row>
    <row r="1512">
      <c r="A1512" s="11" t="s">
        <v>47</v>
      </c>
      <c r="B1512" s="12">
        <v>3597.4992</v>
      </c>
      <c r="C1512" s="12">
        <v>0</v>
      </c>
      <c r="D1512" s="13">
        <v>0</v>
      </c>
      <c r="E1512" s="12">
        <v>0</v>
      </c>
      <c r="F1512" s="14">
        <v>0</v>
      </c>
      <c r="G1512" s="13">
        <v>2383.2464</v>
      </c>
      <c r="H1512" s="14">
        <v>8573727.017403</v>
      </c>
      <c r="I1512" s="14" t="e">
        <f>=Round(193.22520000,0)</f>
        <v>#VALUE!</v>
      </c>
      <c r="J1512" s="14" t="e">
        <f>=Round(0.00000000,0)</f>
        <v>#VALUE!</v>
      </c>
    </row>
    <row r="1513">
      <c r="A1513" s="11" t="s">
        <v>48</v>
      </c>
      <c r="B1513" s="12">
        <v>3598.1558</v>
      </c>
      <c r="C1513" s="12">
        <v>0</v>
      </c>
      <c r="D1513" s="13">
        <v>0</v>
      </c>
      <c r="E1513" s="12">
        <v>0</v>
      </c>
      <c r="F1513" s="14">
        <v>0</v>
      </c>
      <c r="G1513" s="13">
        <v>2383.2464</v>
      </c>
      <c r="H1513" s="14">
        <v>8575291.856989</v>
      </c>
      <c r="I1513" s="14" t="e">
        <f>=Round(193.26020000,0)</f>
        <v>#VALUE!</v>
      </c>
      <c r="J1513" s="14" t="e">
        <f>=Round(0.00000000,0)</f>
        <v>#VALUE!</v>
      </c>
    </row>
    <row r="1514">
      <c r="A1514" s="11" t="s">
        <v>49</v>
      </c>
      <c r="B1514" s="12">
        <v>3598.1558</v>
      </c>
      <c r="C1514" s="12">
        <v>0</v>
      </c>
      <c r="D1514" s="13">
        <v>0</v>
      </c>
      <c r="E1514" s="12">
        <v>0</v>
      </c>
      <c r="F1514" s="14">
        <v>0</v>
      </c>
      <c r="G1514" s="13">
        <v>2383.2464</v>
      </c>
      <c r="H1514" s="14">
        <v>8575291.856989</v>
      </c>
      <c r="I1514" s="14" t="e">
        <f>=Round(193.29550000,0)</f>
        <v>#VALUE!</v>
      </c>
      <c r="J1514" s="14" t="e">
        <f>=Round(0.00000000,0)</f>
        <v>#VALUE!</v>
      </c>
    </row>
    <row r="1515">
      <c r="A1515" s="11" t="s">
        <v>50</v>
      </c>
      <c r="B1515" s="12">
        <v>3598.1558</v>
      </c>
      <c r="C1515" s="12">
        <v>0</v>
      </c>
      <c r="D1515" s="13">
        <v>0</v>
      </c>
      <c r="E1515" s="12">
        <v>0</v>
      </c>
      <c r="F1515" s="14">
        <v>0</v>
      </c>
      <c r="G1515" s="13">
        <v>2383.2464</v>
      </c>
      <c r="H1515" s="14">
        <v>8575291.856989</v>
      </c>
      <c r="I1515" s="14" t="e">
        <f>=Round(193.29550000,0)</f>
        <v>#VALUE!</v>
      </c>
      <c r="J1515" s="14" t="e">
        <f>=Round(0.00000000,0)</f>
        <v>#VALUE!</v>
      </c>
    </row>
    <row r="1516">
      <c r="A1516" s="11" t="s">
        <v>51</v>
      </c>
      <c r="B1516" s="12">
        <v>3600.124</v>
      </c>
      <c r="C1516" s="12">
        <v>0</v>
      </c>
      <c r="D1516" s="13">
        <v>0</v>
      </c>
      <c r="E1516" s="12">
        <v>0</v>
      </c>
      <c r="F1516" s="14">
        <v>0</v>
      </c>
      <c r="G1516" s="13">
        <v>2383.2464</v>
      </c>
      <c r="H1516" s="14">
        <v>8579982.562554</v>
      </c>
      <c r="I1516" s="14" t="e">
        <f>=Round(193.29550000,0)</f>
        <v>#VALUE!</v>
      </c>
      <c r="J1516" s="14" t="e">
        <f>=Round(0.00000000,0)</f>
        <v>#VALUE!</v>
      </c>
    </row>
    <row r="1517">
      <c r="A1517" s="11" t="s">
        <v>52</v>
      </c>
      <c r="B1517" s="12">
        <v>3600.7905</v>
      </c>
      <c r="C1517" s="12">
        <v>0</v>
      </c>
      <c r="D1517" s="13">
        <v>0</v>
      </c>
      <c r="E1517" s="12">
        <v>0</v>
      </c>
      <c r="F1517" s="14">
        <v>0</v>
      </c>
      <c r="G1517" s="13">
        <v>2383.2464</v>
      </c>
      <c r="H1517" s="14">
        <v>8581570.996279</v>
      </c>
      <c r="I1517" s="14" t="e">
        <f>=Round(193.40120000,0)</f>
        <v>#VALUE!</v>
      </c>
      <c r="J1517" s="14" t="e">
        <f>=Round(0.00000000,0)</f>
        <v>#VALUE!</v>
      </c>
    </row>
    <row r="1518">
      <c r="A1518" s="11" t="s">
        <v>53</v>
      </c>
      <c r="B1518" s="12">
        <v>3601.445</v>
      </c>
      <c r="C1518" s="12">
        <v>0</v>
      </c>
      <c r="D1518" s="13">
        <v>0</v>
      </c>
      <c r="E1518" s="12">
        <v>0</v>
      </c>
      <c r="F1518" s="14">
        <v>0</v>
      </c>
      <c r="G1518" s="13">
        <v>2383.2464</v>
      </c>
      <c r="H1518" s="14">
        <v>8583130.831048</v>
      </c>
      <c r="I1518" s="14" t="e">
        <f>=Round(193.43710000,0)</f>
        <v>#VALUE!</v>
      </c>
      <c r="J1518" s="14" t="e">
        <f>=Round(0.00000000,0)</f>
        <v>#VALUE!</v>
      </c>
    </row>
    <row r="1519">
      <c r="A1519" s="11" t="s">
        <v>54</v>
      </c>
      <c r="B1519" s="12">
        <v>3602.0851</v>
      </c>
      <c r="C1519" s="12">
        <v>0</v>
      </c>
      <c r="D1519" s="13">
        <v>0</v>
      </c>
      <c r="E1519" s="12">
        <v>0</v>
      </c>
      <c r="F1519" s="14">
        <v>0</v>
      </c>
      <c r="G1519" s="13">
        <v>2383.2464</v>
      </c>
      <c r="H1519" s="14">
        <v>8584656.347069</v>
      </c>
      <c r="I1519" s="14" t="e">
        <f>=Round(193.47220000,0)</f>
        <v>#VALUE!</v>
      </c>
      <c r="J1519" s="14" t="e">
        <f>=Round(0.00000000,0)</f>
        <v>#VALUE!</v>
      </c>
    </row>
    <row r="1520">
      <c r="A1520" s="11" t="s">
        <v>55</v>
      </c>
      <c r="B1520" s="12">
        <v>3602.7417</v>
      </c>
      <c r="C1520" s="12">
        <v>0</v>
      </c>
      <c r="D1520" s="13">
        <v>0</v>
      </c>
      <c r="E1520" s="12">
        <v>0</v>
      </c>
      <c r="F1520" s="14">
        <v>0</v>
      </c>
      <c r="G1520" s="13">
        <v>2383.2464</v>
      </c>
      <c r="H1520" s="14">
        <v>8586221.186655</v>
      </c>
      <c r="I1520" s="14" t="e">
        <f>=Round(193.50660000,0)</f>
        <v>#VALUE!</v>
      </c>
      <c r="J1520" s="14" t="e">
        <f>=Round(0.00000000,0)</f>
        <v>#VALUE!</v>
      </c>
    </row>
    <row r="1521" ht="-1">
      <c r="A1521" s="15"/>
      <c r="B1521" s="16" t="s">
        <v>56</v>
      </c>
      <c r="C1521" s="15"/>
      <c r="D1521" s="15"/>
      <c r="E1521" s="15"/>
      <c r="F1521" s="15"/>
      <c r="G1521" s="15"/>
      <c r="H1521" s="15"/>
      <c r="I1521" s="17" t="e">
        <f>=Round(SUM(I1495:I1520),0)</f>
        <v>#VALUE!</v>
      </c>
      <c r="J1521" s="17" t="e">
        <f>=Round(SUM(J1495:J1520),0)</f>
        <v>#VALUE!</v>
      </c>
    </row>
    <row r="1522">
      <c r="A1522" s="1" t="s">
        <v>0</v>
      </c>
      <c r="B1522" s="1"/>
      <c r="C1522" s="1"/>
      <c r="D1522" s="1"/>
    </row>
    <row r="1523">
      <c r="A1523" s="0" t="s">
        <v>1</v>
      </c>
      <c r="C1523" s="0" t="s">
        <v>2</v>
      </c>
      <c r="H1523" s="2" t="s">
        <v>3</v>
      </c>
    </row>
    <row r="1524">
      <c r="A1524" s="0" t="s">
        <v>4</v>
      </c>
      <c r="C1524" s="0" t="s">
        <v>95</v>
      </c>
      <c r="H1524" s="3" t="s">
        <v>6</v>
      </c>
    </row>
    <row r="1525">
      <c r="A1525" s="0" t="s">
        <v>7</v>
      </c>
      <c r="C1525" s="4" t="s">
        <v>8</v>
      </c>
      <c r="H1525" s="2" t="s">
        <v>9</v>
      </c>
    </row>
    <row r="1526">
      <c r="A1526" s="0" t="s">
        <v>10</v>
      </c>
      <c r="C1526" s="4" t="s">
        <v>11</v>
      </c>
      <c r="H1526" s="2" t="s">
        <v>12</v>
      </c>
    </row>
    <row r="1527">
      <c r="A1527" s="0" t="s">
        <v>13</v>
      </c>
      <c r="C1527" s="0" t="s">
        <v>14</v>
      </c>
    </row>
    <row r="1528">
      <c r="A1528" s="0" t="s">
        <v>15</v>
      </c>
      <c r="C1528" s="0" t="s">
        <v>16</v>
      </c>
    </row>
    <row r="1529">
      <c r="A1529" s="0" t="s">
        <v>17</v>
      </c>
      <c r="C1529" s="0" t="s">
        <v>18</v>
      </c>
    </row>
    <row r="1532">
      <c r="A1532" s="5" t="s">
        <v>19</v>
      </c>
      <c r="B1532" s="5" t="s">
        <v>20</v>
      </c>
      <c r="C1532" s="7" t="s">
        <v>21</v>
      </c>
      <c r="D1532" s="9"/>
      <c r="E1532" s="7" t="s">
        <v>22</v>
      </c>
      <c r="F1532" s="9"/>
      <c r="G1532" s="5" t="s">
        <v>23</v>
      </c>
      <c r="H1532" s="5" t="s">
        <v>24</v>
      </c>
      <c r="I1532" s="5" t="s">
        <v>25</v>
      </c>
      <c r="J1532" s="5" t="s">
        <v>26</v>
      </c>
    </row>
    <row r="1533">
      <c r="A1533" s="6"/>
      <c r="B1533" s="6"/>
      <c r="C1533" s="8" t="s">
        <v>27</v>
      </c>
      <c r="D1533" s="8" t="s">
        <v>28</v>
      </c>
      <c r="E1533" s="8" t="s">
        <v>27</v>
      </c>
      <c r="F1533" s="8" t="s">
        <v>28</v>
      </c>
      <c r="G1533" s="6"/>
      <c r="H1533" s="6"/>
      <c r="I1533" s="10" t="s">
        <v>29</v>
      </c>
      <c r="J1533" s="6"/>
    </row>
    <row r="1534">
      <c r="A1534" s="11" t="s">
        <v>30</v>
      </c>
      <c r="B1534" s="12">
        <v>3586.4187</v>
      </c>
      <c r="C1534" s="12">
        <v>0</v>
      </c>
      <c r="D1534" s="13">
        <v>0</v>
      </c>
      <c r="E1534" s="12">
        <v>0</v>
      </c>
      <c r="F1534" s="14">
        <v>0</v>
      </c>
      <c r="G1534" s="13">
        <v>4574.7035</v>
      </c>
      <c r="H1534" s="14">
        <v>16406802.179355</v>
      </c>
      <c r="I1534" s="14" t="e">
        <f>=Round(369.62210000,0)</f>
        <v>#VALUE!</v>
      </c>
      <c r="J1534" s="14" t="e">
        <f>=Round(0.00000000,0)</f>
        <v>#VALUE!</v>
      </c>
    </row>
    <row r="1535">
      <c r="A1535" s="11" t="s">
        <v>31</v>
      </c>
      <c r="B1535" s="12">
        <v>3587.0477</v>
      </c>
      <c r="C1535" s="12">
        <v>0</v>
      </c>
      <c r="D1535" s="13">
        <v>0</v>
      </c>
      <c r="E1535" s="12">
        <v>0</v>
      </c>
      <c r="F1535" s="14">
        <v>0</v>
      </c>
      <c r="G1535" s="13">
        <v>4574.7035</v>
      </c>
      <c r="H1535" s="14">
        <v>16409679.667857</v>
      </c>
      <c r="I1535" s="14" t="e">
        <f>=Round(369.82550000,0)</f>
        <v>#VALUE!</v>
      </c>
      <c r="J1535" s="14" t="e">
        <f>=Round(0.00000000,0)</f>
        <v>#VALUE!</v>
      </c>
    </row>
    <row r="1536">
      <c r="A1536" s="11" t="s">
        <v>32</v>
      </c>
      <c r="B1536" s="12">
        <v>3587.6685</v>
      </c>
      <c r="C1536" s="12">
        <v>0</v>
      </c>
      <c r="D1536" s="13">
        <v>0</v>
      </c>
      <c r="E1536" s="12">
        <v>0</v>
      </c>
      <c r="F1536" s="14">
        <v>0</v>
      </c>
      <c r="G1536" s="13">
        <v>4574.7035</v>
      </c>
      <c r="H1536" s="14">
        <v>16412519.64379</v>
      </c>
      <c r="I1536" s="14" t="e">
        <f>=Round(369.89030000,0)</f>
        <v>#VALUE!</v>
      </c>
      <c r="J1536" s="14" t="e">
        <f>=Round(0.00000000,0)</f>
        <v>#VALUE!</v>
      </c>
    </row>
    <row r="1537">
      <c r="A1537" s="11" t="s">
        <v>33</v>
      </c>
      <c r="B1537" s="12">
        <v>3588.3573</v>
      </c>
      <c r="C1537" s="12">
        <v>0</v>
      </c>
      <c r="D1537" s="13">
        <v>0</v>
      </c>
      <c r="E1537" s="12">
        <v>0</v>
      </c>
      <c r="F1537" s="14">
        <v>0</v>
      </c>
      <c r="G1537" s="13">
        <v>4574.7035</v>
      </c>
      <c r="H1537" s="14">
        <v>16415670.699561</v>
      </c>
      <c r="I1537" s="14" t="e">
        <f>=Round(369.95430000,0)</f>
        <v>#VALUE!</v>
      </c>
      <c r="J1537" s="14" t="e">
        <f>=Round(0.00000000,0)</f>
        <v>#VALUE!</v>
      </c>
    </row>
    <row r="1538">
      <c r="A1538" s="11" t="s">
        <v>34</v>
      </c>
      <c r="B1538" s="12">
        <v>3589.0109</v>
      </c>
      <c r="C1538" s="12">
        <v>0</v>
      </c>
      <c r="D1538" s="13">
        <v>0</v>
      </c>
      <c r="E1538" s="12">
        <v>0</v>
      </c>
      <c r="F1538" s="14">
        <v>0</v>
      </c>
      <c r="G1538" s="13">
        <v>4574.7035</v>
      </c>
      <c r="H1538" s="14">
        <v>16418660.725768</v>
      </c>
      <c r="I1538" s="14" t="e">
        <f>=Round(370.02540000,0)</f>
        <v>#VALUE!</v>
      </c>
      <c r="J1538" s="14" t="e">
        <f>=Round(0.00000000,0)</f>
        <v>#VALUE!</v>
      </c>
    </row>
    <row r="1539">
      <c r="A1539" s="11" t="s">
        <v>35</v>
      </c>
      <c r="B1539" s="12">
        <v>3589.0109</v>
      </c>
      <c r="C1539" s="12">
        <v>0</v>
      </c>
      <c r="D1539" s="13">
        <v>0</v>
      </c>
      <c r="E1539" s="12">
        <v>0</v>
      </c>
      <c r="F1539" s="14">
        <v>0</v>
      </c>
      <c r="G1539" s="13">
        <v>4574.7035</v>
      </c>
      <c r="H1539" s="14">
        <v>16418660.725768</v>
      </c>
      <c r="I1539" s="14" t="e">
        <f>=Round(370.09280000,0)</f>
        <v>#VALUE!</v>
      </c>
      <c r="J1539" s="14" t="e">
        <f>=Round(0.00000000,0)</f>
        <v>#VALUE!</v>
      </c>
    </row>
    <row r="1540">
      <c r="A1540" s="11" t="s">
        <v>36</v>
      </c>
      <c r="B1540" s="12">
        <v>3589.0109</v>
      </c>
      <c r="C1540" s="12">
        <v>0</v>
      </c>
      <c r="D1540" s="13">
        <v>0</v>
      </c>
      <c r="E1540" s="12">
        <v>0</v>
      </c>
      <c r="F1540" s="14">
        <v>0</v>
      </c>
      <c r="G1540" s="13">
        <v>4574.7035</v>
      </c>
      <c r="H1540" s="14">
        <v>16418660.725768</v>
      </c>
      <c r="I1540" s="14" t="e">
        <f>=Round(370.09280000,0)</f>
        <v>#VALUE!</v>
      </c>
      <c r="J1540" s="14" t="e">
        <f>=Round(0.00000000,0)</f>
        <v>#VALUE!</v>
      </c>
    </row>
    <row r="1541">
      <c r="A1541" s="11" t="s">
        <v>37</v>
      </c>
      <c r="B1541" s="12">
        <v>3590.972</v>
      </c>
      <c r="C1541" s="12">
        <v>0</v>
      </c>
      <c r="D1541" s="13">
        <v>0</v>
      </c>
      <c r="E1541" s="12">
        <v>0</v>
      </c>
      <c r="F1541" s="14">
        <v>0</v>
      </c>
      <c r="G1541" s="13">
        <v>4574.7035</v>
      </c>
      <c r="H1541" s="14">
        <v>16427632.176802</v>
      </c>
      <c r="I1541" s="14" t="e">
        <f>=Round(370.09280000,0)</f>
        <v>#VALUE!</v>
      </c>
      <c r="J1541" s="14" t="e">
        <f>=Round(0.00000000,0)</f>
        <v>#VALUE!</v>
      </c>
    </row>
    <row r="1542">
      <c r="A1542" s="11" t="s">
        <v>38</v>
      </c>
      <c r="B1542" s="12">
        <v>3591.6235</v>
      </c>
      <c r="C1542" s="12">
        <v>0</v>
      </c>
      <c r="D1542" s="13">
        <v>0</v>
      </c>
      <c r="E1542" s="12">
        <v>0</v>
      </c>
      <c r="F1542" s="14">
        <v>0</v>
      </c>
      <c r="G1542" s="13">
        <v>4574.7035</v>
      </c>
      <c r="H1542" s="14">
        <v>16430612.596132</v>
      </c>
      <c r="I1542" s="14" t="e">
        <f>=Round(370.29500000,0)</f>
        <v>#VALUE!</v>
      </c>
      <c r="J1542" s="14" t="e">
        <f>=Round(0.00000000,0)</f>
        <v>#VALUE!</v>
      </c>
    </row>
    <row r="1543">
      <c r="A1543" s="11" t="s">
        <v>39</v>
      </c>
      <c r="B1543" s="12">
        <v>3592.281</v>
      </c>
      <c r="C1543" s="12">
        <v>0</v>
      </c>
      <c r="D1543" s="13">
        <v>0</v>
      </c>
      <c r="E1543" s="12">
        <v>0</v>
      </c>
      <c r="F1543" s="14">
        <v>0</v>
      </c>
      <c r="G1543" s="13">
        <v>4574.7035</v>
      </c>
      <c r="H1543" s="14">
        <v>16433620.463684</v>
      </c>
      <c r="I1543" s="14" t="e">
        <f>=Round(370.36220000,0)</f>
        <v>#VALUE!</v>
      </c>
      <c r="J1543" s="14" t="e">
        <f>=Round(0.00000000,0)</f>
        <v>#VALUE!</v>
      </c>
    </row>
    <row r="1544">
      <c r="A1544" s="11" t="s">
        <v>40</v>
      </c>
      <c r="B1544" s="12">
        <v>3592.9125</v>
      </c>
      <c r="C1544" s="12">
        <v>0</v>
      </c>
      <c r="D1544" s="13">
        <v>0</v>
      </c>
      <c r="E1544" s="12">
        <v>0</v>
      </c>
      <c r="F1544" s="14">
        <v>0</v>
      </c>
      <c r="G1544" s="13">
        <v>4574.7035</v>
      </c>
      <c r="H1544" s="14">
        <v>16436509.388944</v>
      </c>
      <c r="I1544" s="14" t="e">
        <f>=Round(370.43000000,0)</f>
        <v>#VALUE!</v>
      </c>
      <c r="J1544" s="14" t="e">
        <f>=Round(0.00000000,0)</f>
        <v>#VALUE!</v>
      </c>
    </row>
    <row r="1545">
      <c r="A1545" s="11" t="s">
        <v>41</v>
      </c>
      <c r="B1545" s="12">
        <v>3593.5674</v>
      </c>
      <c r="C1545" s="12">
        <v>0</v>
      </c>
      <c r="D1545" s="13">
        <v>0</v>
      </c>
      <c r="E1545" s="12">
        <v>0</v>
      </c>
      <c r="F1545" s="14">
        <v>0</v>
      </c>
      <c r="G1545" s="13">
        <v>4574.7035</v>
      </c>
      <c r="H1545" s="14">
        <v>16439505.362266</v>
      </c>
      <c r="I1545" s="14" t="e">
        <f>=Round(370.49510000,0)</f>
        <v>#VALUE!</v>
      </c>
      <c r="J1545" s="14" t="e">
        <f>=Round(0.00000000,0)</f>
        <v>#VALUE!</v>
      </c>
    </row>
    <row r="1546">
      <c r="A1546" s="11" t="s">
        <v>42</v>
      </c>
      <c r="B1546" s="12">
        <v>3593.5674</v>
      </c>
      <c r="C1546" s="12">
        <v>0</v>
      </c>
      <c r="D1546" s="13">
        <v>0</v>
      </c>
      <c r="E1546" s="12">
        <v>0</v>
      </c>
      <c r="F1546" s="14">
        <v>0</v>
      </c>
      <c r="G1546" s="13">
        <v>4574.7035</v>
      </c>
      <c r="H1546" s="14">
        <v>16439505.362266</v>
      </c>
      <c r="I1546" s="14" t="e">
        <f>=Round(370.56260000,0)</f>
        <v>#VALUE!</v>
      </c>
      <c r="J1546" s="14" t="e">
        <f>=Round(0.00000000,0)</f>
        <v>#VALUE!</v>
      </c>
    </row>
    <row r="1547">
      <c r="A1547" s="11" t="s">
        <v>43</v>
      </c>
      <c r="B1547" s="12">
        <v>3593.5674</v>
      </c>
      <c r="C1547" s="12">
        <v>0</v>
      </c>
      <c r="D1547" s="13">
        <v>0</v>
      </c>
      <c r="E1547" s="12">
        <v>0</v>
      </c>
      <c r="F1547" s="14">
        <v>0</v>
      </c>
      <c r="G1547" s="13">
        <v>4574.7035</v>
      </c>
      <c r="H1547" s="14">
        <v>16439505.362266</v>
      </c>
      <c r="I1547" s="14" t="e">
        <f>=Round(370.56260000,0)</f>
        <v>#VALUE!</v>
      </c>
      <c r="J1547" s="14" t="e">
        <f>=Round(0.00000000,0)</f>
        <v>#VALUE!</v>
      </c>
    </row>
    <row r="1548">
      <c r="A1548" s="11" t="s">
        <v>44</v>
      </c>
      <c r="B1548" s="12">
        <v>3595.5366</v>
      </c>
      <c r="C1548" s="12">
        <v>0</v>
      </c>
      <c r="D1548" s="13">
        <v>0</v>
      </c>
      <c r="E1548" s="12">
        <v>0</v>
      </c>
      <c r="F1548" s="14">
        <v>0</v>
      </c>
      <c r="G1548" s="13">
        <v>4574.7035</v>
      </c>
      <c r="H1548" s="14">
        <v>16448513.868398</v>
      </c>
      <c r="I1548" s="14" t="e">
        <f>=Round(370.56260000,0)</f>
        <v>#VALUE!</v>
      </c>
      <c r="J1548" s="14" t="e">
        <f>=Round(0.00000000,0)</f>
        <v>#VALUE!</v>
      </c>
    </row>
    <row r="1549">
      <c r="A1549" s="11" t="s">
        <v>45</v>
      </c>
      <c r="B1549" s="12">
        <v>3596.1915</v>
      </c>
      <c r="C1549" s="12">
        <v>0</v>
      </c>
      <c r="D1549" s="13">
        <v>0</v>
      </c>
      <c r="E1549" s="12">
        <v>0</v>
      </c>
      <c r="F1549" s="14">
        <v>0</v>
      </c>
      <c r="G1549" s="13">
        <v>4574.7035</v>
      </c>
      <c r="H1549" s="14">
        <v>16451509.84172</v>
      </c>
      <c r="I1549" s="14" t="e">
        <f>=Round(370.76570000,0)</f>
        <v>#VALUE!</v>
      </c>
      <c r="J1549" s="14" t="e">
        <f>=Round(0.00000000,0)</f>
        <v>#VALUE!</v>
      </c>
    </row>
    <row r="1550">
      <c r="A1550" s="11" t="s">
        <v>46</v>
      </c>
      <c r="B1550" s="12">
        <v>3596.8461</v>
      </c>
      <c r="C1550" s="12">
        <v>0</v>
      </c>
      <c r="D1550" s="13">
        <v>0</v>
      </c>
      <c r="E1550" s="12">
        <v>0</v>
      </c>
      <c r="F1550" s="14">
        <v>0</v>
      </c>
      <c r="G1550" s="13">
        <v>4574.7035</v>
      </c>
      <c r="H1550" s="14">
        <v>16454504.442631</v>
      </c>
      <c r="I1550" s="14" t="e">
        <f>=Round(370.83320000,0)</f>
        <v>#VALUE!</v>
      </c>
      <c r="J1550" s="14" t="e">
        <f>=Round(0.00000000,0)</f>
        <v>#VALUE!</v>
      </c>
    </row>
    <row r="1551">
      <c r="A1551" s="11" t="s">
        <v>47</v>
      </c>
      <c r="B1551" s="12">
        <v>3597.4992</v>
      </c>
      <c r="C1551" s="12">
        <v>0</v>
      </c>
      <c r="D1551" s="13">
        <v>0</v>
      </c>
      <c r="E1551" s="12">
        <v>0</v>
      </c>
      <c r="F1551" s="14">
        <v>0</v>
      </c>
      <c r="G1551" s="13">
        <v>4574.7035</v>
      </c>
      <c r="H1551" s="14">
        <v>16457492.181487</v>
      </c>
      <c r="I1551" s="14" t="e">
        <f>=Round(370.90070000,0)</f>
        <v>#VALUE!</v>
      </c>
      <c r="J1551" s="14" t="e">
        <f>=Round(0.00000000,0)</f>
        <v>#VALUE!</v>
      </c>
    </row>
    <row r="1552">
      <c r="A1552" s="11" t="s">
        <v>48</v>
      </c>
      <c r="B1552" s="12">
        <v>3598.1558</v>
      </c>
      <c r="C1552" s="12">
        <v>0</v>
      </c>
      <c r="D1552" s="13">
        <v>0</v>
      </c>
      <c r="E1552" s="12">
        <v>0</v>
      </c>
      <c r="F1552" s="14">
        <v>0</v>
      </c>
      <c r="G1552" s="13">
        <v>4574.7035</v>
      </c>
      <c r="H1552" s="14">
        <v>16460495.931805</v>
      </c>
      <c r="I1552" s="14" t="e">
        <f>=Round(370.96810000,0)</f>
        <v>#VALUE!</v>
      </c>
      <c r="J1552" s="14" t="e">
        <f>=Round(0.00000000,0)</f>
        <v>#VALUE!</v>
      </c>
    </row>
    <row r="1553">
      <c r="A1553" s="11" t="s">
        <v>49</v>
      </c>
      <c r="B1553" s="12">
        <v>3598.1558</v>
      </c>
      <c r="C1553" s="12">
        <v>0</v>
      </c>
      <c r="D1553" s="13">
        <v>0</v>
      </c>
      <c r="E1553" s="12">
        <v>0</v>
      </c>
      <c r="F1553" s="14">
        <v>0</v>
      </c>
      <c r="G1553" s="13">
        <v>4574.7035</v>
      </c>
      <c r="H1553" s="14">
        <v>16460495.931805</v>
      </c>
      <c r="I1553" s="14" t="e">
        <f>=Round(371.03580000,0)</f>
        <v>#VALUE!</v>
      </c>
      <c r="J1553" s="14" t="e">
        <f>=Round(0.00000000,0)</f>
        <v>#VALUE!</v>
      </c>
    </row>
    <row r="1554">
      <c r="A1554" s="11" t="s">
        <v>50</v>
      </c>
      <c r="B1554" s="12">
        <v>3598.1558</v>
      </c>
      <c r="C1554" s="12">
        <v>0</v>
      </c>
      <c r="D1554" s="13">
        <v>0</v>
      </c>
      <c r="E1554" s="12">
        <v>0</v>
      </c>
      <c r="F1554" s="14">
        <v>0</v>
      </c>
      <c r="G1554" s="13">
        <v>4574.7035</v>
      </c>
      <c r="H1554" s="14">
        <v>16460495.931805</v>
      </c>
      <c r="I1554" s="14" t="e">
        <f>=Round(371.03580000,0)</f>
        <v>#VALUE!</v>
      </c>
      <c r="J1554" s="14" t="e">
        <f>=Round(0.00000000,0)</f>
        <v>#VALUE!</v>
      </c>
    </row>
    <row r="1555">
      <c r="A1555" s="11" t="s">
        <v>51</v>
      </c>
      <c r="B1555" s="12">
        <v>3600.124</v>
      </c>
      <c r="C1555" s="12">
        <v>0</v>
      </c>
      <c r="D1555" s="13">
        <v>0</v>
      </c>
      <c r="E1555" s="12">
        <v>0</v>
      </c>
      <c r="F1555" s="14">
        <v>0</v>
      </c>
      <c r="G1555" s="13">
        <v>4574.7035</v>
      </c>
      <c r="H1555" s="14">
        <v>16469499.863234</v>
      </c>
      <c r="I1555" s="14" t="e">
        <f>=Round(371.03580000,0)</f>
        <v>#VALUE!</v>
      </c>
      <c r="J1555" s="14" t="e">
        <f>=Round(0.00000000,0)</f>
        <v>#VALUE!</v>
      </c>
    </row>
    <row r="1556">
      <c r="A1556" s="11" t="s">
        <v>52</v>
      </c>
      <c r="B1556" s="12">
        <v>3600.7905</v>
      </c>
      <c r="C1556" s="12">
        <v>0</v>
      </c>
      <c r="D1556" s="13">
        <v>0</v>
      </c>
      <c r="E1556" s="12">
        <v>0</v>
      </c>
      <c r="F1556" s="14">
        <v>0</v>
      </c>
      <c r="G1556" s="13">
        <v>4574.7035</v>
      </c>
      <c r="H1556" s="14">
        <v>16472548.903117</v>
      </c>
      <c r="I1556" s="14" t="e">
        <f>=Round(371.23870000,0)</f>
        <v>#VALUE!</v>
      </c>
      <c r="J1556" s="14" t="e">
        <f>=Round(0.00000000,0)</f>
        <v>#VALUE!</v>
      </c>
    </row>
    <row r="1557">
      <c r="A1557" s="11" t="s">
        <v>53</v>
      </c>
      <c r="B1557" s="12">
        <v>3601.445</v>
      </c>
      <c r="C1557" s="12">
        <v>0</v>
      </c>
      <c r="D1557" s="13">
        <v>0</v>
      </c>
      <c r="E1557" s="12">
        <v>0</v>
      </c>
      <c r="F1557" s="14">
        <v>0</v>
      </c>
      <c r="G1557" s="13">
        <v>4574.7035</v>
      </c>
      <c r="H1557" s="14">
        <v>16475543.046558</v>
      </c>
      <c r="I1557" s="14" t="e">
        <f>=Round(371.30750000,0)</f>
        <v>#VALUE!</v>
      </c>
      <c r="J1557" s="14" t="e">
        <f>=Round(0.00000000,0)</f>
        <v>#VALUE!</v>
      </c>
    </row>
    <row r="1558">
      <c r="A1558" s="11" t="s">
        <v>54</v>
      </c>
      <c r="B1558" s="12">
        <v>3602.0851</v>
      </c>
      <c r="C1558" s="12">
        <v>0</v>
      </c>
      <c r="D1558" s="13">
        <v>0</v>
      </c>
      <c r="E1558" s="12">
        <v>0</v>
      </c>
      <c r="F1558" s="14">
        <v>0</v>
      </c>
      <c r="G1558" s="13">
        <v>4574.7035</v>
      </c>
      <c r="H1558" s="14">
        <v>16478471.314268</v>
      </c>
      <c r="I1558" s="14" t="e">
        <f>=Round(371.37490000,0)</f>
        <v>#VALUE!</v>
      </c>
      <c r="J1558" s="14" t="e">
        <f>=Round(0.00000000,0)</f>
        <v>#VALUE!</v>
      </c>
    </row>
    <row r="1559">
      <c r="A1559" s="11" t="s">
        <v>55</v>
      </c>
      <c r="B1559" s="12">
        <v>3602.7417</v>
      </c>
      <c r="C1559" s="12">
        <v>0</v>
      </c>
      <c r="D1559" s="13">
        <v>0</v>
      </c>
      <c r="E1559" s="12">
        <v>0</v>
      </c>
      <c r="F1559" s="14">
        <v>0</v>
      </c>
      <c r="G1559" s="13">
        <v>4574.7035</v>
      </c>
      <c r="H1559" s="14">
        <v>16481475.064586</v>
      </c>
      <c r="I1559" s="14" t="e">
        <f>=Round(371.44100000,0)</f>
        <v>#VALUE!</v>
      </c>
      <c r="J1559" s="14" t="e">
        <f>=Round(0.00000000,0)</f>
        <v>#VALUE!</v>
      </c>
    </row>
    <row r="1560" ht="-1">
      <c r="A1560" s="15"/>
      <c r="B1560" s="16" t="s">
        <v>56</v>
      </c>
      <c r="C1560" s="15"/>
      <c r="D1560" s="15"/>
      <c r="E1560" s="15"/>
      <c r="F1560" s="15"/>
      <c r="G1560" s="15"/>
      <c r="H1560" s="15"/>
      <c r="I1560" s="17" t="e">
        <f>=Round(SUM(I1534:I1559),0)</f>
        <v>#VALUE!</v>
      </c>
      <c r="J1560" s="17" t="e">
        <f>=Round(SUM(J1534:J1559),0)</f>
        <v>#VALUE!</v>
      </c>
    </row>
    <row r="1561">
      <c r="A1561" s="1" t="s">
        <v>0</v>
      </c>
      <c r="B1561" s="1"/>
      <c r="C1561" s="1"/>
      <c r="D1561" s="1"/>
    </row>
    <row r="1562">
      <c r="A1562" s="0" t="s">
        <v>1</v>
      </c>
      <c r="C1562" s="0" t="s">
        <v>2</v>
      </c>
      <c r="H1562" s="2" t="s">
        <v>3</v>
      </c>
    </row>
    <row r="1563">
      <c r="A1563" s="0" t="s">
        <v>4</v>
      </c>
      <c r="C1563" s="0" t="s">
        <v>96</v>
      </c>
      <c r="H1563" s="3" t="s">
        <v>6</v>
      </c>
    </row>
    <row r="1564">
      <c r="A1564" s="0" t="s">
        <v>7</v>
      </c>
      <c r="C1564" s="4" t="s">
        <v>8</v>
      </c>
      <c r="H1564" s="2" t="s">
        <v>9</v>
      </c>
    </row>
    <row r="1565">
      <c r="A1565" s="0" t="s">
        <v>10</v>
      </c>
      <c r="C1565" s="4" t="s">
        <v>11</v>
      </c>
      <c r="H1565" s="2" t="s">
        <v>12</v>
      </c>
    </row>
    <row r="1566">
      <c r="A1566" s="0" t="s">
        <v>13</v>
      </c>
      <c r="C1566" s="0" t="s">
        <v>14</v>
      </c>
    </row>
    <row r="1567">
      <c r="A1567" s="0" t="s">
        <v>15</v>
      </c>
      <c r="C1567" s="0" t="s">
        <v>16</v>
      </c>
    </row>
    <row r="1568">
      <c r="A1568" s="0" t="s">
        <v>17</v>
      </c>
      <c r="C1568" s="0" t="s">
        <v>18</v>
      </c>
    </row>
    <row r="1571">
      <c r="A1571" s="5" t="s">
        <v>19</v>
      </c>
      <c r="B1571" s="5" t="s">
        <v>20</v>
      </c>
      <c r="C1571" s="7" t="s">
        <v>21</v>
      </c>
      <c r="D1571" s="9"/>
      <c r="E1571" s="7" t="s">
        <v>22</v>
      </c>
      <c r="F1571" s="9"/>
      <c r="G1571" s="5" t="s">
        <v>23</v>
      </c>
      <c r="H1571" s="5" t="s">
        <v>24</v>
      </c>
      <c r="I1571" s="5" t="s">
        <v>25</v>
      </c>
      <c r="J1571" s="5" t="s">
        <v>26</v>
      </c>
    </row>
    <row r="1572">
      <c r="A1572" s="6"/>
      <c r="B1572" s="6"/>
      <c r="C1572" s="8" t="s">
        <v>27</v>
      </c>
      <c r="D1572" s="8" t="s">
        <v>28</v>
      </c>
      <c r="E1572" s="8" t="s">
        <v>27</v>
      </c>
      <c r="F1572" s="8" t="s">
        <v>28</v>
      </c>
      <c r="G1572" s="6"/>
      <c r="H1572" s="6"/>
      <c r="I1572" s="10" t="s">
        <v>29</v>
      </c>
      <c r="J1572" s="6"/>
    </row>
    <row r="1573">
      <c r="A1573" s="11" t="s">
        <v>30</v>
      </c>
      <c r="B1573" s="12">
        <v>3586.4187</v>
      </c>
      <c r="C1573" s="12">
        <v>0</v>
      </c>
      <c r="D1573" s="13">
        <v>0</v>
      </c>
      <c r="E1573" s="12">
        <v>0</v>
      </c>
      <c r="F1573" s="14">
        <v>0</v>
      </c>
      <c r="G1573" s="13">
        <v>430.918</v>
      </c>
      <c r="H1573" s="14">
        <v>1545452.373367</v>
      </c>
      <c r="I1573" s="14" t="e">
        <f>=Round(34.81690000,0)</f>
        <v>#VALUE!</v>
      </c>
      <c r="J1573" s="14" t="e">
        <f>=Round(0.00000000,0)</f>
        <v>#VALUE!</v>
      </c>
    </row>
    <row r="1574">
      <c r="A1574" s="11" t="s">
        <v>31</v>
      </c>
      <c r="B1574" s="12">
        <v>3587.0477</v>
      </c>
      <c r="C1574" s="12">
        <v>0</v>
      </c>
      <c r="D1574" s="13">
        <v>0</v>
      </c>
      <c r="E1574" s="12">
        <v>0</v>
      </c>
      <c r="F1574" s="14">
        <v>0</v>
      </c>
      <c r="G1574" s="13">
        <v>430.918</v>
      </c>
      <c r="H1574" s="14">
        <v>1545723.420789</v>
      </c>
      <c r="I1574" s="14" t="e">
        <f>=Round(34.83600000,0)</f>
        <v>#VALUE!</v>
      </c>
      <c r="J1574" s="14" t="e">
        <f>=Round(0.00000000,0)</f>
        <v>#VALUE!</v>
      </c>
    </row>
    <row r="1575">
      <c r="A1575" s="11" t="s">
        <v>32</v>
      </c>
      <c r="B1575" s="12">
        <v>3587.6685</v>
      </c>
      <c r="C1575" s="12">
        <v>0</v>
      </c>
      <c r="D1575" s="13">
        <v>0</v>
      </c>
      <c r="E1575" s="12">
        <v>0</v>
      </c>
      <c r="F1575" s="14">
        <v>0</v>
      </c>
      <c r="G1575" s="13">
        <v>430.918</v>
      </c>
      <c r="H1575" s="14">
        <v>1545990.934683</v>
      </c>
      <c r="I1575" s="14" t="e">
        <f>=Round(34.84210000,0)</f>
        <v>#VALUE!</v>
      </c>
      <c r="J1575" s="14" t="e">
        <f>=Round(0.00000000,0)</f>
        <v>#VALUE!</v>
      </c>
    </row>
    <row r="1576">
      <c r="A1576" s="11" t="s">
        <v>33</v>
      </c>
      <c r="B1576" s="12">
        <v>3588.3573</v>
      </c>
      <c r="C1576" s="12">
        <v>0</v>
      </c>
      <c r="D1576" s="13">
        <v>0</v>
      </c>
      <c r="E1576" s="12">
        <v>0</v>
      </c>
      <c r="F1576" s="14">
        <v>0</v>
      </c>
      <c r="G1576" s="13">
        <v>430.918</v>
      </c>
      <c r="H1576" s="14">
        <v>1546287.751001</v>
      </c>
      <c r="I1576" s="14" t="e">
        <f>=Round(34.84820000,0)</f>
        <v>#VALUE!</v>
      </c>
      <c r="J1576" s="14" t="e">
        <f>=Round(0.00000000,0)</f>
        <v>#VALUE!</v>
      </c>
    </row>
    <row r="1577">
      <c r="A1577" s="11" t="s">
        <v>34</v>
      </c>
      <c r="B1577" s="12">
        <v>3589.0109</v>
      </c>
      <c r="C1577" s="12">
        <v>0</v>
      </c>
      <c r="D1577" s="13">
        <v>0</v>
      </c>
      <c r="E1577" s="12">
        <v>0</v>
      </c>
      <c r="F1577" s="14">
        <v>0</v>
      </c>
      <c r="G1577" s="13">
        <v>430.918</v>
      </c>
      <c r="H1577" s="14">
        <v>1546569.399006</v>
      </c>
      <c r="I1577" s="14" t="e">
        <f>=Round(34.85480000,0)</f>
        <v>#VALUE!</v>
      </c>
      <c r="J1577" s="14" t="e">
        <f>=Round(0.00000000,0)</f>
        <v>#VALUE!</v>
      </c>
    </row>
    <row r="1578">
      <c r="A1578" s="11" t="s">
        <v>35</v>
      </c>
      <c r="B1578" s="12">
        <v>3589.0109</v>
      </c>
      <c r="C1578" s="12">
        <v>0</v>
      </c>
      <c r="D1578" s="13">
        <v>0</v>
      </c>
      <c r="E1578" s="12">
        <v>0</v>
      </c>
      <c r="F1578" s="14">
        <v>0</v>
      </c>
      <c r="G1578" s="13">
        <v>430.918</v>
      </c>
      <c r="H1578" s="14">
        <v>1546569.399006</v>
      </c>
      <c r="I1578" s="14" t="e">
        <f>=Round(34.86120000,0)</f>
        <v>#VALUE!</v>
      </c>
      <c r="J1578" s="14" t="e">
        <f>=Round(0.00000000,0)</f>
        <v>#VALUE!</v>
      </c>
    </row>
    <row r="1579">
      <c r="A1579" s="11" t="s">
        <v>36</v>
      </c>
      <c r="B1579" s="12">
        <v>3589.0109</v>
      </c>
      <c r="C1579" s="12">
        <v>0</v>
      </c>
      <c r="D1579" s="13">
        <v>0</v>
      </c>
      <c r="E1579" s="12">
        <v>0</v>
      </c>
      <c r="F1579" s="14">
        <v>0</v>
      </c>
      <c r="G1579" s="13">
        <v>430.918</v>
      </c>
      <c r="H1579" s="14">
        <v>1546569.399006</v>
      </c>
      <c r="I1579" s="14" t="e">
        <f>=Round(34.86120000,0)</f>
        <v>#VALUE!</v>
      </c>
      <c r="J1579" s="14" t="e">
        <f>=Round(0.00000000,0)</f>
        <v>#VALUE!</v>
      </c>
    </row>
    <row r="1580">
      <c r="A1580" s="11" t="s">
        <v>37</v>
      </c>
      <c r="B1580" s="12">
        <v>3590.972</v>
      </c>
      <c r="C1580" s="12">
        <v>0</v>
      </c>
      <c r="D1580" s="13">
        <v>0</v>
      </c>
      <c r="E1580" s="12">
        <v>0</v>
      </c>
      <c r="F1580" s="14">
        <v>0</v>
      </c>
      <c r="G1580" s="13">
        <v>430.918</v>
      </c>
      <c r="H1580" s="14">
        <v>1547414.472296</v>
      </c>
      <c r="I1580" s="14" t="e">
        <f>=Round(34.86120000,0)</f>
        <v>#VALUE!</v>
      </c>
      <c r="J1580" s="14" t="e">
        <f>=Round(0.00000000,0)</f>
        <v>#VALUE!</v>
      </c>
    </row>
    <row r="1581">
      <c r="A1581" s="11" t="s">
        <v>38</v>
      </c>
      <c r="B1581" s="12">
        <v>3591.6235</v>
      </c>
      <c r="C1581" s="12">
        <v>0</v>
      </c>
      <c r="D1581" s="13">
        <v>0</v>
      </c>
      <c r="E1581" s="12">
        <v>0</v>
      </c>
      <c r="F1581" s="14">
        <v>0</v>
      </c>
      <c r="G1581" s="13">
        <v>430.918</v>
      </c>
      <c r="H1581" s="14">
        <v>1547695.215373</v>
      </c>
      <c r="I1581" s="14" t="e">
        <f>=Round(34.88020000,0)</f>
        <v>#VALUE!</v>
      </c>
      <c r="J1581" s="14" t="e">
        <f>=Round(0.00000000,0)</f>
        <v>#VALUE!</v>
      </c>
    </row>
    <row r="1582">
      <c r="A1582" s="11" t="s">
        <v>39</v>
      </c>
      <c r="B1582" s="12">
        <v>3592.281</v>
      </c>
      <c r="C1582" s="12">
        <v>0</v>
      </c>
      <c r="D1582" s="13">
        <v>0</v>
      </c>
      <c r="E1582" s="12">
        <v>0</v>
      </c>
      <c r="F1582" s="14">
        <v>0</v>
      </c>
      <c r="G1582" s="13">
        <v>430.918</v>
      </c>
      <c r="H1582" s="14">
        <v>1547978.543958</v>
      </c>
      <c r="I1582" s="14" t="e">
        <f>=Round(34.88660000,0)</f>
        <v>#VALUE!</v>
      </c>
      <c r="J1582" s="14" t="e">
        <f>=Round(0.00000000,0)</f>
        <v>#VALUE!</v>
      </c>
    </row>
    <row r="1583">
      <c r="A1583" s="11" t="s">
        <v>40</v>
      </c>
      <c r="B1583" s="12">
        <v>3592.9125</v>
      </c>
      <c r="C1583" s="12">
        <v>0</v>
      </c>
      <c r="D1583" s="13">
        <v>0</v>
      </c>
      <c r="E1583" s="12">
        <v>0</v>
      </c>
      <c r="F1583" s="14">
        <v>0</v>
      </c>
      <c r="G1583" s="13">
        <v>430.918</v>
      </c>
      <c r="H1583" s="14">
        <v>1548250.668675</v>
      </c>
      <c r="I1583" s="14" t="e">
        <f>=Round(34.89300000,0)</f>
        <v>#VALUE!</v>
      </c>
      <c r="J1583" s="14" t="e">
        <f>=Round(0.00000000,0)</f>
        <v>#VALUE!</v>
      </c>
    </row>
    <row r="1584">
      <c r="A1584" s="11" t="s">
        <v>41</v>
      </c>
      <c r="B1584" s="12">
        <v>3593.5674</v>
      </c>
      <c r="C1584" s="12">
        <v>0</v>
      </c>
      <c r="D1584" s="13">
        <v>0</v>
      </c>
      <c r="E1584" s="12">
        <v>0</v>
      </c>
      <c r="F1584" s="14">
        <v>0</v>
      </c>
      <c r="G1584" s="13">
        <v>430.918</v>
      </c>
      <c r="H1584" s="14">
        <v>1548532.876873</v>
      </c>
      <c r="I1584" s="14" t="e">
        <f>=Round(34.89910000,0)</f>
        <v>#VALUE!</v>
      </c>
      <c r="J1584" s="14" t="e">
        <f>=Round(0.00000000,0)</f>
        <v>#VALUE!</v>
      </c>
    </row>
    <row r="1585">
      <c r="A1585" s="11" t="s">
        <v>42</v>
      </c>
      <c r="B1585" s="12">
        <v>3593.5674</v>
      </c>
      <c r="C1585" s="12">
        <v>0</v>
      </c>
      <c r="D1585" s="13">
        <v>0</v>
      </c>
      <c r="E1585" s="12">
        <v>0</v>
      </c>
      <c r="F1585" s="14">
        <v>0</v>
      </c>
      <c r="G1585" s="13">
        <v>430.918</v>
      </c>
      <c r="H1585" s="14">
        <v>1548532.876873</v>
      </c>
      <c r="I1585" s="14" t="e">
        <f>=Round(34.90550000,0)</f>
        <v>#VALUE!</v>
      </c>
      <c r="J1585" s="14" t="e">
        <f>=Round(0.00000000,0)</f>
        <v>#VALUE!</v>
      </c>
    </row>
    <row r="1586">
      <c r="A1586" s="11" t="s">
        <v>43</v>
      </c>
      <c r="B1586" s="12">
        <v>3593.5674</v>
      </c>
      <c r="C1586" s="12">
        <v>0</v>
      </c>
      <c r="D1586" s="13">
        <v>0</v>
      </c>
      <c r="E1586" s="12">
        <v>0</v>
      </c>
      <c r="F1586" s="14">
        <v>0</v>
      </c>
      <c r="G1586" s="13">
        <v>430.918</v>
      </c>
      <c r="H1586" s="14">
        <v>1548532.876873</v>
      </c>
      <c r="I1586" s="14" t="e">
        <f>=Round(34.90550000,0)</f>
        <v>#VALUE!</v>
      </c>
      <c r="J1586" s="14" t="e">
        <f>=Round(0.00000000,0)</f>
        <v>#VALUE!</v>
      </c>
    </row>
    <row r="1587">
      <c r="A1587" s="11" t="s">
        <v>44</v>
      </c>
      <c r="B1587" s="12">
        <v>3595.5366</v>
      </c>
      <c r="C1587" s="12">
        <v>0</v>
      </c>
      <c r="D1587" s="13">
        <v>0</v>
      </c>
      <c r="E1587" s="12">
        <v>0</v>
      </c>
      <c r="F1587" s="14">
        <v>0</v>
      </c>
      <c r="G1587" s="13">
        <v>430.918</v>
      </c>
      <c r="H1587" s="14">
        <v>1549381.440599</v>
      </c>
      <c r="I1587" s="14" t="e">
        <f>=Round(34.90550000,0)</f>
        <v>#VALUE!</v>
      </c>
      <c r="J1587" s="14" t="e">
        <f>=Round(0.00000000,0)</f>
        <v>#VALUE!</v>
      </c>
    </row>
    <row r="1588">
      <c r="A1588" s="11" t="s">
        <v>45</v>
      </c>
      <c r="B1588" s="12">
        <v>3596.1915</v>
      </c>
      <c r="C1588" s="12">
        <v>0</v>
      </c>
      <c r="D1588" s="13">
        <v>0</v>
      </c>
      <c r="E1588" s="12">
        <v>0</v>
      </c>
      <c r="F1588" s="14">
        <v>0</v>
      </c>
      <c r="G1588" s="13">
        <v>430.918</v>
      </c>
      <c r="H1588" s="14">
        <v>1549663.648797</v>
      </c>
      <c r="I1588" s="14" t="e">
        <f>=Round(34.92460000,0)</f>
        <v>#VALUE!</v>
      </c>
      <c r="J1588" s="14" t="e">
        <f>=Round(0.00000000,0)</f>
        <v>#VALUE!</v>
      </c>
    </row>
    <row r="1589">
      <c r="A1589" s="11" t="s">
        <v>46</v>
      </c>
      <c r="B1589" s="12">
        <v>3596.8461</v>
      </c>
      <c r="C1589" s="12">
        <v>0</v>
      </c>
      <c r="D1589" s="13">
        <v>0</v>
      </c>
      <c r="E1589" s="12">
        <v>0</v>
      </c>
      <c r="F1589" s="14">
        <v>0</v>
      </c>
      <c r="G1589" s="13">
        <v>430.918</v>
      </c>
      <c r="H1589" s="14">
        <v>1549945.72772</v>
      </c>
      <c r="I1589" s="14" t="e">
        <f>=Round(34.93090000,0)</f>
        <v>#VALUE!</v>
      </c>
      <c r="J1589" s="14" t="e">
        <f>=Round(0.00000000,0)</f>
        <v>#VALUE!</v>
      </c>
    </row>
    <row r="1590">
      <c r="A1590" s="11" t="s">
        <v>47</v>
      </c>
      <c r="B1590" s="12">
        <v>3597.4992</v>
      </c>
      <c r="C1590" s="12">
        <v>0</v>
      </c>
      <c r="D1590" s="13">
        <v>0</v>
      </c>
      <c r="E1590" s="12">
        <v>0</v>
      </c>
      <c r="F1590" s="14">
        <v>0</v>
      </c>
      <c r="G1590" s="13">
        <v>430.918</v>
      </c>
      <c r="H1590" s="14">
        <v>1550227.160266</v>
      </c>
      <c r="I1590" s="14" t="e">
        <f>=Round(34.93730000,0)</f>
        <v>#VALUE!</v>
      </c>
      <c r="J1590" s="14" t="e">
        <f>=Round(0.00000000,0)</f>
        <v>#VALUE!</v>
      </c>
    </row>
    <row r="1591">
      <c r="A1591" s="11" t="s">
        <v>48</v>
      </c>
      <c r="B1591" s="12">
        <v>3598.1558</v>
      </c>
      <c r="C1591" s="12">
        <v>0</v>
      </c>
      <c r="D1591" s="13">
        <v>0</v>
      </c>
      <c r="E1591" s="12">
        <v>0</v>
      </c>
      <c r="F1591" s="14">
        <v>0</v>
      </c>
      <c r="G1591" s="13">
        <v>430.918</v>
      </c>
      <c r="H1591" s="14">
        <v>1550510.101024</v>
      </c>
      <c r="I1591" s="14" t="e">
        <f>=Round(34.94360000,0)</f>
        <v>#VALUE!</v>
      </c>
      <c r="J1591" s="14" t="e">
        <f>=Round(0.00000000,0)</f>
        <v>#VALUE!</v>
      </c>
    </row>
    <row r="1592">
      <c r="A1592" s="11" t="s">
        <v>49</v>
      </c>
      <c r="B1592" s="12">
        <v>3598.1558</v>
      </c>
      <c r="C1592" s="12">
        <v>0</v>
      </c>
      <c r="D1592" s="13">
        <v>0</v>
      </c>
      <c r="E1592" s="12">
        <v>0</v>
      </c>
      <c r="F1592" s="14">
        <v>0</v>
      </c>
      <c r="G1592" s="13">
        <v>430.918</v>
      </c>
      <c r="H1592" s="14">
        <v>1550510.101024</v>
      </c>
      <c r="I1592" s="14" t="e">
        <f>=Round(34.95000000,0)</f>
        <v>#VALUE!</v>
      </c>
      <c r="J1592" s="14" t="e">
        <f>=Round(0.00000000,0)</f>
        <v>#VALUE!</v>
      </c>
    </row>
    <row r="1593">
      <c r="A1593" s="11" t="s">
        <v>50</v>
      </c>
      <c r="B1593" s="12">
        <v>3598.1558</v>
      </c>
      <c r="C1593" s="12">
        <v>0</v>
      </c>
      <c r="D1593" s="13">
        <v>0</v>
      </c>
      <c r="E1593" s="12">
        <v>0</v>
      </c>
      <c r="F1593" s="14">
        <v>0</v>
      </c>
      <c r="G1593" s="13">
        <v>430.918</v>
      </c>
      <c r="H1593" s="14">
        <v>1550510.101024</v>
      </c>
      <c r="I1593" s="14" t="e">
        <f>=Round(34.95000000,0)</f>
        <v>#VALUE!</v>
      </c>
      <c r="J1593" s="14" t="e">
        <f>=Round(0.00000000,0)</f>
        <v>#VALUE!</v>
      </c>
    </row>
    <row r="1594">
      <c r="A1594" s="11" t="s">
        <v>51</v>
      </c>
      <c r="B1594" s="12">
        <v>3600.124</v>
      </c>
      <c r="C1594" s="12">
        <v>0</v>
      </c>
      <c r="D1594" s="13">
        <v>0</v>
      </c>
      <c r="E1594" s="12">
        <v>0</v>
      </c>
      <c r="F1594" s="14">
        <v>0</v>
      </c>
      <c r="G1594" s="13">
        <v>430.918</v>
      </c>
      <c r="H1594" s="14">
        <v>1551358.233832</v>
      </c>
      <c r="I1594" s="14" t="e">
        <f>=Round(34.95000000,0)</f>
        <v>#VALUE!</v>
      </c>
      <c r="J1594" s="14" t="e">
        <f>=Round(0.00000000,0)</f>
        <v>#VALUE!</v>
      </c>
    </row>
    <row r="1595">
      <c r="A1595" s="11" t="s">
        <v>52</v>
      </c>
      <c r="B1595" s="12">
        <v>3600.7905</v>
      </c>
      <c r="C1595" s="12">
        <v>0</v>
      </c>
      <c r="D1595" s="13">
        <v>0</v>
      </c>
      <c r="E1595" s="12">
        <v>0</v>
      </c>
      <c r="F1595" s="14">
        <v>0</v>
      </c>
      <c r="G1595" s="13">
        <v>430.918</v>
      </c>
      <c r="H1595" s="14">
        <v>1551645.440679</v>
      </c>
      <c r="I1595" s="14" t="e">
        <f>=Round(34.96910000,0)</f>
        <v>#VALUE!</v>
      </c>
      <c r="J1595" s="14" t="e">
        <f>=Round(0.00000000,0)</f>
        <v>#VALUE!</v>
      </c>
    </row>
    <row r="1596">
      <c r="A1596" s="11" t="s">
        <v>53</v>
      </c>
      <c r="B1596" s="12">
        <v>3601.445</v>
      </c>
      <c r="C1596" s="12">
        <v>0</v>
      </c>
      <c r="D1596" s="13">
        <v>0</v>
      </c>
      <c r="E1596" s="12">
        <v>0</v>
      </c>
      <c r="F1596" s="14">
        <v>0</v>
      </c>
      <c r="G1596" s="13">
        <v>430.918</v>
      </c>
      <c r="H1596" s="14">
        <v>1551927.47651</v>
      </c>
      <c r="I1596" s="14" t="e">
        <f>=Round(34.97560000,0)</f>
        <v>#VALUE!</v>
      </c>
      <c r="J1596" s="14" t="e">
        <f>=Round(0.00000000,0)</f>
        <v>#VALUE!</v>
      </c>
    </row>
    <row r="1597">
      <c r="A1597" s="11" t="s">
        <v>54</v>
      </c>
      <c r="B1597" s="12">
        <v>3602.0851</v>
      </c>
      <c r="C1597" s="12">
        <v>0</v>
      </c>
      <c r="D1597" s="13">
        <v>0</v>
      </c>
      <c r="E1597" s="12">
        <v>0</v>
      </c>
      <c r="F1597" s="14">
        <v>0</v>
      </c>
      <c r="G1597" s="13">
        <v>430.918</v>
      </c>
      <c r="H1597" s="14">
        <v>1552203.307122</v>
      </c>
      <c r="I1597" s="14" t="e">
        <f>=Round(34.98200000,0)</f>
        <v>#VALUE!</v>
      </c>
      <c r="J1597" s="14" t="e">
        <f>=Round(0.00000000,0)</f>
        <v>#VALUE!</v>
      </c>
    </row>
    <row r="1598">
      <c r="A1598" s="11" t="s">
        <v>55</v>
      </c>
      <c r="B1598" s="12">
        <v>3602.7417</v>
      </c>
      <c r="C1598" s="12">
        <v>0</v>
      </c>
      <c r="D1598" s="13">
        <v>0</v>
      </c>
      <c r="E1598" s="12">
        <v>0</v>
      </c>
      <c r="F1598" s="14">
        <v>0</v>
      </c>
      <c r="G1598" s="13">
        <v>430.918</v>
      </c>
      <c r="H1598" s="14">
        <v>1552486.247881</v>
      </c>
      <c r="I1598" s="14" t="e">
        <f>=Round(34.98820000,0)</f>
        <v>#VALUE!</v>
      </c>
      <c r="J1598" s="14" t="e">
        <f>=Round(0.00000000,0)</f>
        <v>#VALUE!</v>
      </c>
    </row>
    <row r="1599" ht="-1">
      <c r="A1599" s="15"/>
      <c r="B1599" s="16" t="s">
        <v>56</v>
      </c>
      <c r="C1599" s="15"/>
      <c r="D1599" s="15"/>
      <c r="E1599" s="15"/>
      <c r="F1599" s="15"/>
      <c r="G1599" s="15"/>
      <c r="H1599" s="15"/>
      <c r="I1599" s="17" t="e">
        <f>=Round(SUM(I1573:I1598),0)</f>
        <v>#VALUE!</v>
      </c>
      <c r="J1599" s="17" t="e">
        <f>=Round(SUM(J1573:J1598),0)</f>
        <v>#VALUE!</v>
      </c>
    </row>
    <row r="1600">
      <c r="A1600" s="1" t="s">
        <v>0</v>
      </c>
      <c r="B1600" s="1"/>
      <c r="C1600" s="1"/>
      <c r="D1600" s="1"/>
    </row>
    <row r="1601">
      <c r="A1601" s="0" t="s">
        <v>1</v>
      </c>
      <c r="C1601" s="0" t="s">
        <v>2</v>
      </c>
      <c r="H1601" s="2" t="s">
        <v>3</v>
      </c>
    </row>
    <row r="1602">
      <c r="A1602" s="0" t="s">
        <v>4</v>
      </c>
      <c r="C1602" s="0" t="s">
        <v>97</v>
      </c>
      <c r="H1602" s="3" t="s">
        <v>6</v>
      </c>
    </row>
    <row r="1603">
      <c r="A1603" s="0" t="s">
        <v>7</v>
      </c>
      <c r="C1603" s="4" t="s">
        <v>8</v>
      </c>
      <c r="H1603" s="2" t="s">
        <v>9</v>
      </c>
    </row>
    <row r="1604">
      <c r="A1604" s="0" t="s">
        <v>10</v>
      </c>
      <c r="C1604" s="4" t="s">
        <v>11</v>
      </c>
      <c r="H1604" s="2" t="s">
        <v>12</v>
      </c>
    </row>
    <row r="1605">
      <c r="A1605" s="0" t="s">
        <v>13</v>
      </c>
      <c r="C1605" s="0" t="s">
        <v>14</v>
      </c>
    </row>
    <row r="1606">
      <c r="A1606" s="0" t="s">
        <v>15</v>
      </c>
      <c r="C1606" s="0" t="s">
        <v>16</v>
      </c>
    </row>
    <row r="1607">
      <c r="A1607" s="0" t="s">
        <v>17</v>
      </c>
      <c r="C1607" s="0" t="s">
        <v>18</v>
      </c>
    </row>
    <row r="1610">
      <c r="A1610" s="5" t="s">
        <v>19</v>
      </c>
      <c r="B1610" s="5" t="s">
        <v>20</v>
      </c>
      <c r="C1610" s="7" t="s">
        <v>21</v>
      </c>
      <c r="D1610" s="9"/>
      <c r="E1610" s="7" t="s">
        <v>22</v>
      </c>
      <c r="F1610" s="9"/>
      <c r="G1610" s="5" t="s">
        <v>23</v>
      </c>
      <c r="H1610" s="5" t="s">
        <v>24</v>
      </c>
      <c r="I1610" s="5" t="s">
        <v>25</v>
      </c>
      <c r="J1610" s="5" t="s">
        <v>26</v>
      </c>
    </row>
    <row r="1611">
      <c r="A1611" s="6"/>
      <c r="B1611" s="6"/>
      <c r="C1611" s="8" t="s">
        <v>27</v>
      </c>
      <c r="D1611" s="8" t="s">
        <v>28</v>
      </c>
      <c r="E1611" s="8" t="s">
        <v>27</v>
      </c>
      <c r="F1611" s="8" t="s">
        <v>28</v>
      </c>
      <c r="G1611" s="6"/>
      <c r="H1611" s="6"/>
      <c r="I1611" s="10" t="s">
        <v>29</v>
      </c>
      <c r="J1611" s="6"/>
    </row>
    <row r="1612">
      <c r="A1612" s="11" t="s">
        <v>30</v>
      </c>
      <c r="B1612" s="12">
        <v>3586.4187</v>
      </c>
      <c r="C1612" s="12">
        <v>0</v>
      </c>
      <c r="D1612" s="13">
        <v>0</v>
      </c>
      <c r="E1612" s="12">
        <v>0</v>
      </c>
      <c r="F1612" s="14">
        <v>0</v>
      </c>
      <c r="G1612" s="13">
        <v>432.9819</v>
      </c>
      <c r="H1612" s="14">
        <v>1552854.382922</v>
      </c>
      <c r="I1612" s="14" t="e">
        <f>=Round(34.98360000,0)</f>
        <v>#VALUE!</v>
      </c>
      <c r="J1612" s="14" t="e">
        <f>=Round(0.00000000,0)</f>
        <v>#VALUE!</v>
      </c>
    </row>
    <row r="1613">
      <c r="A1613" s="11" t="s">
        <v>31</v>
      </c>
      <c r="B1613" s="12">
        <v>3587.0477</v>
      </c>
      <c r="C1613" s="12">
        <v>0</v>
      </c>
      <c r="D1613" s="13">
        <v>0</v>
      </c>
      <c r="E1613" s="12">
        <v>0</v>
      </c>
      <c r="F1613" s="14">
        <v>0</v>
      </c>
      <c r="G1613" s="13">
        <v>432.9819</v>
      </c>
      <c r="H1613" s="14">
        <v>1553126.728537</v>
      </c>
      <c r="I1613" s="14" t="e">
        <f>=Round(35.00290000,0)</f>
        <v>#VALUE!</v>
      </c>
      <c r="J1613" s="14" t="e">
        <f>=Round(0.00000000,0)</f>
        <v>#VALUE!</v>
      </c>
    </row>
    <row r="1614">
      <c r="A1614" s="11" t="s">
        <v>32</v>
      </c>
      <c r="B1614" s="12">
        <v>3587.6685</v>
      </c>
      <c r="C1614" s="12">
        <v>0</v>
      </c>
      <c r="D1614" s="13">
        <v>0</v>
      </c>
      <c r="E1614" s="12">
        <v>0</v>
      </c>
      <c r="F1614" s="14">
        <v>0</v>
      </c>
      <c r="G1614" s="13">
        <v>432.9819</v>
      </c>
      <c r="H1614" s="14">
        <v>1553395.5237</v>
      </c>
      <c r="I1614" s="14" t="e">
        <f>=Round(35.00900000,0)</f>
        <v>#VALUE!</v>
      </c>
      <c r="J1614" s="14" t="e">
        <f>=Round(0.00000000,0)</f>
        <v>#VALUE!</v>
      </c>
    </row>
    <row r="1615">
      <c r="A1615" s="11" t="s">
        <v>33</v>
      </c>
      <c r="B1615" s="12">
        <v>3588.3573</v>
      </c>
      <c r="C1615" s="12">
        <v>0</v>
      </c>
      <c r="D1615" s="13">
        <v>0</v>
      </c>
      <c r="E1615" s="12">
        <v>0</v>
      </c>
      <c r="F1615" s="14">
        <v>0</v>
      </c>
      <c r="G1615" s="13">
        <v>432.9819</v>
      </c>
      <c r="H1615" s="14">
        <v>1553693.761633</v>
      </c>
      <c r="I1615" s="14" t="e">
        <f>=Round(35.01510000,0)</f>
        <v>#VALUE!</v>
      </c>
      <c r="J1615" s="14" t="e">
        <f>=Round(0.00000000,0)</f>
        <v>#VALUE!</v>
      </c>
    </row>
    <row r="1616">
      <c r="A1616" s="11" t="s">
        <v>34</v>
      </c>
      <c r="B1616" s="12">
        <v>3589.0109</v>
      </c>
      <c r="C1616" s="12">
        <v>0</v>
      </c>
      <c r="D1616" s="13">
        <v>0</v>
      </c>
      <c r="E1616" s="12">
        <v>0</v>
      </c>
      <c r="F1616" s="14">
        <v>0</v>
      </c>
      <c r="G1616" s="13">
        <v>432.9819</v>
      </c>
      <c r="H1616" s="14">
        <v>1553976.758603</v>
      </c>
      <c r="I1616" s="14" t="e">
        <f>=Round(35.02180000,0)</f>
        <v>#VALUE!</v>
      </c>
      <c r="J1616" s="14" t="e">
        <f>=Round(0.00000000,0)</f>
        <v>#VALUE!</v>
      </c>
    </row>
    <row r="1617">
      <c r="A1617" s="11" t="s">
        <v>35</v>
      </c>
      <c r="B1617" s="12">
        <v>3589.0109</v>
      </c>
      <c r="C1617" s="12">
        <v>0</v>
      </c>
      <c r="D1617" s="13">
        <v>0</v>
      </c>
      <c r="E1617" s="12">
        <v>0</v>
      </c>
      <c r="F1617" s="14">
        <v>0</v>
      </c>
      <c r="G1617" s="13">
        <v>432.9819</v>
      </c>
      <c r="H1617" s="14">
        <v>1553976.758603</v>
      </c>
      <c r="I1617" s="14" t="e">
        <f>=Round(35.02820000,0)</f>
        <v>#VALUE!</v>
      </c>
      <c r="J1617" s="14" t="e">
        <f>=Round(0.00000000,0)</f>
        <v>#VALUE!</v>
      </c>
    </row>
    <row r="1618">
      <c r="A1618" s="11" t="s">
        <v>36</v>
      </c>
      <c r="B1618" s="12">
        <v>3589.0109</v>
      </c>
      <c r="C1618" s="12">
        <v>0</v>
      </c>
      <c r="D1618" s="13">
        <v>0</v>
      </c>
      <c r="E1618" s="12">
        <v>0</v>
      </c>
      <c r="F1618" s="14">
        <v>0</v>
      </c>
      <c r="G1618" s="13">
        <v>432.9819</v>
      </c>
      <c r="H1618" s="14">
        <v>1553976.758603</v>
      </c>
      <c r="I1618" s="14" t="e">
        <f>=Round(35.02820000,0)</f>
        <v>#VALUE!</v>
      </c>
      <c r="J1618" s="14" t="e">
        <f>=Round(0.00000000,0)</f>
        <v>#VALUE!</v>
      </c>
    </row>
    <row r="1619">
      <c r="A1619" s="11" t="s">
        <v>37</v>
      </c>
      <c r="B1619" s="12">
        <v>3590.972</v>
      </c>
      <c r="C1619" s="12">
        <v>0</v>
      </c>
      <c r="D1619" s="13">
        <v>0</v>
      </c>
      <c r="E1619" s="12">
        <v>0</v>
      </c>
      <c r="F1619" s="14">
        <v>0</v>
      </c>
      <c r="G1619" s="13">
        <v>432.9819</v>
      </c>
      <c r="H1619" s="14">
        <v>1554825.879407</v>
      </c>
      <c r="I1619" s="14" t="e">
        <f>=Round(35.02820000,0)</f>
        <v>#VALUE!</v>
      </c>
      <c r="J1619" s="14" t="e">
        <f>=Round(0.00000000,0)</f>
        <v>#VALUE!</v>
      </c>
    </row>
    <row r="1620">
      <c r="A1620" s="11" t="s">
        <v>38</v>
      </c>
      <c r="B1620" s="12">
        <v>3591.6235</v>
      </c>
      <c r="C1620" s="12">
        <v>0</v>
      </c>
      <c r="D1620" s="13">
        <v>0</v>
      </c>
      <c r="E1620" s="12">
        <v>0</v>
      </c>
      <c r="F1620" s="14">
        <v>0</v>
      </c>
      <c r="G1620" s="13">
        <v>432.9819</v>
      </c>
      <c r="H1620" s="14">
        <v>1555107.967115</v>
      </c>
      <c r="I1620" s="14" t="e">
        <f>=Round(35.04730000,0)</f>
        <v>#VALUE!</v>
      </c>
      <c r="J1620" s="14" t="e">
        <f>=Round(0.00000000,0)</f>
        <v>#VALUE!</v>
      </c>
    </row>
    <row r="1621">
      <c r="A1621" s="11" t="s">
        <v>39</v>
      </c>
      <c r="B1621" s="12">
        <v>3592.281</v>
      </c>
      <c r="C1621" s="12">
        <v>0</v>
      </c>
      <c r="D1621" s="13">
        <v>0</v>
      </c>
      <c r="E1621" s="12">
        <v>0</v>
      </c>
      <c r="F1621" s="14">
        <v>0</v>
      </c>
      <c r="G1621" s="13">
        <v>432.9819</v>
      </c>
      <c r="H1621" s="14">
        <v>1555392.652714</v>
      </c>
      <c r="I1621" s="14" t="e">
        <f>=Round(35.05370000,0)</f>
        <v>#VALUE!</v>
      </c>
      <c r="J1621" s="14" t="e">
        <f>=Round(0.00000000,0)</f>
        <v>#VALUE!</v>
      </c>
    </row>
    <row r="1622">
      <c r="A1622" s="11" t="s">
        <v>40</v>
      </c>
      <c r="B1622" s="12">
        <v>3592.9125</v>
      </c>
      <c r="C1622" s="12">
        <v>0</v>
      </c>
      <c r="D1622" s="13">
        <v>0</v>
      </c>
      <c r="E1622" s="12">
        <v>0</v>
      </c>
      <c r="F1622" s="14">
        <v>0</v>
      </c>
      <c r="G1622" s="13">
        <v>432.9819</v>
      </c>
      <c r="H1622" s="14">
        <v>1555666.080784</v>
      </c>
      <c r="I1622" s="14" t="e">
        <f>=Round(35.06010000,0)</f>
        <v>#VALUE!</v>
      </c>
      <c r="J1622" s="14" t="e">
        <f>=Round(0.00000000,0)</f>
        <v>#VALUE!</v>
      </c>
    </row>
    <row r="1623">
      <c r="A1623" s="11" t="s">
        <v>41</v>
      </c>
      <c r="B1623" s="12">
        <v>3593.5674</v>
      </c>
      <c r="C1623" s="12">
        <v>0</v>
      </c>
      <c r="D1623" s="13">
        <v>0</v>
      </c>
      <c r="E1623" s="12">
        <v>0</v>
      </c>
      <c r="F1623" s="14">
        <v>0</v>
      </c>
      <c r="G1623" s="13">
        <v>432.9819</v>
      </c>
      <c r="H1623" s="14">
        <v>1555949.64063</v>
      </c>
      <c r="I1623" s="14" t="e">
        <f>=Round(35.06620000,0)</f>
        <v>#VALUE!</v>
      </c>
      <c r="J1623" s="14" t="e">
        <f>=Round(0.00000000,0)</f>
        <v>#VALUE!</v>
      </c>
    </row>
    <row r="1624">
      <c r="A1624" s="11" t="s">
        <v>42</v>
      </c>
      <c r="B1624" s="12">
        <v>3593.5674</v>
      </c>
      <c r="C1624" s="12">
        <v>0</v>
      </c>
      <c r="D1624" s="13">
        <v>0</v>
      </c>
      <c r="E1624" s="12">
        <v>0</v>
      </c>
      <c r="F1624" s="14">
        <v>0</v>
      </c>
      <c r="G1624" s="13">
        <v>432.9819</v>
      </c>
      <c r="H1624" s="14">
        <v>1555949.64063</v>
      </c>
      <c r="I1624" s="14" t="e">
        <f>=Round(35.07260000,0)</f>
        <v>#VALUE!</v>
      </c>
      <c r="J1624" s="14" t="e">
        <f>=Round(0.00000000,0)</f>
        <v>#VALUE!</v>
      </c>
    </row>
    <row r="1625">
      <c r="A1625" s="11" t="s">
        <v>43</v>
      </c>
      <c r="B1625" s="12">
        <v>3593.5674</v>
      </c>
      <c r="C1625" s="12">
        <v>0</v>
      </c>
      <c r="D1625" s="13">
        <v>0</v>
      </c>
      <c r="E1625" s="12">
        <v>0</v>
      </c>
      <c r="F1625" s="14">
        <v>0</v>
      </c>
      <c r="G1625" s="13">
        <v>432.9819</v>
      </c>
      <c r="H1625" s="14">
        <v>1555949.64063</v>
      </c>
      <c r="I1625" s="14" t="e">
        <f>=Round(35.07260000,0)</f>
        <v>#VALUE!</v>
      </c>
      <c r="J1625" s="14" t="e">
        <f>=Round(0.00000000,0)</f>
        <v>#VALUE!</v>
      </c>
    </row>
    <row r="1626">
      <c r="A1626" s="11" t="s">
        <v>44</v>
      </c>
      <c r="B1626" s="12">
        <v>3595.5366</v>
      </c>
      <c r="C1626" s="12">
        <v>0</v>
      </c>
      <c r="D1626" s="13">
        <v>0</v>
      </c>
      <c r="E1626" s="12">
        <v>0</v>
      </c>
      <c r="F1626" s="14">
        <v>0</v>
      </c>
      <c r="G1626" s="13">
        <v>432.9819</v>
      </c>
      <c r="H1626" s="14">
        <v>1556802.268588</v>
      </c>
      <c r="I1626" s="14" t="e">
        <f>=Round(35.07260000,0)</f>
        <v>#VALUE!</v>
      </c>
      <c r="J1626" s="14" t="e">
        <f>=Round(0.00000000,0)</f>
        <v>#VALUE!</v>
      </c>
    </row>
    <row r="1627">
      <c r="A1627" s="11" t="s">
        <v>45</v>
      </c>
      <c r="B1627" s="12">
        <v>3596.1915</v>
      </c>
      <c r="C1627" s="12">
        <v>0</v>
      </c>
      <c r="D1627" s="13">
        <v>0</v>
      </c>
      <c r="E1627" s="12">
        <v>0</v>
      </c>
      <c r="F1627" s="14">
        <v>0</v>
      </c>
      <c r="G1627" s="13">
        <v>432.9819</v>
      </c>
      <c r="H1627" s="14">
        <v>1557085.828434</v>
      </c>
      <c r="I1627" s="14" t="e">
        <f>=Round(35.09190000,0)</f>
        <v>#VALUE!</v>
      </c>
      <c r="J1627" s="14" t="e">
        <f>=Round(0.00000000,0)</f>
        <v>#VALUE!</v>
      </c>
    </row>
    <row r="1628">
      <c r="A1628" s="11" t="s">
        <v>46</v>
      </c>
      <c r="B1628" s="12">
        <v>3596.8461</v>
      </c>
      <c r="C1628" s="12">
        <v>0</v>
      </c>
      <c r="D1628" s="13">
        <v>0</v>
      </c>
      <c r="E1628" s="12">
        <v>0</v>
      </c>
      <c r="F1628" s="14">
        <v>0</v>
      </c>
      <c r="G1628" s="13">
        <v>432.9819</v>
      </c>
      <c r="H1628" s="14">
        <v>1557369.258386</v>
      </c>
      <c r="I1628" s="14" t="e">
        <f>=Round(35.09820000,0)</f>
        <v>#VALUE!</v>
      </c>
      <c r="J1628" s="14" t="e">
        <f>=Round(0.00000000,0)</f>
        <v>#VALUE!</v>
      </c>
    </row>
    <row r="1629">
      <c r="A1629" s="11" t="s">
        <v>47</v>
      </c>
      <c r="B1629" s="12">
        <v>3597.4992</v>
      </c>
      <c r="C1629" s="12">
        <v>0</v>
      </c>
      <c r="D1629" s="13">
        <v>0</v>
      </c>
      <c r="E1629" s="12">
        <v>0</v>
      </c>
      <c r="F1629" s="14">
        <v>0</v>
      </c>
      <c r="G1629" s="13">
        <v>432.9819</v>
      </c>
      <c r="H1629" s="14">
        <v>1557652.038864</v>
      </c>
      <c r="I1629" s="14" t="e">
        <f>=Round(35.10460000,0)</f>
        <v>#VALUE!</v>
      </c>
      <c r="J1629" s="14" t="e">
        <f>=Round(0.00000000,0)</f>
        <v>#VALUE!</v>
      </c>
    </row>
    <row r="1630">
      <c r="A1630" s="11" t="s">
        <v>48</v>
      </c>
      <c r="B1630" s="12">
        <v>3598.1558</v>
      </c>
      <c r="C1630" s="12">
        <v>0</v>
      </c>
      <c r="D1630" s="13">
        <v>0</v>
      </c>
      <c r="E1630" s="12">
        <v>0</v>
      </c>
      <c r="F1630" s="14">
        <v>0</v>
      </c>
      <c r="G1630" s="13">
        <v>432.9819</v>
      </c>
      <c r="H1630" s="14">
        <v>1557936.33478</v>
      </c>
      <c r="I1630" s="14" t="e">
        <f>=Round(35.11100000,0)</f>
        <v>#VALUE!</v>
      </c>
      <c r="J1630" s="14" t="e">
        <f>=Round(0.00000000,0)</f>
        <v>#VALUE!</v>
      </c>
    </row>
    <row r="1631">
      <c r="A1631" s="11" t="s">
        <v>49</v>
      </c>
      <c r="B1631" s="12">
        <v>3598.1558</v>
      </c>
      <c r="C1631" s="12">
        <v>0</v>
      </c>
      <c r="D1631" s="13">
        <v>0</v>
      </c>
      <c r="E1631" s="12">
        <v>0</v>
      </c>
      <c r="F1631" s="14">
        <v>0</v>
      </c>
      <c r="G1631" s="13">
        <v>432.9819</v>
      </c>
      <c r="H1631" s="14">
        <v>1557936.33478</v>
      </c>
      <c r="I1631" s="14" t="e">
        <f>=Round(35.11740000,0)</f>
        <v>#VALUE!</v>
      </c>
      <c r="J1631" s="14" t="e">
        <f>=Round(0.00000000,0)</f>
        <v>#VALUE!</v>
      </c>
    </row>
    <row r="1632">
      <c r="A1632" s="11" t="s">
        <v>50</v>
      </c>
      <c r="B1632" s="12">
        <v>3598.1558</v>
      </c>
      <c r="C1632" s="12">
        <v>0</v>
      </c>
      <c r="D1632" s="13">
        <v>0</v>
      </c>
      <c r="E1632" s="12">
        <v>0</v>
      </c>
      <c r="F1632" s="14">
        <v>0</v>
      </c>
      <c r="G1632" s="13">
        <v>432.9819</v>
      </c>
      <c r="H1632" s="14">
        <v>1557936.33478</v>
      </c>
      <c r="I1632" s="14" t="e">
        <f>=Round(35.11740000,0)</f>
        <v>#VALUE!</v>
      </c>
      <c r="J1632" s="14" t="e">
        <f>=Round(0.00000000,0)</f>
        <v>#VALUE!</v>
      </c>
    </row>
    <row r="1633">
      <c r="A1633" s="11" t="s">
        <v>51</v>
      </c>
      <c r="B1633" s="12">
        <v>3600.124</v>
      </c>
      <c r="C1633" s="12">
        <v>0</v>
      </c>
      <c r="D1633" s="13">
        <v>0</v>
      </c>
      <c r="E1633" s="12">
        <v>0</v>
      </c>
      <c r="F1633" s="14">
        <v>0</v>
      </c>
      <c r="G1633" s="13">
        <v>432.9819</v>
      </c>
      <c r="H1633" s="14">
        <v>1558788.529756</v>
      </c>
      <c r="I1633" s="14" t="e">
        <f>=Round(35.11740000,0)</f>
        <v>#VALUE!</v>
      </c>
      <c r="J1633" s="14" t="e">
        <f>=Round(0.00000000,0)</f>
        <v>#VALUE!</v>
      </c>
    </row>
    <row r="1634">
      <c r="A1634" s="11" t="s">
        <v>52</v>
      </c>
      <c r="B1634" s="12">
        <v>3600.7905</v>
      </c>
      <c r="C1634" s="12">
        <v>0</v>
      </c>
      <c r="D1634" s="13">
        <v>0</v>
      </c>
      <c r="E1634" s="12">
        <v>0</v>
      </c>
      <c r="F1634" s="14">
        <v>0</v>
      </c>
      <c r="G1634" s="13">
        <v>432.9819</v>
      </c>
      <c r="H1634" s="14">
        <v>1559077.112192</v>
      </c>
      <c r="I1634" s="14" t="e">
        <f>=Round(35.13660000,0)</f>
        <v>#VALUE!</v>
      </c>
      <c r="J1634" s="14" t="e">
        <f>=Round(0.00000000,0)</f>
        <v>#VALUE!</v>
      </c>
    </row>
    <row r="1635">
      <c r="A1635" s="11" t="s">
        <v>53</v>
      </c>
      <c r="B1635" s="12">
        <v>3601.445</v>
      </c>
      <c r="C1635" s="12">
        <v>0</v>
      </c>
      <c r="D1635" s="13">
        <v>0</v>
      </c>
      <c r="E1635" s="12">
        <v>0</v>
      </c>
      <c r="F1635" s="14">
        <v>0</v>
      </c>
      <c r="G1635" s="13">
        <v>432.9819</v>
      </c>
      <c r="H1635" s="14">
        <v>1559360.498846</v>
      </c>
      <c r="I1635" s="14" t="e">
        <f>=Round(35.14310000,0)</f>
        <v>#VALUE!</v>
      </c>
      <c r="J1635" s="14" t="e">
        <f>=Round(0.00000000,0)</f>
        <v>#VALUE!</v>
      </c>
    </row>
    <row r="1636">
      <c r="A1636" s="11" t="s">
        <v>54</v>
      </c>
      <c r="B1636" s="12">
        <v>3602.0851</v>
      </c>
      <c r="C1636" s="12">
        <v>0</v>
      </c>
      <c r="D1636" s="13">
        <v>0</v>
      </c>
      <c r="E1636" s="12">
        <v>0</v>
      </c>
      <c r="F1636" s="14">
        <v>0</v>
      </c>
      <c r="G1636" s="13">
        <v>432.9819</v>
      </c>
      <c r="H1636" s="14">
        <v>1559637.65056</v>
      </c>
      <c r="I1636" s="14" t="e">
        <f>=Round(35.14950000,0)</f>
        <v>#VALUE!</v>
      </c>
      <c r="J1636" s="14" t="e">
        <f>=Round(0.00000000,0)</f>
        <v>#VALUE!</v>
      </c>
    </row>
    <row r="1637">
      <c r="A1637" s="11" t="s">
        <v>55</v>
      </c>
      <c r="B1637" s="12">
        <v>3602.7417</v>
      </c>
      <c r="C1637" s="12">
        <v>0</v>
      </c>
      <c r="D1637" s="13">
        <v>0</v>
      </c>
      <c r="E1637" s="12">
        <v>0</v>
      </c>
      <c r="F1637" s="14">
        <v>0</v>
      </c>
      <c r="G1637" s="13">
        <v>432.9819</v>
      </c>
      <c r="H1637" s="14">
        <v>1559921.946475</v>
      </c>
      <c r="I1637" s="14" t="e">
        <f>=Round(35.15580000,0)</f>
        <v>#VALUE!</v>
      </c>
      <c r="J1637" s="14" t="e">
        <f>=Round(0.00000000,0)</f>
        <v>#VALUE!</v>
      </c>
    </row>
    <row r="1638" ht="-1">
      <c r="A1638" s="15"/>
      <c r="B1638" s="16" t="s">
        <v>56</v>
      </c>
      <c r="C1638" s="15"/>
      <c r="D1638" s="15"/>
      <c r="E1638" s="15"/>
      <c r="F1638" s="15"/>
      <c r="G1638" s="15"/>
      <c r="H1638" s="15"/>
      <c r="I1638" s="17" t="e">
        <f>=Round(SUM(I1612:I1637),0)</f>
        <v>#VALUE!</v>
      </c>
      <c r="J1638" s="17" t="e">
        <f>=Round(SUM(J1612:J1637),0)</f>
        <v>#VALUE!</v>
      </c>
    </row>
    <row r="1639">
      <c r="A1639" s="1" t="s">
        <v>0</v>
      </c>
      <c r="B1639" s="1"/>
      <c r="C1639" s="1"/>
      <c r="D1639" s="1"/>
    </row>
    <row r="1640">
      <c r="A1640" s="0" t="s">
        <v>1</v>
      </c>
      <c r="C1640" s="0" t="s">
        <v>2</v>
      </c>
      <c r="H1640" s="2" t="s">
        <v>3</v>
      </c>
    </row>
    <row r="1641">
      <c r="A1641" s="0" t="s">
        <v>4</v>
      </c>
      <c r="C1641" s="0" t="s">
        <v>98</v>
      </c>
      <c r="H1641" s="3" t="s">
        <v>6</v>
      </c>
    </row>
    <row r="1642">
      <c r="A1642" s="0" t="s">
        <v>7</v>
      </c>
      <c r="C1642" s="4" t="s">
        <v>8</v>
      </c>
      <c r="H1642" s="2" t="s">
        <v>9</v>
      </c>
    </row>
    <row r="1643">
      <c r="A1643" s="0" t="s">
        <v>10</v>
      </c>
      <c r="C1643" s="4" t="s">
        <v>11</v>
      </c>
      <c r="H1643" s="2" t="s">
        <v>12</v>
      </c>
    </row>
    <row r="1644">
      <c r="A1644" s="0" t="s">
        <v>13</v>
      </c>
      <c r="C1644" s="0" t="s">
        <v>14</v>
      </c>
    </row>
    <row r="1645">
      <c r="A1645" s="0" t="s">
        <v>15</v>
      </c>
      <c r="C1645" s="0" t="s">
        <v>16</v>
      </c>
    </row>
    <row r="1646">
      <c r="A1646" s="0" t="s">
        <v>17</v>
      </c>
      <c r="C1646" s="0" t="s">
        <v>18</v>
      </c>
    </row>
    <row r="1649">
      <c r="A1649" s="5" t="s">
        <v>19</v>
      </c>
      <c r="B1649" s="5" t="s">
        <v>20</v>
      </c>
      <c r="C1649" s="7" t="s">
        <v>21</v>
      </c>
      <c r="D1649" s="9"/>
      <c r="E1649" s="7" t="s">
        <v>22</v>
      </c>
      <c r="F1649" s="9"/>
      <c r="G1649" s="5" t="s">
        <v>23</v>
      </c>
      <c r="H1649" s="5" t="s">
        <v>24</v>
      </c>
      <c r="I1649" s="5" t="s">
        <v>25</v>
      </c>
      <c r="J1649" s="5" t="s">
        <v>26</v>
      </c>
    </row>
    <row r="1650">
      <c r="A1650" s="6"/>
      <c r="B1650" s="6"/>
      <c r="C1650" s="8" t="s">
        <v>27</v>
      </c>
      <c r="D1650" s="8" t="s">
        <v>28</v>
      </c>
      <c r="E1650" s="8" t="s">
        <v>27</v>
      </c>
      <c r="F1650" s="8" t="s">
        <v>28</v>
      </c>
      <c r="G1650" s="6"/>
      <c r="H1650" s="6"/>
      <c r="I1650" s="10" t="s">
        <v>29</v>
      </c>
      <c r="J1650" s="6"/>
    </row>
    <row r="1651">
      <c r="A1651" s="11" t="s">
        <v>30</v>
      </c>
      <c r="B1651" s="12">
        <v>3586.4187</v>
      </c>
      <c r="C1651" s="12">
        <v>0</v>
      </c>
      <c r="D1651" s="13">
        <v>0</v>
      </c>
      <c r="E1651" s="12">
        <v>0</v>
      </c>
      <c r="F1651" s="14">
        <v>0</v>
      </c>
      <c r="G1651" s="13">
        <v>19861.7016</v>
      </c>
      <c r="H1651" s="14">
        <v>71232378.03206</v>
      </c>
      <c r="I1651" s="14" t="e">
        <f>=Round(1604.76490000,0)</f>
        <v>#VALUE!</v>
      </c>
      <c r="J1651" s="14" t="e">
        <f>=Round(0.00000000,0)</f>
        <v>#VALUE!</v>
      </c>
    </row>
    <row r="1652">
      <c r="A1652" s="11" t="s">
        <v>31</v>
      </c>
      <c r="B1652" s="12">
        <v>3587.0477</v>
      </c>
      <c r="C1652" s="12">
        <v>0</v>
      </c>
      <c r="D1652" s="13">
        <v>0</v>
      </c>
      <c r="E1652" s="12">
        <v>0</v>
      </c>
      <c r="F1652" s="14">
        <v>0</v>
      </c>
      <c r="G1652" s="13">
        <v>19861.7016</v>
      </c>
      <c r="H1652" s="14">
        <v>71244871.042366</v>
      </c>
      <c r="I1652" s="14" t="e">
        <f>=Round(1605.64790000,0)</f>
        <v>#VALUE!</v>
      </c>
      <c r="J1652" s="14" t="e">
        <f>=Round(0.00000000,0)</f>
        <v>#VALUE!</v>
      </c>
    </row>
    <row r="1653">
      <c r="A1653" s="11" t="s">
        <v>32</v>
      </c>
      <c r="B1653" s="12">
        <v>3587.6685</v>
      </c>
      <c r="C1653" s="12">
        <v>0</v>
      </c>
      <c r="D1653" s="13">
        <v>0</v>
      </c>
      <c r="E1653" s="12">
        <v>0</v>
      </c>
      <c r="F1653" s="14">
        <v>0</v>
      </c>
      <c r="G1653" s="13">
        <v>19861.7016</v>
      </c>
      <c r="H1653" s="14">
        <v>71257201.18672</v>
      </c>
      <c r="I1653" s="14" t="e">
        <f>=Round(1605.92950000,0)</f>
        <v>#VALUE!</v>
      </c>
      <c r="J1653" s="14" t="e">
        <f>=Round(0.00000000,0)</f>
        <v>#VALUE!</v>
      </c>
    </row>
    <row r="1654">
      <c r="A1654" s="11" t="s">
        <v>33</v>
      </c>
      <c r="B1654" s="12">
        <v>3588.3573</v>
      </c>
      <c r="C1654" s="12">
        <v>0</v>
      </c>
      <c r="D1654" s="13">
        <v>0</v>
      </c>
      <c r="E1654" s="12">
        <v>0</v>
      </c>
      <c r="F1654" s="14">
        <v>0</v>
      </c>
      <c r="G1654" s="13">
        <v>19861.7016</v>
      </c>
      <c r="H1654" s="14">
        <v>71270881.926782</v>
      </c>
      <c r="I1654" s="14" t="e">
        <f>=Round(1606.20740000,0)</f>
        <v>#VALUE!</v>
      </c>
      <c r="J1654" s="14" t="e">
        <f>=Round(0.00000000,0)</f>
        <v>#VALUE!</v>
      </c>
    </row>
    <row r="1655">
      <c r="A1655" s="11" t="s">
        <v>34</v>
      </c>
      <c r="B1655" s="12">
        <v>3589.0109</v>
      </c>
      <c r="C1655" s="12">
        <v>0</v>
      </c>
      <c r="D1655" s="13">
        <v>0</v>
      </c>
      <c r="E1655" s="12">
        <v>0</v>
      </c>
      <c r="F1655" s="14">
        <v>0</v>
      </c>
      <c r="G1655" s="13">
        <v>19861.7016</v>
      </c>
      <c r="H1655" s="14">
        <v>71283863.534947</v>
      </c>
      <c r="I1655" s="14" t="e">
        <f>=Round(1606.51580000,0)</f>
        <v>#VALUE!</v>
      </c>
      <c r="J1655" s="14" t="e">
        <f>=Round(0.00000000,0)</f>
        <v>#VALUE!</v>
      </c>
    </row>
    <row r="1656">
      <c r="A1656" s="11" t="s">
        <v>35</v>
      </c>
      <c r="B1656" s="12">
        <v>3589.0109</v>
      </c>
      <c r="C1656" s="12">
        <v>0</v>
      </c>
      <c r="D1656" s="13">
        <v>0</v>
      </c>
      <c r="E1656" s="12">
        <v>0</v>
      </c>
      <c r="F1656" s="14">
        <v>0</v>
      </c>
      <c r="G1656" s="13">
        <v>19861.7016</v>
      </c>
      <c r="H1656" s="14">
        <v>71283863.534947</v>
      </c>
      <c r="I1656" s="14" t="e">
        <f>=Round(1606.80840000,0)</f>
        <v>#VALUE!</v>
      </c>
      <c r="J1656" s="14" t="e">
        <f>=Round(0.00000000,0)</f>
        <v>#VALUE!</v>
      </c>
    </row>
    <row r="1657">
      <c r="A1657" s="11" t="s">
        <v>36</v>
      </c>
      <c r="B1657" s="12">
        <v>3589.0109</v>
      </c>
      <c r="C1657" s="12">
        <v>0</v>
      </c>
      <c r="D1657" s="13">
        <v>0</v>
      </c>
      <c r="E1657" s="12">
        <v>0</v>
      </c>
      <c r="F1657" s="14">
        <v>0</v>
      </c>
      <c r="G1657" s="13">
        <v>19861.7016</v>
      </c>
      <c r="H1657" s="14">
        <v>71283863.534947</v>
      </c>
      <c r="I1657" s="14" t="e">
        <f>=Round(1606.80840000,0)</f>
        <v>#VALUE!</v>
      </c>
      <c r="J1657" s="14" t="e">
        <f>=Round(0.00000000,0)</f>
        <v>#VALUE!</v>
      </c>
    </row>
    <row r="1658">
      <c r="A1658" s="11" t="s">
        <v>37</v>
      </c>
      <c r="B1658" s="12">
        <v>3590.972</v>
      </c>
      <c r="C1658" s="12">
        <v>0</v>
      </c>
      <c r="D1658" s="13">
        <v>0</v>
      </c>
      <c r="E1658" s="12">
        <v>0</v>
      </c>
      <c r="F1658" s="14">
        <v>0</v>
      </c>
      <c r="G1658" s="13">
        <v>19861.7016</v>
      </c>
      <c r="H1658" s="14">
        <v>71322814.317955</v>
      </c>
      <c r="I1658" s="14" t="e">
        <f>=Round(1606.80840000,0)</f>
        <v>#VALUE!</v>
      </c>
      <c r="J1658" s="14" t="e">
        <f>=Round(0.00000000,0)</f>
        <v>#VALUE!</v>
      </c>
    </row>
    <row r="1659">
      <c r="A1659" s="11" t="s">
        <v>38</v>
      </c>
      <c r="B1659" s="12">
        <v>3591.6235</v>
      </c>
      <c r="C1659" s="12">
        <v>0</v>
      </c>
      <c r="D1659" s="13">
        <v>0</v>
      </c>
      <c r="E1659" s="12">
        <v>0</v>
      </c>
      <c r="F1659" s="14">
        <v>0</v>
      </c>
      <c r="G1659" s="13">
        <v>19861.7016</v>
      </c>
      <c r="H1659" s="14">
        <v>71335754.216548</v>
      </c>
      <c r="I1659" s="14" t="e">
        <f>=Round(1607.68640000,0)</f>
        <v>#VALUE!</v>
      </c>
      <c r="J1659" s="14" t="e">
        <f>=Round(0.00000000,0)</f>
        <v>#VALUE!</v>
      </c>
    </row>
    <row r="1660">
      <c r="A1660" s="11" t="s">
        <v>39</v>
      </c>
      <c r="B1660" s="12">
        <v>3592.281</v>
      </c>
      <c r="C1660" s="12">
        <v>0</v>
      </c>
      <c r="D1660" s="13">
        <v>0</v>
      </c>
      <c r="E1660" s="12">
        <v>0</v>
      </c>
      <c r="F1660" s="14">
        <v>0</v>
      </c>
      <c r="G1660" s="13">
        <v>19861.7016</v>
      </c>
      <c r="H1660" s="14">
        <v>71348813.28535</v>
      </c>
      <c r="I1660" s="14" t="e">
        <f>=Round(1607.97810000,0)</f>
        <v>#VALUE!</v>
      </c>
      <c r="J1660" s="14" t="e">
        <f>=Round(0.00000000,0)</f>
        <v>#VALUE!</v>
      </c>
    </row>
    <row r="1661">
      <c r="A1661" s="11" t="s">
        <v>40</v>
      </c>
      <c r="B1661" s="12">
        <v>3592.9125</v>
      </c>
      <c r="C1661" s="12">
        <v>0</v>
      </c>
      <c r="D1661" s="13">
        <v>0</v>
      </c>
      <c r="E1661" s="12">
        <v>0</v>
      </c>
      <c r="F1661" s="14">
        <v>0</v>
      </c>
      <c r="G1661" s="13">
        <v>19861.7016</v>
      </c>
      <c r="H1661" s="14">
        <v>71361355.94991</v>
      </c>
      <c r="I1661" s="14" t="e">
        <f>=Round(1608.27240000,0)</f>
        <v>#VALUE!</v>
      </c>
      <c r="J1661" s="14" t="e">
        <f>=Round(0.00000000,0)</f>
        <v>#VALUE!</v>
      </c>
    </row>
    <row r="1662">
      <c r="A1662" s="11" t="s">
        <v>41</v>
      </c>
      <c r="B1662" s="12">
        <v>3593.5674</v>
      </c>
      <c r="C1662" s="12">
        <v>0</v>
      </c>
      <c r="D1662" s="13">
        <v>0</v>
      </c>
      <c r="E1662" s="12">
        <v>0</v>
      </c>
      <c r="F1662" s="14">
        <v>0</v>
      </c>
      <c r="G1662" s="13">
        <v>19861.7016</v>
      </c>
      <c r="H1662" s="14">
        <v>71374363.378288</v>
      </c>
      <c r="I1662" s="14" t="e">
        <f>=Round(1608.55520000,0)</f>
        <v>#VALUE!</v>
      </c>
      <c r="J1662" s="14" t="e">
        <f>=Round(0.00000000,0)</f>
        <v>#VALUE!</v>
      </c>
    </row>
    <row r="1663">
      <c r="A1663" s="11" t="s">
        <v>42</v>
      </c>
      <c r="B1663" s="12">
        <v>3593.5674</v>
      </c>
      <c r="C1663" s="12">
        <v>0</v>
      </c>
      <c r="D1663" s="13">
        <v>0</v>
      </c>
      <c r="E1663" s="12">
        <v>0</v>
      </c>
      <c r="F1663" s="14">
        <v>0</v>
      </c>
      <c r="G1663" s="13">
        <v>19861.7016</v>
      </c>
      <c r="H1663" s="14">
        <v>71374363.378288</v>
      </c>
      <c r="I1663" s="14" t="e">
        <f>=Round(1608.84840000,0)</f>
        <v>#VALUE!</v>
      </c>
      <c r="J1663" s="14" t="e">
        <f>=Round(0.00000000,0)</f>
        <v>#VALUE!</v>
      </c>
    </row>
    <row r="1664">
      <c r="A1664" s="11" t="s">
        <v>43</v>
      </c>
      <c r="B1664" s="12">
        <v>3593.5674</v>
      </c>
      <c r="C1664" s="12">
        <v>0</v>
      </c>
      <c r="D1664" s="13">
        <v>0</v>
      </c>
      <c r="E1664" s="12">
        <v>0</v>
      </c>
      <c r="F1664" s="14">
        <v>0</v>
      </c>
      <c r="G1664" s="13">
        <v>19861.7016</v>
      </c>
      <c r="H1664" s="14">
        <v>71374363.378288</v>
      </c>
      <c r="I1664" s="14" t="e">
        <f>=Round(1608.84840000,0)</f>
        <v>#VALUE!</v>
      </c>
      <c r="J1664" s="14" t="e">
        <f>=Round(0.00000000,0)</f>
        <v>#VALUE!</v>
      </c>
    </row>
    <row r="1665">
      <c r="A1665" s="11" t="s">
        <v>44</v>
      </c>
      <c r="B1665" s="12">
        <v>3595.5366</v>
      </c>
      <c r="C1665" s="12">
        <v>0</v>
      </c>
      <c r="D1665" s="13">
        <v>0</v>
      </c>
      <c r="E1665" s="12">
        <v>0</v>
      </c>
      <c r="F1665" s="14">
        <v>0</v>
      </c>
      <c r="G1665" s="13">
        <v>19861.7016</v>
      </c>
      <c r="H1665" s="14">
        <v>71413475.041079</v>
      </c>
      <c r="I1665" s="14" t="e">
        <f>=Round(1608.84840000,0)</f>
        <v>#VALUE!</v>
      </c>
      <c r="J1665" s="14" t="e">
        <f>=Round(0.00000000,0)</f>
        <v>#VALUE!</v>
      </c>
    </row>
    <row r="1666">
      <c r="A1666" s="11" t="s">
        <v>45</v>
      </c>
      <c r="B1666" s="12">
        <v>3596.1915</v>
      </c>
      <c r="C1666" s="12">
        <v>0</v>
      </c>
      <c r="D1666" s="13">
        <v>0</v>
      </c>
      <c r="E1666" s="12">
        <v>0</v>
      </c>
      <c r="F1666" s="14">
        <v>0</v>
      </c>
      <c r="G1666" s="13">
        <v>19861.7016</v>
      </c>
      <c r="H1666" s="14">
        <v>71426482.469456</v>
      </c>
      <c r="I1666" s="14" t="e">
        <f>=Round(1609.73000000,0)</f>
        <v>#VALUE!</v>
      </c>
      <c r="J1666" s="14" t="e">
        <f>=Round(0.00000000,0)</f>
        <v>#VALUE!</v>
      </c>
    </row>
    <row r="1667">
      <c r="A1667" s="11" t="s">
        <v>46</v>
      </c>
      <c r="B1667" s="12">
        <v>3596.8461</v>
      </c>
      <c r="C1667" s="12">
        <v>0</v>
      </c>
      <c r="D1667" s="13">
        <v>0</v>
      </c>
      <c r="E1667" s="12">
        <v>0</v>
      </c>
      <c r="F1667" s="14">
        <v>0</v>
      </c>
      <c r="G1667" s="13">
        <v>19861.7016</v>
      </c>
      <c r="H1667" s="14">
        <v>71439483.939324</v>
      </c>
      <c r="I1667" s="14" t="e">
        <f>=Round(1610.02320000,0)</f>
        <v>#VALUE!</v>
      </c>
      <c r="J1667" s="14" t="e">
        <f>=Round(0.00000000,0)</f>
        <v>#VALUE!</v>
      </c>
    </row>
    <row r="1668">
      <c r="A1668" s="11" t="s">
        <v>47</v>
      </c>
      <c r="B1668" s="12">
        <v>3597.4992</v>
      </c>
      <c r="C1668" s="12">
        <v>0</v>
      </c>
      <c r="D1668" s="13">
        <v>0</v>
      </c>
      <c r="E1668" s="12">
        <v>0</v>
      </c>
      <c r="F1668" s="14">
        <v>0</v>
      </c>
      <c r="G1668" s="13">
        <v>19861.7016</v>
      </c>
      <c r="H1668" s="14">
        <v>71452455.616639</v>
      </c>
      <c r="I1668" s="14" t="e">
        <f>=Round(1610.31620000,0)</f>
        <v>#VALUE!</v>
      </c>
      <c r="J1668" s="14" t="e">
        <f>=Round(0.00000000,0)</f>
        <v>#VALUE!</v>
      </c>
    </row>
    <row r="1669">
      <c r="A1669" s="11" t="s">
        <v>48</v>
      </c>
      <c r="B1669" s="12">
        <v>3598.1558</v>
      </c>
      <c r="C1669" s="12">
        <v>0</v>
      </c>
      <c r="D1669" s="13">
        <v>0</v>
      </c>
      <c r="E1669" s="12">
        <v>0</v>
      </c>
      <c r="F1669" s="14">
        <v>0</v>
      </c>
      <c r="G1669" s="13">
        <v>19861.7016</v>
      </c>
      <c r="H1669" s="14">
        <v>71465496.809909</v>
      </c>
      <c r="I1669" s="14" t="e">
        <f>=Round(1610.60860000,0)</f>
        <v>#VALUE!</v>
      </c>
      <c r="J1669" s="14" t="e">
        <f>=Round(0.00000000,0)</f>
        <v>#VALUE!</v>
      </c>
    </row>
    <row r="1670">
      <c r="A1670" s="11" t="s">
        <v>49</v>
      </c>
      <c r="B1670" s="12">
        <v>3598.1558</v>
      </c>
      <c r="C1670" s="12">
        <v>0</v>
      </c>
      <c r="D1670" s="13">
        <v>0</v>
      </c>
      <c r="E1670" s="12">
        <v>0</v>
      </c>
      <c r="F1670" s="14">
        <v>0</v>
      </c>
      <c r="G1670" s="13">
        <v>19861.7016</v>
      </c>
      <c r="H1670" s="14">
        <v>71465496.809909</v>
      </c>
      <c r="I1670" s="14" t="e">
        <f>=Round(1610.90260000,0)</f>
        <v>#VALUE!</v>
      </c>
      <c r="J1670" s="14" t="e">
        <f>=Round(0.00000000,0)</f>
        <v>#VALUE!</v>
      </c>
    </row>
    <row r="1671">
      <c r="A1671" s="11" t="s">
        <v>50</v>
      </c>
      <c r="B1671" s="12">
        <v>3598.1558</v>
      </c>
      <c r="C1671" s="12">
        <v>0</v>
      </c>
      <c r="D1671" s="13">
        <v>0</v>
      </c>
      <c r="E1671" s="12">
        <v>0</v>
      </c>
      <c r="F1671" s="14">
        <v>0</v>
      </c>
      <c r="G1671" s="13">
        <v>19861.7016</v>
      </c>
      <c r="H1671" s="14">
        <v>71465496.809909</v>
      </c>
      <c r="I1671" s="14" t="e">
        <f>=Round(1610.90260000,0)</f>
        <v>#VALUE!</v>
      </c>
      <c r="J1671" s="14" t="e">
        <f>=Round(0.00000000,0)</f>
        <v>#VALUE!</v>
      </c>
    </row>
    <row r="1672">
      <c r="A1672" s="11" t="s">
        <v>51</v>
      </c>
      <c r="B1672" s="12">
        <v>3600.124</v>
      </c>
      <c r="C1672" s="12">
        <v>0</v>
      </c>
      <c r="D1672" s="13">
        <v>0</v>
      </c>
      <c r="E1672" s="12">
        <v>0</v>
      </c>
      <c r="F1672" s="14">
        <v>0</v>
      </c>
      <c r="G1672" s="13">
        <v>19861.7016</v>
      </c>
      <c r="H1672" s="14">
        <v>71504588.610998</v>
      </c>
      <c r="I1672" s="14" t="e">
        <f>=Round(1610.90260000,0)</f>
        <v>#VALUE!</v>
      </c>
      <c r="J1672" s="14" t="e">
        <f>=Round(0.00000000,0)</f>
        <v>#VALUE!</v>
      </c>
    </row>
    <row r="1673">
      <c r="A1673" s="11" t="s">
        <v>52</v>
      </c>
      <c r="B1673" s="12">
        <v>3600.7905</v>
      </c>
      <c r="C1673" s="12">
        <v>0</v>
      </c>
      <c r="D1673" s="13">
        <v>0</v>
      </c>
      <c r="E1673" s="12">
        <v>0</v>
      </c>
      <c r="F1673" s="14">
        <v>0</v>
      </c>
      <c r="G1673" s="13">
        <v>19861.7016</v>
      </c>
      <c r="H1673" s="14">
        <v>71517826.435115</v>
      </c>
      <c r="I1673" s="14" t="e">
        <f>=Round(1611.78380000,0)</f>
        <v>#VALUE!</v>
      </c>
      <c r="J1673" s="14" t="e">
        <f>=Round(0.00000000,0)</f>
        <v>#VALUE!</v>
      </c>
    </row>
    <row r="1674">
      <c r="A1674" s="11" t="s">
        <v>53</v>
      </c>
      <c r="B1674" s="12">
        <v>3601.445</v>
      </c>
      <c r="C1674" s="12">
        <v>0</v>
      </c>
      <c r="D1674" s="13">
        <v>0</v>
      </c>
      <c r="E1674" s="12">
        <v>0</v>
      </c>
      <c r="F1674" s="14">
        <v>0</v>
      </c>
      <c r="G1674" s="13">
        <v>19861.7016</v>
      </c>
      <c r="H1674" s="14">
        <v>71530825.918812</v>
      </c>
      <c r="I1674" s="14" t="e">
        <f>=Round(1612.08220000,0)</f>
        <v>#VALUE!</v>
      </c>
      <c r="J1674" s="14" t="e">
        <f>=Round(0.00000000,0)</f>
        <v>#VALUE!</v>
      </c>
    </row>
    <row r="1675">
      <c r="A1675" s="11" t="s">
        <v>54</v>
      </c>
      <c r="B1675" s="12">
        <v>3602.0851</v>
      </c>
      <c r="C1675" s="12">
        <v>0</v>
      </c>
      <c r="D1675" s="13">
        <v>0</v>
      </c>
      <c r="E1675" s="12">
        <v>0</v>
      </c>
      <c r="F1675" s="14">
        <v>0</v>
      </c>
      <c r="G1675" s="13">
        <v>19861.7016</v>
      </c>
      <c r="H1675" s="14">
        <v>71543539.394006</v>
      </c>
      <c r="I1675" s="14" t="e">
        <f>=Round(1612.37520000,0)</f>
        <v>#VALUE!</v>
      </c>
      <c r="J1675" s="14" t="e">
        <f>=Round(0.00000000,0)</f>
        <v>#VALUE!</v>
      </c>
    </row>
    <row r="1676">
      <c r="A1676" s="11" t="s">
        <v>55</v>
      </c>
      <c r="B1676" s="12">
        <v>3602.7417</v>
      </c>
      <c r="C1676" s="12">
        <v>0</v>
      </c>
      <c r="D1676" s="13">
        <v>0</v>
      </c>
      <c r="E1676" s="12">
        <v>0</v>
      </c>
      <c r="F1676" s="14">
        <v>0</v>
      </c>
      <c r="G1676" s="13">
        <v>19861.7016</v>
      </c>
      <c r="H1676" s="14">
        <v>71556580.587277</v>
      </c>
      <c r="I1676" s="14" t="e">
        <f>=Round(1612.66170000,0)</f>
        <v>#VALUE!</v>
      </c>
      <c r="J1676" s="14" t="e">
        <f>=Round(0.00000000,0)</f>
        <v>#VALUE!</v>
      </c>
    </row>
    <row r="1677" ht="-1">
      <c r="A1677" s="15"/>
      <c r="B1677" s="16" t="s">
        <v>56</v>
      </c>
      <c r="C1677" s="15"/>
      <c r="D1677" s="15"/>
      <c r="E1677" s="15"/>
      <c r="F1677" s="15"/>
      <c r="G1677" s="15"/>
      <c r="H1677" s="15"/>
      <c r="I1677" s="17" t="e">
        <f>=Round(SUM(I1651:I1676),0)</f>
        <v>#VALUE!</v>
      </c>
      <c r="J1677" s="17" t="e">
        <f>=Round(SUM(J1651:J1676),0)</f>
        <v>#VALUE!</v>
      </c>
    </row>
    <row r="1678">
      <c r="A1678" s="1" t="s">
        <v>0</v>
      </c>
      <c r="B1678" s="1"/>
      <c r="C1678" s="1"/>
      <c r="D1678" s="1"/>
    </row>
    <row r="1679">
      <c r="A1679" s="0" t="s">
        <v>1</v>
      </c>
      <c r="C1679" s="0" t="s">
        <v>2</v>
      </c>
      <c r="H1679" s="2" t="s">
        <v>3</v>
      </c>
    </row>
    <row r="1680">
      <c r="A1680" s="0" t="s">
        <v>4</v>
      </c>
      <c r="C1680" s="0" t="s">
        <v>99</v>
      </c>
      <c r="H1680" s="3" t="s">
        <v>6</v>
      </c>
    </row>
    <row r="1681">
      <c r="A1681" s="0" t="s">
        <v>7</v>
      </c>
      <c r="C1681" s="4" t="s">
        <v>8</v>
      </c>
      <c r="H1681" s="2" t="s">
        <v>9</v>
      </c>
    </row>
    <row r="1682">
      <c r="A1682" s="0" t="s">
        <v>10</v>
      </c>
      <c r="C1682" s="4" t="s">
        <v>11</v>
      </c>
      <c r="H1682" s="2" t="s">
        <v>12</v>
      </c>
    </row>
    <row r="1683">
      <c r="A1683" s="0" t="s">
        <v>13</v>
      </c>
      <c r="C1683" s="0" t="s">
        <v>14</v>
      </c>
    </row>
    <row r="1684">
      <c r="A1684" s="0" t="s">
        <v>15</v>
      </c>
      <c r="C1684" s="0" t="s">
        <v>16</v>
      </c>
    </row>
    <row r="1685">
      <c r="A1685" s="0" t="s">
        <v>17</v>
      </c>
      <c r="C1685" s="0" t="s">
        <v>18</v>
      </c>
    </row>
    <row r="1688">
      <c r="A1688" s="5" t="s">
        <v>19</v>
      </c>
      <c r="B1688" s="5" t="s">
        <v>20</v>
      </c>
      <c r="C1688" s="7" t="s">
        <v>21</v>
      </c>
      <c r="D1688" s="9"/>
      <c r="E1688" s="7" t="s">
        <v>22</v>
      </c>
      <c r="F1688" s="9"/>
      <c r="G1688" s="5" t="s">
        <v>23</v>
      </c>
      <c r="H1688" s="5" t="s">
        <v>24</v>
      </c>
      <c r="I1688" s="5" t="s">
        <v>25</v>
      </c>
      <c r="J1688" s="5" t="s">
        <v>26</v>
      </c>
    </row>
    <row r="1689">
      <c r="A1689" s="6"/>
      <c r="B1689" s="6"/>
      <c r="C1689" s="8" t="s">
        <v>27</v>
      </c>
      <c r="D1689" s="8" t="s">
        <v>28</v>
      </c>
      <c r="E1689" s="8" t="s">
        <v>27</v>
      </c>
      <c r="F1689" s="8" t="s">
        <v>28</v>
      </c>
      <c r="G1689" s="6"/>
      <c r="H1689" s="6"/>
      <c r="I1689" s="10" t="s">
        <v>29</v>
      </c>
      <c r="J1689" s="6"/>
    </row>
    <row r="1690">
      <c r="A1690" s="11" t="s">
        <v>30</v>
      </c>
      <c r="B1690" s="12">
        <v>3586.4187</v>
      </c>
      <c r="C1690" s="12">
        <v>0</v>
      </c>
      <c r="D1690" s="13">
        <v>0</v>
      </c>
      <c r="E1690" s="12">
        <v>0</v>
      </c>
      <c r="F1690" s="14">
        <v>0</v>
      </c>
      <c r="G1690" s="13">
        <v>1565.0836</v>
      </c>
      <c r="H1690" s="14">
        <v>5613045.090103</v>
      </c>
      <c r="I1690" s="14" t="e">
        <f>=Round(126.45400000,0)</f>
        <v>#VALUE!</v>
      </c>
      <c r="J1690" s="14" t="e">
        <f>=Round(0.00000000,0)</f>
        <v>#VALUE!</v>
      </c>
    </row>
    <row r="1691">
      <c r="A1691" s="11" t="s">
        <v>31</v>
      </c>
      <c r="B1691" s="12">
        <v>3587.0477</v>
      </c>
      <c r="C1691" s="12">
        <v>0</v>
      </c>
      <c r="D1691" s="13">
        <v>0</v>
      </c>
      <c r="E1691" s="12">
        <v>0</v>
      </c>
      <c r="F1691" s="14">
        <v>0</v>
      </c>
      <c r="G1691" s="13">
        <v>1565.0836</v>
      </c>
      <c r="H1691" s="14">
        <v>5614029.527688</v>
      </c>
      <c r="I1691" s="14" t="e">
        <f>=Round(126.52360000,0)</f>
        <v>#VALUE!</v>
      </c>
      <c r="J1691" s="14" t="e">
        <f>=Round(0.00000000,0)</f>
        <v>#VALUE!</v>
      </c>
    </row>
    <row r="1692">
      <c r="A1692" s="11" t="s">
        <v>32</v>
      </c>
      <c r="B1692" s="12">
        <v>3587.6685</v>
      </c>
      <c r="C1692" s="12">
        <v>0</v>
      </c>
      <c r="D1692" s="13">
        <v>0</v>
      </c>
      <c r="E1692" s="12">
        <v>0</v>
      </c>
      <c r="F1692" s="14">
        <v>0</v>
      </c>
      <c r="G1692" s="13">
        <v>1565.0836</v>
      </c>
      <c r="H1692" s="14">
        <v>5615001.131587</v>
      </c>
      <c r="I1692" s="14" t="e">
        <f>=Round(126.54570000,0)</f>
        <v>#VALUE!</v>
      </c>
      <c r="J1692" s="14" t="e">
        <f>=Round(0.00000000,0)</f>
        <v>#VALUE!</v>
      </c>
    </row>
    <row r="1693">
      <c r="A1693" s="11" t="s">
        <v>33</v>
      </c>
      <c r="B1693" s="12">
        <v>3588.3573</v>
      </c>
      <c r="C1693" s="12">
        <v>0</v>
      </c>
      <c r="D1693" s="13">
        <v>0</v>
      </c>
      <c r="E1693" s="12">
        <v>0</v>
      </c>
      <c r="F1693" s="14">
        <v>0</v>
      </c>
      <c r="G1693" s="13">
        <v>1565.0836</v>
      </c>
      <c r="H1693" s="14">
        <v>5616079.16117</v>
      </c>
      <c r="I1693" s="14" t="e">
        <f>=Round(126.56760000,0)</f>
        <v>#VALUE!</v>
      </c>
      <c r="J1693" s="14" t="e">
        <f>=Round(0.00000000,0)</f>
        <v>#VALUE!</v>
      </c>
    </row>
    <row r="1694">
      <c r="A1694" s="11" t="s">
        <v>34</v>
      </c>
      <c r="B1694" s="12">
        <v>3589.0109</v>
      </c>
      <c r="C1694" s="12">
        <v>0</v>
      </c>
      <c r="D1694" s="13">
        <v>0</v>
      </c>
      <c r="E1694" s="12">
        <v>0</v>
      </c>
      <c r="F1694" s="14">
        <v>0</v>
      </c>
      <c r="G1694" s="13">
        <v>1565.0836</v>
      </c>
      <c r="H1694" s="14">
        <v>5617102.099811</v>
      </c>
      <c r="I1694" s="14" t="e">
        <f>=Round(126.59190000,0)</f>
        <v>#VALUE!</v>
      </c>
      <c r="J1694" s="14" t="e">
        <f>=Round(0.00000000,0)</f>
        <v>#VALUE!</v>
      </c>
    </row>
    <row r="1695">
      <c r="A1695" s="11" t="s">
        <v>35</v>
      </c>
      <c r="B1695" s="12">
        <v>3589.0109</v>
      </c>
      <c r="C1695" s="12">
        <v>0</v>
      </c>
      <c r="D1695" s="13">
        <v>0</v>
      </c>
      <c r="E1695" s="12">
        <v>0</v>
      </c>
      <c r="F1695" s="14">
        <v>0</v>
      </c>
      <c r="G1695" s="13">
        <v>1565.0836</v>
      </c>
      <c r="H1695" s="14">
        <v>5617102.099811</v>
      </c>
      <c r="I1695" s="14" t="e">
        <f>=Round(126.61500000,0)</f>
        <v>#VALUE!</v>
      </c>
      <c r="J1695" s="14" t="e">
        <f>=Round(0.00000000,0)</f>
        <v>#VALUE!</v>
      </c>
    </row>
    <row r="1696">
      <c r="A1696" s="11" t="s">
        <v>36</v>
      </c>
      <c r="B1696" s="12">
        <v>3589.0109</v>
      </c>
      <c r="C1696" s="12">
        <v>0</v>
      </c>
      <c r="D1696" s="13">
        <v>0</v>
      </c>
      <c r="E1696" s="12">
        <v>0</v>
      </c>
      <c r="F1696" s="14">
        <v>0</v>
      </c>
      <c r="G1696" s="13">
        <v>1565.0836</v>
      </c>
      <c r="H1696" s="14">
        <v>5617102.099811</v>
      </c>
      <c r="I1696" s="14" t="e">
        <f>=Round(126.61500000,0)</f>
        <v>#VALUE!</v>
      </c>
      <c r="J1696" s="14" t="e">
        <f>=Round(0.00000000,0)</f>
        <v>#VALUE!</v>
      </c>
    </row>
    <row r="1697">
      <c r="A1697" s="11" t="s">
        <v>37</v>
      </c>
      <c r="B1697" s="12">
        <v>3590.972</v>
      </c>
      <c r="C1697" s="12">
        <v>0</v>
      </c>
      <c r="D1697" s="13">
        <v>0</v>
      </c>
      <c r="E1697" s="12">
        <v>0</v>
      </c>
      <c r="F1697" s="14">
        <v>0</v>
      </c>
      <c r="G1697" s="13">
        <v>1565.0836</v>
      </c>
      <c r="H1697" s="14">
        <v>5620171.385259</v>
      </c>
      <c r="I1697" s="14" t="e">
        <f>=Round(126.61500000,0)</f>
        <v>#VALUE!</v>
      </c>
      <c r="J1697" s="14" t="e">
        <f>=Round(0.00000000,0)</f>
        <v>#VALUE!</v>
      </c>
    </row>
    <row r="1698">
      <c r="A1698" s="11" t="s">
        <v>38</v>
      </c>
      <c r="B1698" s="12">
        <v>3591.6235</v>
      </c>
      <c r="C1698" s="12">
        <v>0</v>
      </c>
      <c r="D1698" s="13">
        <v>0</v>
      </c>
      <c r="E1698" s="12">
        <v>0</v>
      </c>
      <c r="F1698" s="14">
        <v>0</v>
      </c>
      <c r="G1698" s="13">
        <v>1565.0836</v>
      </c>
      <c r="H1698" s="14">
        <v>5621191.037225</v>
      </c>
      <c r="I1698" s="14" t="e">
        <f>=Round(126.68420000,0)</f>
        <v>#VALUE!</v>
      </c>
      <c r="J1698" s="14" t="e">
        <f>=Round(0.00000000,0)</f>
        <v>#VALUE!</v>
      </c>
    </row>
    <row r="1699">
      <c r="A1699" s="11" t="s">
        <v>39</v>
      </c>
      <c r="B1699" s="12">
        <v>3592.281</v>
      </c>
      <c r="C1699" s="12">
        <v>0</v>
      </c>
      <c r="D1699" s="13">
        <v>0</v>
      </c>
      <c r="E1699" s="12">
        <v>0</v>
      </c>
      <c r="F1699" s="14">
        <v>0</v>
      </c>
      <c r="G1699" s="13">
        <v>1565.0836</v>
      </c>
      <c r="H1699" s="14">
        <v>5622220.079692</v>
      </c>
      <c r="I1699" s="14" t="e">
        <f>=Round(126.70720000,0)</f>
        <v>#VALUE!</v>
      </c>
      <c r="J1699" s="14" t="e">
        <f>=Round(0.00000000,0)</f>
        <v>#VALUE!</v>
      </c>
    </row>
    <row r="1700">
      <c r="A1700" s="11" t="s">
        <v>40</v>
      </c>
      <c r="B1700" s="12">
        <v>3592.9125</v>
      </c>
      <c r="C1700" s="12">
        <v>0</v>
      </c>
      <c r="D1700" s="13">
        <v>0</v>
      </c>
      <c r="E1700" s="12">
        <v>0</v>
      </c>
      <c r="F1700" s="14">
        <v>0</v>
      </c>
      <c r="G1700" s="13">
        <v>1565.0836</v>
      </c>
      <c r="H1700" s="14">
        <v>5623208.429985</v>
      </c>
      <c r="I1700" s="14" t="e">
        <f>=Round(126.73040000,0)</f>
        <v>#VALUE!</v>
      </c>
      <c r="J1700" s="14" t="e">
        <f>=Round(0.00000000,0)</f>
        <v>#VALUE!</v>
      </c>
    </row>
    <row r="1701">
      <c r="A1701" s="11" t="s">
        <v>41</v>
      </c>
      <c r="B1701" s="12">
        <v>3593.5674</v>
      </c>
      <c r="C1701" s="12">
        <v>0</v>
      </c>
      <c r="D1701" s="13">
        <v>0</v>
      </c>
      <c r="E1701" s="12">
        <v>0</v>
      </c>
      <c r="F1701" s="14">
        <v>0</v>
      </c>
      <c r="G1701" s="13">
        <v>1565.0836</v>
      </c>
      <c r="H1701" s="14">
        <v>5624233.403235</v>
      </c>
      <c r="I1701" s="14" t="e">
        <f>=Round(126.75260000,0)</f>
        <v>#VALUE!</v>
      </c>
      <c r="J1701" s="14" t="e">
        <f>=Round(0.00000000,0)</f>
        <v>#VALUE!</v>
      </c>
    </row>
    <row r="1702">
      <c r="A1702" s="11" t="s">
        <v>42</v>
      </c>
      <c r="B1702" s="12">
        <v>3593.5674</v>
      </c>
      <c r="C1702" s="12">
        <v>0</v>
      </c>
      <c r="D1702" s="13">
        <v>0</v>
      </c>
      <c r="E1702" s="12">
        <v>0</v>
      </c>
      <c r="F1702" s="14">
        <v>0</v>
      </c>
      <c r="G1702" s="13">
        <v>1565.0836</v>
      </c>
      <c r="H1702" s="14">
        <v>5624233.403235</v>
      </c>
      <c r="I1702" s="14" t="e">
        <f>=Round(126.77580000,0)</f>
        <v>#VALUE!</v>
      </c>
      <c r="J1702" s="14" t="e">
        <f>=Round(0.00000000,0)</f>
        <v>#VALUE!</v>
      </c>
    </row>
    <row r="1703">
      <c r="A1703" s="11" t="s">
        <v>43</v>
      </c>
      <c r="B1703" s="12">
        <v>3593.5674</v>
      </c>
      <c r="C1703" s="12">
        <v>0</v>
      </c>
      <c r="D1703" s="13">
        <v>0</v>
      </c>
      <c r="E1703" s="12">
        <v>0</v>
      </c>
      <c r="F1703" s="14">
        <v>0</v>
      </c>
      <c r="G1703" s="13">
        <v>1565.0836</v>
      </c>
      <c r="H1703" s="14">
        <v>5624233.403235</v>
      </c>
      <c r="I1703" s="14" t="e">
        <f>=Round(126.77580000,0)</f>
        <v>#VALUE!</v>
      </c>
      <c r="J1703" s="14" t="e">
        <f>=Round(0.00000000,0)</f>
        <v>#VALUE!</v>
      </c>
    </row>
    <row r="1704">
      <c r="A1704" s="11" t="s">
        <v>44</v>
      </c>
      <c r="B1704" s="12">
        <v>3595.5366</v>
      </c>
      <c r="C1704" s="12">
        <v>0</v>
      </c>
      <c r="D1704" s="13">
        <v>0</v>
      </c>
      <c r="E1704" s="12">
        <v>0</v>
      </c>
      <c r="F1704" s="14">
        <v>0</v>
      </c>
      <c r="G1704" s="13">
        <v>1565.0836</v>
      </c>
      <c r="H1704" s="14">
        <v>5627315.36586</v>
      </c>
      <c r="I1704" s="14" t="e">
        <f>=Round(126.77580000,0)</f>
        <v>#VALUE!</v>
      </c>
      <c r="J1704" s="14" t="e">
        <f>=Round(0.00000000,0)</f>
        <v>#VALUE!</v>
      </c>
    </row>
    <row r="1705">
      <c r="A1705" s="11" t="s">
        <v>45</v>
      </c>
      <c r="B1705" s="12">
        <v>3596.1915</v>
      </c>
      <c r="C1705" s="12">
        <v>0</v>
      </c>
      <c r="D1705" s="13">
        <v>0</v>
      </c>
      <c r="E1705" s="12">
        <v>0</v>
      </c>
      <c r="F1705" s="14">
        <v>0</v>
      </c>
      <c r="G1705" s="13">
        <v>1565.0836</v>
      </c>
      <c r="H1705" s="14">
        <v>5628340.339109</v>
      </c>
      <c r="I1705" s="14" t="e">
        <f>=Round(126.84520000,0)</f>
        <v>#VALUE!</v>
      </c>
      <c r="J1705" s="14" t="e">
        <f>=Round(0.00000000,0)</f>
        <v>#VALUE!</v>
      </c>
    </row>
    <row r="1706">
      <c r="A1706" s="11" t="s">
        <v>46</v>
      </c>
      <c r="B1706" s="12">
        <v>3596.8461</v>
      </c>
      <c r="C1706" s="12">
        <v>0</v>
      </c>
      <c r="D1706" s="13">
        <v>0</v>
      </c>
      <c r="E1706" s="12">
        <v>0</v>
      </c>
      <c r="F1706" s="14">
        <v>0</v>
      </c>
      <c r="G1706" s="13">
        <v>1565.0836</v>
      </c>
      <c r="H1706" s="14">
        <v>5629364.842834</v>
      </c>
      <c r="I1706" s="14" t="e">
        <f>=Round(126.86830000,0)</f>
        <v>#VALUE!</v>
      </c>
      <c r="J1706" s="14" t="e">
        <f>=Round(0.00000000,0)</f>
        <v>#VALUE!</v>
      </c>
    </row>
    <row r="1707">
      <c r="A1707" s="11" t="s">
        <v>47</v>
      </c>
      <c r="B1707" s="12">
        <v>3597.4992</v>
      </c>
      <c r="C1707" s="12">
        <v>0</v>
      </c>
      <c r="D1707" s="13">
        <v>0</v>
      </c>
      <c r="E1707" s="12">
        <v>0</v>
      </c>
      <c r="F1707" s="14">
        <v>0</v>
      </c>
      <c r="G1707" s="13">
        <v>1565.0836</v>
      </c>
      <c r="H1707" s="14">
        <v>5630386.998933</v>
      </c>
      <c r="I1707" s="14" t="e">
        <f>=Round(126.89140000,0)</f>
        <v>#VALUE!</v>
      </c>
      <c r="J1707" s="14" t="e">
        <f>=Round(0.00000000,0)</f>
        <v>#VALUE!</v>
      </c>
    </row>
    <row r="1708">
      <c r="A1708" s="11" t="s">
        <v>48</v>
      </c>
      <c r="B1708" s="12">
        <v>3598.1558</v>
      </c>
      <c r="C1708" s="12">
        <v>0</v>
      </c>
      <c r="D1708" s="13">
        <v>0</v>
      </c>
      <c r="E1708" s="12">
        <v>0</v>
      </c>
      <c r="F1708" s="14">
        <v>0</v>
      </c>
      <c r="G1708" s="13">
        <v>1565.0836</v>
      </c>
      <c r="H1708" s="14">
        <v>5631414.632825</v>
      </c>
      <c r="I1708" s="14" t="e">
        <f>=Round(126.91450000,0)</f>
        <v>#VALUE!</v>
      </c>
      <c r="J1708" s="14" t="e">
        <f>=Round(0.00000000,0)</f>
        <v>#VALUE!</v>
      </c>
    </row>
    <row r="1709">
      <c r="A1709" s="11" t="s">
        <v>49</v>
      </c>
      <c r="B1709" s="12">
        <v>3598.1558</v>
      </c>
      <c r="C1709" s="12">
        <v>0</v>
      </c>
      <c r="D1709" s="13">
        <v>0</v>
      </c>
      <c r="E1709" s="12">
        <v>0</v>
      </c>
      <c r="F1709" s="14">
        <v>0</v>
      </c>
      <c r="G1709" s="13">
        <v>1565.0836</v>
      </c>
      <c r="H1709" s="14">
        <v>5631414.632825</v>
      </c>
      <c r="I1709" s="14" t="e">
        <f>=Round(126.93760000,0)</f>
        <v>#VALUE!</v>
      </c>
      <c r="J1709" s="14" t="e">
        <f>=Round(0.00000000,0)</f>
        <v>#VALUE!</v>
      </c>
    </row>
    <row r="1710">
      <c r="A1710" s="11" t="s">
        <v>50</v>
      </c>
      <c r="B1710" s="12">
        <v>3598.1558</v>
      </c>
      <c r="C1710" s="12">
        <v>0</v>
      </c>
      <c r="D1710" s="13">
        <v>0</v>
      </c>
      <c r="E1710" s="12">
        <v>0</v>
      </c>
      <c r="F1710" s="14">
        <v>0</v>
      </c>
      <c r="G1710" s="13">
        <v>1565.0836</v>
      </c>
      <c r="H1710" s="14">
        <v>5631414.632825</v>
      </c>
      <c r="I1710" s="14" t="e">
        <f>=Round(126.93760000,0)</f>
        <v>#VALUE!</v>
      </c>
      <c r="J1710" s="14" t="e">
        <f>=Round(0.00000000,0)</f>
        <v>#VALUE!</v>
      </c>
    </row>
    <row r="1711">
      <c r="A1711" s="11" t="s">
        <v>51</v>
      </c>
      <c r="B1711" s="12">
        <v>3600.124</v>
      </c>
      <c r="C1711" s="12">
        <v>0</v>
      </c>
      <c r="D1711" s="13">
        <v>0</v>
      </c>
      <c r="E1711" s="12">
        <v>0</v>
      </c>
      <c r="F1711" s="14">
        <v>0</v>
      </c>
      <c r="G1711" s="13">
        <v>1565.0836</v>
      </c>
      <c r="H1711" s="14">
        <v>5634495.030366</v>
      </c>
      <c r="I1711" s="14" t="e">
        <f>=Round(126.93760000,0)</f>
        <v>#VALUE!</v>
      </c>
      <c r="J1711" s="14" t="e">
        <f>=Round(0.00000000,0)</f>
        <v>#VALUE!</v>
      </c>
    </row>
    <row r="1712">
      <c r="A1712" s="11" t="s">
        <v>52</v>
      </c>
      <c r="B1712" s="12">
        <v>3600.7905</v>
      </c>
      <c r="C1712" s="12">
        <v>0</v>
      </c>
      <c r="D1712" s="13">
        <v>0</v>
      </c>
      <c r="E1712" s="12">
        <v>0</v>
      </c>
      <c r="F1712" s="14">
        <v>0</v>
      </c>
      <c r="G1712" s="13">
        <v>1565.0836</v>
      </c>
      <c r="H1712" s="14">
        <v>5635538.158586</v>
      </c>
      <c r="I1712" s="14" t="e">
        <f>=Round(127.00710000,0)</f>
        <v>#VALUE!</v>
      </c>
      <c r="J1712" s="14" t="e">
        <f>=Round(0.00000000,0)</f>
        <v>#VALUE!</v>
      </c>
    </row>
    <row r="1713">
      <c r="A1713" s="11" t="s">
        <v>53</v>
      </c>
      <c r="B1713" s="12">
        <v>3601.445</v>
      </c>
      <c r="C1713" s="12">
        <v>0</v>
      </c>
      <c r="D1713" s="13">
        <v>0</v>
      </c>
      <c r="E1713" s="12">
        <v>0</v>
      </c>
      <c r="F1713" s="14">
        <v>0</v>
      </c>
      <c r="G1713" s="13">
        <v>1565.0836</v>
      </c>
      <c r="H1713" s="14">
        <v>5636562.505802</v>
      </c>
      <c r="I1713" s="14" t="e">
        <f>=Round(127.03060000,0)</f>
        <v>#VALUE!</v>
      </c>
      <c r="J1713" s="14" t="e">
        <f>=Round(0.00000000,0)</f>
        <v>#VALUE!</v>
      </c>
    </row>
    <row r="1714">
      <c r="A1714" s="11" t="s">
        <v>54</v>
      </c>
      <c r="B1714" s="12">
        <v>3602.0851</v>
      </c>
      <c r="C1714" s="12">
        <v>0</v>
      </c>
      <c r="D1714" s="13">
        <v>0</v>
      </c>
      <c r="E1714" s="12">
        <v>0</v>
      </c>
      <c r="F1714" s="14">
        <v>0</v>
      </c>
      <c r="G1714" s="13">
        <v>1565.0836</v>
      </c>
      <c r="H1714" s="14">
        <v>5637564.315814</v>
      </c>
      <c r="I1714" s="14" t="e">
        <f>=Round(127.05370000,0)</f>
        <v>#VALUE!</v>
      </c>
      <c r="J1714" s="14" t="e">
        <f>=Round(0.00000000,0)</f>
        <v>#VALUE!</v>
      </c>
    </row>
    <row r="1715">
      <c r="A1715" s="11" t="s">
        <v>55</v>
      </c>
      <c r="B1715" s="12">
        <v>3602.7417</v>
      </c>
      <c r="C1715" s="12">
        <v>0</v>
      </c>
      <c r="D1715" s="13">
        <v>0</v>
      </c>
      <c r="E1715" s="12">
        <v>0</v>
      </c>
      <c r="F1715" s="14">
        <v>0</v>
      </c>
      <c r="G1715" s="13">
        <v>1565.0836</v>
      </c>
      <c r="H1715" s="14">
        <v>5638591.949706</v>
      </c>
      <c r="I1715" s="14" t="e">
        <f>=Round(127.07620000,0)</f>
        <v>#VALUE!</v>
      </c>
      <c r="J1715" s="14" t="e">
        <f>=Round(0.00000000,0)</f>
        <v>#VALUE!</v>
      </c>
    </row>
    <row r="1716" ht="-1">
      <c r="A1716" s="15"/>
      <c r="B1716" s="16" t="s">
        <v>56</v>
      </c>
      <c r="C1716" s="15"/>
      <c r="D1716" s="15"/>
      <c r="E1716" s="15"/>
      <c r="F1716" s="15"/>
      <c r="G1716" s="15"/>
      <c r="H1716" s="15"/>
      <c r="I1716" s="17" t="e">
        <f>=Round(SUM(I1690:I1715),0)</f>
        <v>#VALUE!</v>
      </c>
      <c r="J1716" s="17" t="e">
        <f>=Round(SUM(J1690:J1715),0)</f>
        <v>#VALUE!</v>
      </c>
    </row>
    <row r="1717">
      <c r="A1717" s="1" t="s">
        <v>0</v>
      </c>
      <c r="B1717" s="1"/>
      <c r="C1717" s="1"/>
      <c r="D1717" s="1"/>
    </row>
    <row r="1718">
      <c r="A1718" s="0" t="s">
        <v>1</v>
      </c>
      <c r="C1718" s="0" t="s">
        <v>2</v>
      </c>
      <c r="H1718" s="2" t="s">
        <v>3</v>
      </c>
    </row>
    <row r="1719">
      <c r="A1719" s="0" t="s">
        <v>4</v>
      </c>
      <c r="C1719" s="0" t="s">
        <v>100</v>
      </c>
      <c r="H1719" s="3" t="s">
        <v>6</v>
      </c>
    </row>
    <row r="1720">
      <c r="A1720" s="0" t="s">
        <v>7</v>
      </c>
      <c r="C1720" s="4" t="s">
        <v>8</v>
      </c>
      <c r="H1720" s="2" t="s">
        <v>9</v>
      </c>
    </row>
    <row r="1721">
      <c r="A1721" s="0" t="s">
        <v>10</v>
      </c>
      <c r="C1721" s="4" t="s">
        <v>11</v>
      </c>
      <c r="H1721" s="2" t="s">
        <v>12</v>
      </c>
    </row>
    <row r="1722">
      <c r="A1722" s="0" t="s">
        <v>13</v>
      </c>
      <c r="C1722" s="0" t="s">
        <v>14</v>
      </c>
    </row>
    <row r="1723">
      <c r="A1723" s="0" t="s">
        <v>15</v>
      </c>
      <c r="C1723" s="0" t="s">
        <v>16</v>
      </c>
    </row>
    <row r="1724">
      <c r="A1724" s="0" t="s">
        <v>17</v>
      </c>
      <c r="C1724" s="0" t="s">
        <v>18</v>
      </c>
    </row>
    <row r="1727">
      <c r="A1727" s="5" t="s">
        <v>19</v>
      </c>
      <c r="B1727" s="5" t="s">
        <v>20</v>
      </c>
      <c r="C1727" s="7" t="s">
        <v>21</v>
      </c>
      <c r="D1727" s="9"/>
      <c r="E1727" s="7" t="s">
        <v>22</v>
      </c>
      <c r="F1727" s="9"/>
      <c r="G1727" s="5" t="s">
        <v>23</v>
      </c>
      <c r="H1727" s="5" t="s">
        <v>24</v>
      </c>
      <c r="I1727" s="5" t="s">
        <v>25</v>
      </c>
      <c r="J1727" s="5" t="s">
        <v>26</v>
      </c>
    </row>
    <row r="1728">
      <c r="A1728" s="6"/>
      <c r="B1728" s="6"/>
      <c r="C1728" s="8" t="s">
        <v>27</v>
      </c>
      <c r="D1728" s="8" t="s">
        <v>28</v>
      </c>
      <c r="E1728" s="8" t="s">
        <v>27</v>
      </c>
      <c r="F1728" s="8" t="s">
        <v>28</v>
      </c>
      <c r="G1728" s="6"/>
      <c r="H1728" s="6"/>
      <c r="I1728" s="10" t="s">
        <v>29</v>
      </c>
      <c r="J1728" s="6"/>
    </row>
    <row r="1729">
      <c r="A1729" s="11" t="s">
        <v>30</v>
      </c>
      <c r="B1729" s="12">
        <v>3586.4187</v>
      </c>
      <c r="C1729" s="12">
        <v>0</v>
      </c>
      <c r="D1729" s="13">
        <v>0</v>
      </c>
      <c r="E1729" s="12">
        <v>0</v>
      </c>
      <c r="F1729" s="14">
        <v>0</v>
      </c>
      <c r="G1729" s="13">
        <v>1565.0836</v>
      </c>
      <c r="H1729" s="14">
        <v>5613045.090103</v>
      </c>
      <c r="I1729" s="14" t="e">
        <f>=Round(126.45400000,0)</f>
        <v>#VALUE!</v>
      </c>
      <c r="J1729" s="14" t="e">
        <f>=Round(0.00000000,0)</f>
        <v>#VALUE!</v>
      </c>
    </row>
    <row r="1730">
      <c r="A1730" s="11" t="s">
        <v>31</v>
      </c>
      <c r="B1730" s="12">
        <v>3587.0477</v>
      </c>
      <c r="C1730" s="12">
        <v>0</v>
      </c>
      <c r="D1730" s="13">
        <v>0</v>
      </c>
      <c r="E1730" s="12">
        <v>0</v>
      </c>
      <c r="F1730" s="14">
        <v>0</v>
      </c>
      <c r="G1730" s="13">
        <v>1565.0836</v>
      </c>
      <c r="H1730" s="14">
        <v>5614029.527688</v>
      </c>
      <c r="I1730" s="14" t="e">
        <f>=Round(126.52360000,0)</f>
        <v>#VALUE!</v>
      </c>
      <c r="J1730" s="14" t="e">
        <f>=Round(0.00000000,0)</f>
        <v>#VALUE!</v>
      </c>
    </row>
    <row r="1731">
      <c r="A1731" s="11" t="s">
        <v>32</v>
      </c>
      <c r="B1731" s="12">
        <v>3587.6685</v>
      </c>
      <c r="C1731" s="12">
        <v>0</v>
      </c>
      <c r="D1731" s="13">
        <v>0</v>
      </c>
      <c r="E1731" s="12">
        <v>0</v>
      </c>
      <c r="F1731" s="14">
        <v>0</v>
      </c>
      <c r="G1731" s="13">
        <v>1565.0836</v>
      </c>
      <c r="H1731" s="14">
        <v>5615001.131587</v>
      </c>
      <c r="I1731" s="14" t="e">
        <f>=Round(126.54570000,0)</f>
        <v>#VALUE!</v>
      </c>
      <c r="J1731" s="14" t="e">
        <f>=Round(0.00000000,0)</f>
        <v>#VALUE!</v>
      </c>
    </row>
    <row r="1732">
      <c r="A1732" s="11" t="s">
        <v>33</v>
      </c>
      <c r="B1732" s="12">
        <v>3588.3573</v>
      </c>
      <c r="C1732" s="12">
        <v>0</v>
      </c>
      <c r="D1732" s="13">
        <v>0</v>
      </c>
      <c r="E1732" s="12">
        <v>0</v>
      </c>
      <c r="F1732" s="14">
        <v>0</v>
      </c>
      <c r="G1732" s="13">
        <v>1565.0836</v>
      </c>
      <c r="H1732" s="14">
        <v>5616079.16117</v>
      </c>
      <c r="I1732" s="14" t="e">
        <f>=Round(126.56760000,0)</f>
        <v>#VALUE!</v>
      </c>
      <c r="J1732" s="14" t="e">
        <f>=Round(0.00000000,0)</f>
        <v>#VALUE!</v>
      </c>
    </row>
    <row r="1733">
      <c r="A1733" s="11" t="s">
        <v>34</v>
      </c>
      <c r="B1733" s="12">
        <v>3589.0109</v>
      </c>
      <c r="C1733" s="12">
        <v>0</v>
      </c>
      <c r="D1733" s="13">
        <v>0</v>
      </c>
      <c r="E1733" s="12">
        <v>0</v>
      </c>
      <c r="F1733" s="14">
        <v>0</v>
      </c>
      <c r="G1733" s="13">
        <v>1565.0836</v>
      </c>
      <c r="H1733" s="14">
        <v>5617102.099811</v>
      </c>
      <c r="I1733" s="14" t="e">
        <f>=Round(126.59190000,0)</f>
        <v>#VALUE!</v>
      </c>
      <c r="J1733" s="14" t="e">
        <f>=Round(0.00000000,0)</f>
        <v>#VALUE!</v>
      </c>
    </row>
    <row r="1734">
      <c r="A1734" s="11" t="s">
        <v>35</v>
      </c>
      <c r="B1734" s="12">
        <v>3589.0109</v>
      </c>
      <c r="C1734" s="12">
        <v>0</v>
      </c>
      <c r="D1734" s="13">
        <v>0</v>
      </c>
      <c r="E1734" s="12">
        <v>0</v>
      </c>
      <c r="F1734" s="14">
        <v>0</v>
      </c>
      <c r="G1734" s="13">
        <v>1565.0836</v>
      </c>
      <c r="H1734" s="14">
        <v>5617102.099811</v>
      </c>
      <c r="I1734" s="14" t="e">
        <f>=Round(126.61500000,0)</f>
        <v>#VALUE!</v>
      </c>
      <c r="J1734" s="14" t="e">
        <f>=Round(0.00000000,0)</f>
        <v>#VALUE!</v>
      </c>
    </row>
    <row r="1735">
      <c r="A1735" s="11" t="s">
        <v>36</v>
      </c>
      <c r="B1735" s="12">
        <v>3589.0109</v>
      </c>
      <c r="C1735" s="12">
        <v>0</v>
      </c>
      <c r="D1735" s="13">
        <v>0</v>
      </c>
      <c r="E1735" s="12">
        <v>0</v>
      </c>
      <c r="F1735" s="14">
        <v>0</v>
      </c>
      <c r="G1735" s="13">
        <v>1565.0836</v>
      </c>
      <c r="H1735" s="14">
        <v>5617102.099811</v>
      </c>
      <c r="I1735" s="14" t="e">
        <f>=Round(126.61500000,0)</f>
        <v>#VALUE!</v>
      </c>
      <c r="J1735" s="14" t="e">
        <f>=Round(0.00000000,0)</f>
        <v>#VALUE!</v>
      </c>
    </row>
    <row r="1736">
      <c r="A1736" s="11" t="s">
        <v>37</v>
      </c>
      <c r="B1736" s="12">
        <v>3590.972</v>
      </c>
      <c r="C1736" s="12">
        <v>0</v>
      </c>
      <c r="D1736" s="13">
        <v>0</v>
      </c>
      <c r="E1736" s="12">
        <v>0</v>
      </c>
      <c r="F1736" s="14">
        <v>0</v>
      </c>
      <c r="G1736" s="13">
        <v>1565.0836</v>
      </c>
      <c r="H1736" s="14">
        <v>5620171.385259</v>
      </c>
      <c r="I1736" s="14" t="e">
        <f>=Round(126.61500000,0)</f>
        <v>#VALUE!</v>
      </c>
      <c r="J1736" s="14" t="e">
        <f>=Round(0.00000000,0)</f>
        <v>#VALUE!</v>
      </c>
    </row>
    <row r="1737">
      <c r="A1737" s="11" t="s">
        <v>38</v>
      </c>
      <c r="B1737" s="12">
        <v>3591.6235</v>
      </c>
      <c r="C1737" s="12">
        <v>0</v>
      </c>
      <c r="D1737" s="13">
        <v>0</v>
      </c>
      <c r="E1737" s="12">
        <v>0</v>
      </c>
      <c r="F1737" s="14">
        <v>0</v>
      </c>
      <c r="G1737" s="13">
        <v>1565.0836</v>
      </c>
      <c r="H1737" s="14">
        <v>5621191.037225</v>
      </c>
      <c r="I1737" s="14" t="e">
        <f>=Round(126.68420000,0)</f>
        <v>#VALUE!</v>
      </c>
      <c r="J1737" s="14" t="e">
        <f>=Round(0.00000000,0)</f>
        <v>#VALUE!</v>
      </c>
    </row>
    <row r="1738">
      <c r="A1738" s="11" t="s">
        <v>39</v>
      </c>
      <c r="B1738" s="12">
        <v>3592.281</v>
      </c>
      <c r="C1738" s="12">
        <v>0</v>
      </c>
      <c r="D1738" s="13">
        <v>0</v>
      </c>
      <c r="E1738" s="12">
        <v>0</v>
      </c>
      <c r="F1738" s="14">
        <v>0</v>
      </c>
      <c r="G1738" s="13">
        <v>1565.0836</v>
      </c>
      <c r="H1738" s="14">
        <v>5622220.079692</v>
      </c>
      <c r="I1738" s="14" t="e">
        <f>=Round(126.70720000,0)</f>
        <v>#VALUE!</v>
      </c>
      <c r="J1738" s="14" t="e">
        <f>=Round(0.00000000,0)</f>
        <v>#VALUE!</v>
      </c>
    </row>
    <row r="1739">
      <c r="A1739" s="11" t="s">
        <v>40</v>
      </c>
      <c r="B1739" s="12">
        <v>3592.9125</v>
      </c>
      <c r="C1739" s="12">
        <v>0</v>
      </c>
      <c r="D1739" s="13">
        <v>0</v>
      </c>
      <c r="E1739" s="12">
        <v>0</v>
      </c>
      <c r="F1739" s="14">
        <v>0</v>
      </c>
      <c r="G1739" s="13">
        <v>1565.0836</v>
      </c>
      <c r="H1739" s="14">
        <v>5623208.429985</v>
      </c>
      <c r="I1739" s="14" t="e">
        <f>=Round(126.73040000,0)</f>
        <v>#VALUE!</v>
      </c>
      <c r="J1739" s="14" t="e">
        <f>=Round(0.00000000,0)</f>
        <v>#VALUE!</v>
      </c>
    </row>
    <row r="1740">
      <c r="A1740" s="11" t="s">
        <v>41</v>
      </c>
      <c r="B1740" s="12">
        <v>3593.5674</v>
      </c>
      <c r="C1740" s="12">
        <v>0</v>
      </c>
      <c r="D1740" s="13">
        <v>0</v>
      </c>
      <c r="E1740" s="12">
        <v>0</v>
      </c>
      <c r="F1740" s="14">
        <v>0</v>
      </c>
      <c r="G1740" s="13">
        <v>1565.0836</v>
      </c>
      <c r="H1740" s="14">
        <v>5624233.403235</v>
      </c>
      <c r="I1740" s="14" t="e">
        <f>=Round(126.75260000,0)</f>
        <v>#VALUE!</v>
      </c>
      <c r="J1740" s="14" t="e">
        <f>=Round(0.00000000,0)</f>
        <v>#VALUE!</v>
      </c>
    </row>
    <row r="1741">
      <c r="A1741" s="11" t="s">
        <v>42</v>
      </c>
      <c r="B1741" s="12">
        <v>3593.5674</v>
      </c>
      <c r="C1741" s="12">
        <v>0</v>
      </c>
      <c r="D1741" s="13">
        <v>0</v>
      </c>
      <c r="E1741" s="12">
        <v>0</v>
      </c>
      <c r="F1741" s="14">
        <v>0</v>
      </c>
      <c r="G1741" s="13">
        <v>1565.0836</v>
      </c>
      <c r="H1741" s="14">
        <v>5624233.403235</v>
      </c>
      <c r="I1741" s="14" t="e">
        <f>=Round(126.77580000,0)</f>
        <v>#VALUE!</v>
      </c>
      <c r="J1741" s="14" t="e">
        <f>=Round(0.00000000,0)</f>
        <v>#VALUE!</v>
      </c>
    </row>
    <row r="1742">
      <c r="A1742" s="11" t="s">
        <v>43</v>
      </c>
      <c r="B1742" s="12">
        <v>3593.5674</v>
      </c>
      <c r="C1742" s="12">
        <v>0</v>
      </c>
      <c r="D1742" s="13">
        <v>0</v>
      </c>
      <c r="E1742" s="12">
        <v>0</v>
      </c>
      <c r="F1742" s="14">
        <v>0</v>
      </c>
      <c r="G1742" s="13">
        <v>1565.0836</v>
      </c>
      <c r="H1742" s="14">
        <v>5624233.403235</v>
      </c>
      <c r="I1742" s="14" t="e">
        <f>=Round(126.77580000,0)</f>
        <v>#VALUE!</v>
      </c>
      <c r="J1742" s="14" t="e">
        <f>=Round(0.00000000,0)</f>
        <v>#VALUE!</v>
      </c>
    </row>
    <row r="1743">
      <c r="A1743" s="11" t="s">
        <v>44</v>
      </c>
      <c r="B1743" s="12">
        <v>3595.5366</v>
      </c>
      <c r="C1743" s="12">
        <v>0</v>
      </c>
      <c r="D1743" s="13">
        <v>0</v>
      </c>
      <c r="E1743" s="12">
        <v>0</v>
      </c>
      <c r="F1743" s="14">
        <v>0</v>
      </c>
      <c r="G1743" s="13">
        <v>1565.0836</v>
      </c>
      <c r="H1743" s="14">
        <v>5627315.36586</v>
      </c>
      <c r="I1743" s="14" t="e">
        <f>=Round(126.77580000,0)</f>
        <v>#VALUE!</v>
      </c>
      <c r="J1743" s="14" t="e">
        <f>=Round(0.00000000,0)</f>
        <v>#VALUE!</v>
      </c>
    </row>
    <row r="1744">
      <c r="A1744" s="11" t="s">
        <v>45</v>
      </c>
      <c r="B1744" s="12">
        <v>3596.1915</v>
      </c>
      <c r="C1744" s="12">
        <v>0</v>
      </c>
      <c r="D1744" s="13">
        <v>0</v>
      </c>
      <c r="E1744" s="12">
        <v>0</v>
      </c>
      <c r="F1744" s="14">
        <v>0</v>
      </c>
      <c r="G1744" s="13">
        <v>1565.0836</v>
      </c>
      <c r="H1744" s="14">
        <v>5628340.339109</v>
      </c>
      <c r="I1744" s="14" t="e">
        <f>=Round(126.84520000,0)</f>
        <v>#VALUE!</v>
      </c>
      <c r="J1744" s="14" t="e">
        <f>=Round(0.00000000,0)</f>
        <v>#VALUE!</v>
      </c>
    </row>
    <row r="1745">
      <c r="A1745" s="11" t="s">
        <v>46</v>
      </c>
      <c r="B1745" s="12">
        <v>3596.8461</v>
      </c>
      <c r="C1745" s="12">
        <v>0</v>
      </c>
      <c r="D1745" s="13">
        <v>0</v>
      </c>
      <c r="E1745" s="12">
        <v>0</v>
      </c>
      <c r="F1745" s="14">
        <v>0</v>
      </c>
      <c r="G1745" s="13">
        <v>1565.0836</v>
      </c>
      <c r="H1745" s="14">
        <v>5629364.842834</v>
      </c>
      <c r="I1745" s="14" t="e">
        <f>=Round(126.86830000,0)</f>
        <v>#VALUE!</v>
      </c>
      <c r="J1745" s="14" t="e">
        <f>=Round(0.00000000,0)</f>
        <v>#VALUE!</v>
      </c>
    </row>
    <row r="1746">
      <c r="A1746" s="11" t="s">
        <v>47</v>
      </c>
      <c r="B1746" s="12">
        <v>3597.4992</v>
      </c>
      <c r="C1746" s="12">
        <v>0</v>
      </c>
      <c r="D1746" s="13">
        <v>0</v>
      </c>
      <c r="E1746" s="12">
        <v>0</v>
      </c>
      <c r="F1746" s="14">
        <v>0</v>
      </c>
      <c r="G1746" s="13">
        <v>1565.0836</v>
      </c>
      <c r="H1746" s="14">
        <v>5630386.998933</v>
      </c>
      <c r="I1746" s="14" t="e">
        <f>=Round(126.89140000,0)</f>
        <v>#VALUE!</v>
      </c>
      <c r="J1746" s="14" t="e">
        <f>=Round(0.00000000,0)</f>
        <v>#VALUE!</v>
      </c>
    </row>
    <row r="1747">
      <c r="A1747" s="11" t="s">
        <v>48</v>
      </c>
      <c r="B1747" s="12">
        <v>3598.1558</v>
      </c>
      <c r="C1747" s="12">
        <v>0</v>
      </c>
      <c r="D1747" s="13">
        <v>0</v>
      </c>
      <c r="E1747" s="12">
        <v>0</v>
      </c>
      <c r="F1747" s="14">
        <v>0</v>
      </c>
      <c r="G1747" s="13">
        <v>1565.0836</v>
      </c>
      <c r="H1747" s="14">
        <v>5631414.632825</v>
      </c>
      <c r="I1747" s="14" t="e">
        <f>=Round(126.91450000,0)</f>
        <v>#VALUE!</v>
      </c>
      <c r="J1747" s="14" t="e">
        <f>=Round(0.00000000,0)</f>
        <v>#VALUE!</v>
      </c>
    </row>
    <row r="1748">
      <c r="A1748" s="11" t="s">
        <v>49</v>
      </c>
      <c r="B1748" s="12">
        <v>3598.1558</v>
      </c>
      <c r="C1748" s="12">
        <v>0</v>
      </c>
      <c r="D1748" s="13">
        <v>0</v>
      </c>
      <c r="E1748" s="12">
        <v>0</v>
      </c>
      <c r="F1748" s="14">
        <v>0</v>
      </c>
      <c r="G1748" s="13">
        <v>1565.0836</v>
      </c>
      <c r="H1748" s="14">
        <v>5631414.632825</v>
      </c>
      <c r="I1748" s="14" t="e">
        <f>=Round(126.93760000,0)</f>
        <v>#VALUE!</v>
      </c>
      <c r="J1748" s="14" t="e">
        <f>=Round(0.00000000,0)</f>
        <v>#VALUE!</v>
      </c>
    </row>
    <row r="1749">
      <c r="A1749" s="11" t="s">
        <v>50</v>
      </c>
      <c r="B1749" s="12">
        <v>3598.1558</v>
      </c>
      <c r="C1749" s="12">
        <v>0</v>
      </c>
      <c r="D1749" s="13">
        <v>0</v>
      </c>
      <c r="E1749" s="12">
        <v>0</v>
      </c>
      <c r="F1749" s="14">
        <v>0</v>
      </c>
      <c r="G1749" s="13">
        <v>1565.0836</v>
      </c>
      <c r="H1749" s="14">
        <v>5631414.632825</v>
      </c>
      <c r="I1749" s="14" t="e">
        <f>=Round(126.93760000,0)</f>
        <v>#VALUE!</v>
      </c>
      <c r="J1749" s="14" t="e">
        <f>=Round(0.00000000,0)</f>
        <v>#VALUE!</v>
      </c>
    </row>
    <row r="1750">
      <c r="A1750" s="11" t="s">
        <v>51</v>
      </c>
      <c r="B1750" s="12">
        <v>3600.124</v>
      </c>
      <c r="C1750" s="12">
        <v>0</v>
      </c>
      <c r="D1750" s="13">
        <v>0</v>
      </c>
      <c r="E1750" s="12">
        <v>0</v>
      </c>
      <c r="F1750" s="14">
        <v>0</v>
      </c>
      <c r="G1750" s="13">
        <v>1565.0836</v>
      </c>
      <c r="H1750" s="14">
        <v>5634495.030366</v>
      </c>
      <c r="I1750" s="14" t="e">
        <f>=Round(126.93760000,0)</f>
        <v>#VALUE!</v>
      </c>
      <c r="J1750" s="14" t="e">
        <f>=Round(0.00000000,0)</f>
        <v>#VALUE!</v>
      </c>
    </row>
    <row r="1751">
      <c r="A1751" s="11" t="s">
        <v>52</v>
      </c>
      <c r="B1751" s="12">
        <v>3600.7905</v>
      </c>
      <c r="C1751" s="12">
        <v>0</v>
      </c>
      <c r="D1751" s="13">
        <v>0</v>
      </c>
      <c r="E1751" s="12">
        <v>0</v>
      </c>
      <c r="F1751" s="14">
        <v>0</v>
      </c>
      <c r="G1751" s="13">
        <v>1565.0836</v>
      </c>
      <c r="H1751" s="14">
        <v>5635538.158586</v>
      </c>
      <c r="I1751" s="14" t="e">
        <f>=Round(127.00710000,0)</f>
        <v>#VALUE!</v>
      </c>
      <c r="J1751" s="14" t="e">
        <f>=Round(0.00000000,0)</f>
        <v>#VALUE!</v>
      </c>
    </row>
    <row r="1752">
      <c r="A1752" s="11" t="s">
        <v>53</v>
      </c>
      <c r="B1752" s="12">
        <v>3601.445</v>
      </c>
      <c r="C1752" s="12">
        <v>0</v>
      </c>
      <c r="D1752" s="13">
        <v>0</v>
      </c>
      <c r="E1752" s="12">
        <v>0</v>
      </c>
      <c r="F1752" s="14">
        <v>0</v>
      </c>
      <c r="G1752" s="13">
        <v>1565.0836</v>
      </c>
      <c r="H1752" s="14">
        <v>5636562.505802</v>
      </c>
      <c r="I1752" s="14" t="e">
        <f>=Round(127.03060000,0)</f>
        <v>#VALUE!</v>
      </c>
      <c r="J1752" s="14" t="e">
        <f>=Round(0.00000000,0)</f>
        <v>#VALUE!</v>
      </c>
    </row>
    <row r="1753">
      <c r="A1753" s="11" t="s">
        <v>54</v>
      </c>
      <c r="B1753" s="12">
        <v>3602.0851</v>
      </c>
      <c r="C1753" s="12">
        <v>0</v>
      </c>
      <c r="D1753" s="13">
        <v>0</v>
      </c>
      <c r="E1753" s="12">
        <v>0</v>
      </c>
      <c r="F1753" s="14">
        <v>0</v>
      </c>
      <c r="G1753" s="13">
        <v>1565.0836</v>
      </c>
      <c r="H1753" s="14">
        <v>5637564.315814</v>
      </c>
      <c r="I1753" s="14" t="e">
        <f>=Round(127.05370000,0)</f>
        <v>#VALUE!</v>
      </c>
      <c r="J1753" s="14" t="e">
        <f>=Round(0.00000000,0)</f>
        <v>#VALUE!</v>
      </c>
    </row>
    <row r="1754">
      <c r="A1754" s="11" t="s">
        <v>55</v>
      </c>
      <c r="B1754" s="12">
        <v>3602.7417</v>
      </c>
      <c r="C1754" s="12">
        <v>0</v>
      </c>
      <c r="D1754" s="13">
        <v>0</v>
      </c>
      <c r="E1754" s="12">
        <v>0</v>
      </c>
      <c r="F1754" s="14">
        <v>0</v>
      </c>
      <c r="G1754" s="13">
        <v>1565.0836</v>
      </c>
      <c r="H1754" s="14">
        <v>5638591.949706</v>
      </c>
      <c r="I1754" s="14" t="e">
        <f>=Round(127.07620000,0)</f>
        <v>#VALUE!</v>
      </c>
      <c r="J1754" s="14" t="e">
        <f>=Round(0.00000000,0)</f>
        <v>#VALUE!</v>
      </c>
    </row>
    <row r="1755" ht="-1">
      <c r="A1755" s="15"/>
      <c r="B1755" s="16" t="s">
        <v>56</v>
      </c>
      <c r="C1755" s="15"/>
      <c r="D1755" s="15"/>
      <c r="E1755" s="15"/>
      <c r="F1755" s="15"/>
      <c r="G1755" s="15"/>
      <c r="H1755" s="15"/>
      <c r="I1755" s="17" t="e">
        <f>=Round(SUM(I1729:I1754),0)</f>
        <v>#VALUE!</v>
      </c>
      <c r="J1755" s="17" t="e">
        <f>=Round(SUM(J1729:J1754),0)</f>
        <v>#VALUE!</v>
      </c>
    </row>
    <row r="1756">
      <c r="A1756" s="1" t="s">
        <v>0</v>
      </c>
      <c r="B1756" s="1"/>
      <c r="C1756" s="1"/>
      <c r="D1756" s="1"/>
    </row>
    <row r="1757">
      <c r="A1757" s="0" t="s">
        <v>1</v>
      </c>
      <c r="C1757" s="0" t="s">
        <v>2</v>
      </c>
      <c r="H1757" s="2" t="s">
        <v>3</v>
      </c>
    </row>
    <row r="1758">
      <c r="A1758" s="0" t="s">
        <v>4</v>
      </c>
      <c r="C1758" s="0" t="s">
        <v>101</v>
      </c>
      <c r="H1758" s="3" t="s">
        <v>6</v>
      </c>
    </row>
    <row r="1759">
      <c r="A1759" s="0" t="s">
        <v>7</v>
      </c>
      <c r="C1759" s="4" t="s">
        <v>8</v>
      </c>
      <c r="H1759" s="2" t="s">
        <v>9</v>
      </c>
    </row>
    <row r="1760">
      <c r="A1760" s="0" t="s">
        <v>10</v>
      </c>
      <c r="C1760" s="4" t="s">
        <v>11</v>
      </c>
      <c r="H1760" s="2" t="s">
        <v>12</v>
      </c>
    </row>
    <row r="1761">
      <c r="A1761" s="0" t="s">
        <v>13</v>
      </c>
      <c r="C1761" s="0" t="s">
        <v>14</v>
      </c>
    </row>
    <row r="1762">
      <c r="A1762" s="0" t="s">
        <v>15</v>
      </c>
      <c r="C1762" s="0" t="s">
        <v>16</v>
      </c>
    </row>
    <row r="1763">
      <c r="A1763" s="0" t="s">
        <v>17</v>
      </c>
      <c r="C1763" s="0" t="s">
        <v>18</v>
      </c>
    </row>
    <row r="1766">
      <c r="A1766" s="5" t="s">
        <v>19</v>
      </c>
      <c r="B1766" s="5" t="s">
        <v>20</v>
      </c>
      <c r="C1766" s="7" t="s">
        <v>21</v>
      </c>
      <c r="D1766" s="9"/>
      <c r="E1766" s="7" t="s">
        <v>22</v>
      </c>
      <c r="F1766" s="9"/>
      <c r="G1766" s="5" t="s">
        <v>23</v>
      </c>
      <c r="H1766" s="5" t="s">
        <v>24</v>
      </c>
      <c r="I1766" s="5" t="s">
        <v>25</v>
      </c>
      <c r="J1766" s="5" t="s">
        <v>26</v>
      </c>
    </row>
    <row r="1767">
      <c r="A1767" s="6"/>
      <c r="B1767" s="6"/>
      <c r="C1767" s="8" t="s">
        <v>27</v>
      </c>
      <c r="D1767" s="8" t="s">
        <v>28</v>
      </c>
      <c r="E1767" s="8" t="s">
        <v>27</v>
      </c>
      <c r="F1767" s="8" t="s">
        <v>28</v>
      </c>
      <c r="G1767" s="6"/>
      <c r="H1767" s="6"/>
      <c r="I1767" s="10" t="s">
        <v>29</v>
      </c>
      <c r="J1767" s="6"/>
    </row>
    <row r="1768">
      <c r="A1768" s="11" t="s">
        <v>30</v>
      </c>
      <c r="B1768" s="12">
        <v>3586.4187</v>
      </c>
      <c r="C1768" s="12">
        <v>0</v>
      </c>
      <c r="D1768" s="13">
        <v>0</v>
      </c>
      <c r="E1768" s="12">
        <v>0</v>
      </c>
      <c r="F1768" s="14">
        <v>0</v>
      </c>
      <c r="G1768" s="13">
        <v>398.8313</v>
      </c>
      <c r="H1768" s="14">
        <v>1430376.032465</v>
      </c>
      <c r="I1768" s="14" t="e">
        <f>=Round(32.22440000,0)</f>
        <v>#VALUE!</v>
      </c>
      <c r="J1768" s="14" t="e">
        <f>=Round(0.00000000,0)</f>
        <v>#VALUE!</v>
      </c>
    </row>
    <row r="1769">
      <c r="A1769" s="11" t="s">
        <v>31</v>
      </c>
      <c r="B1769" s="12">
        <v>3587.0477</v>
      </c>
      <c r="C1769" s="12">
        <v>0</v>
      </c>
      <c r="D1769" s="13">
        <v>0</v>
      </c>
      <c r="E1769" s="12">
        <v>0</v>
      </c>
      <c r="F1769" s="14">
        <v>0</v>
      </c>
      <c r="G1769" s="13">
        <v>398.8313</v>
      </c>
      <c r="H1769" s="14">
        <v>1430626.897353</v>
      </c>
      <c r="I1769" s="14" t="e">
        <f>=Round(32.24210000,0)</f>
        <v>#VALUE!</v>
      </c>
      <c r="J1769" s="14" t="e">
        <f>=Round(0.00000000,0)</f>
        <v>#VALUE!</v>
      </c>
    </row>
    <row r="1770">
      <c r="A1770" s="11" t="s">
        <v>32</v>
      </c>
      <c r="B1770" s="12">
        <v>3587.6685</v>
      </c>
      <c r="C1770" s="12">
        <v>0</v>
      </c>
      <c r="D1770" s="13">
        <v>0</v>
      </c>
      <c r="E1770" s="12">
        <v>0</v>
      </c>
      <c r="F1770" s="14">
        <v>0</v>
      </c>
      <c r="G1770" s="13">
        <v>398.8313</v>
      </c>
      <c r="H1770" s="14">
        <v>1430874.491824</v>
      </c>
      <c r="I1770" s="14" t="e">
        <f>=Round(32.24770000,0)</f>
        <v>#VALUE!</v>
      </c>
      <c r="J1770" s="14" t="e">
        <f>=Round(0.00000000,0)</f>
        <v>#VALUE!</v>
      </c>
    </row>
    <row r="1771">
      <c r="A1771" s="11" t="s">
        <v>33</v>
      </c>
      <c r="B1771" s="12">
        <v>3588.3573</v>
      </c>
      <c r="C1771" s="12">
        <v>0</v>
      </c>
      <c r="D1771" s="13">
        <v>0</v>
      </c>
      <c r="E1771" s="12">
        <v>0</v>
      </c>
      <c r="F1771" s="14">
        <v>0</v>
      </c>
      <c r="G1771" s="13">
        <v>398.8313</v>
      </c>
      <c r="H1771" s="14">
        <v>1431149.206823</v>
      </c>
      <c r="I1771" s="14" t="e">
        <f>=Round(32.25330000,0)</f>
        <v>#VALUE!</v>
      </c>
      <c r="J1771" s="14" t="e">
        <f>=Round(0.00000000,0)</f>
        <v>#VALUE!</v>
      </c>
    </row>
    <row r="1772">
      <c r="A1772" s="11" t="s">
        <v>34</v>
      </c>
      <c r="B1772" s="12">
        <v>3589.0109</v>
      </c>
      <c r="C1772" s="12">
        <v>0</v>
      </c>
      <c r="D1772" s="13">
        <v>0</v>
      </c>
      <c r="E1772" s="12">
        <v>0</v>
      </c>
      <c r="F1772" s="14">
        <v>0</v>
      </c>
      <c r="G1772" s="13">
        <v>398.8313</v>
      </c>
      <c r="H1772" s="14">
        <v>1431409.882961</v>
      </c>
      <c r="I1772" s="14" t="e">
        <f>=Round(32.25950000,0)</f>
        <v>#VALUE!</v>
      </c>
      <c r="J1772" s="14" t="e">
        <f>=Round(0.00000000,0)</f>
        <v>#VALUE!</v>
      </c>
    </row>
    <row r="1773">
      <c r="A1773" s="11" t="s">
        <v>35</v>
      </c>
      <c r="B1773" s="12">
        <v>3589.0109</v>
      </c>
      <c r="C1773" s="12">
        <v>0</v>
      </c>
      <c r="D1773" s="13">
        <v>0</v>
      </c>
      <c r="E1773" s="12">
        <v>0</v>
      </c>
      <c r="F1773" s="14">
        <v>0</v>
      </c>
      <c r="G1773" s="13">
        <v>398.8313</v>
      </c>
      <c r="H1773" s="14">
        <v>1431409.882961</v>
      </c>
      <c r="I1773" s="14" t="e">
        <f>=Round(32.26540000,0)</f>
        <v>#VALUE!</v>
      </c>
      <c r="J1773" s="14" t="e">
        <f>=Round(0.00000000,0)</f>
        <v>#VALUE!</v>
      </c>
    </row>
    <row r="1774">
      <c r="A1774" s="11" t="s">
        <v>36</v>
      </c>
      <c r="B1774" s="12">
        <v>3589.0109</v>
      </c>
      <c r="C1774" s="12">
        <v>0</v>
      </c>
      <c r="D1774" s="13">
        <v>0</v>
      </c>
      <c r="E1774" s="12">
        <v>0</v>
      </c>
      <c r="F1774" s="14">
        <v>0</v>
      </c>
      <c r="G1774" s="13">
        <v>398.8313</v>
      </c>
      <c r="H1774" s="14">
        <v>1431409.882961</v>
      </c>
      <c r="I1774" s="14" t="e">
        <f>=Round(32.26540000,0)</f>
        <v>#VALUE!</v>
      </c>
      <c r="J1774" s="14" t="e">
        <f>=Round(0.00000000,0)</f>
        <v>#VALUE!</v>
      </c>
    </row>
    <row r="1775">
      <c r="A1775" s="11" t="s">
        <v>37</v>
      </c>
      <c r="B1775" s="12">
        <v>3590.972</v>
      </c>
      <c r="C1775" s="12">
        <v>0</v>
      </c>
      <c r="D1775" s="13">
        <v>0</v>
      </c>
      <c r="E1775" s="12">
        <v>0</v>
      </c>
      <c r="F1775" s="14">
        <v>0</v>
      </c>
      <c r="G1775" s="13">
        <v>398.8313</v>
      </c>
      <c r="H1775" s="14">
        <v>1432192.031024</v>
      </c>
      <c r="I1775" s="14" t="e">
        <f>=Round(32.26540000,0)</f>
        <v>#VALUE!</v>
      </c>
      <c r="J1775" s="14" t="e">
        <f>=Round(0.00000000,0)</f>
        <v>#VALUE!</v>
      </c>
    </row>
    <row r="1776">
      <c r="A1776" s="11" t="s">
        <v>38</v>
      </c>
      <c r="B1776" s="12">
        <v>3591.6235</v>
      </c>
      <c r="C1776" s="12">
        <v>0</v>
      </c>
      <c r="D1776" s="13">
        <v>0</v>
      </c>
      <c r="E1776" s="12">
        <v>0</v>
      </c>
      <c r="F1776" s="14">
        <v>0</v>
      </c>
      <c r="G1776" s="13">
        <v>398.8313</v>
      </c>
      <c r="H1776" s="14">
        <v>1432451.869616</v>
      </c>
      <c r="I1776" s="14" t="e">
        <f>=Round(32.28300000,0)</f>
        <v>#VALUE!</v>
      </c>
      <c r="J1776" s="14" t="e">
        <f>=Round(0.00000000,0)</f>
        <v>#VALUE!</v>
      </c>
    </row>
    <row r="1777">
      <c r="A1777" s="11" t="s">
        <v>39</v>
      </c>
      <c r="B1777" s="12">
        <v>3592.281</v>
      </c>
      <c r="C1777" s="12">
        <v>0</v>
      </c>
      <c r="D1777" s="13">
        <v>0</v>
      </c>
      <c r="E1777" s="12">
        <v>0</v>
      </c>
      <c r="F1777" s="14">
        <v>0</v>
      </c>
      <c r="G1777" s="13">
        <v>398.8313</v>
      </c>
      <c r="H1777" s="14">
        <v>1432714.101195</v>
      </c>
      <c r="I1777" s="14" t="e">
        <f>=Round(32.28890000,0)</f>
        <v>#VALUE!</v>
      </c>
      <c r="J1777" s="14" t="e">
        <f>=Round(0.00000000,0)</f>
        <v>#VALUE!</v>
      </c>
    </row>
    <row r="1778">
      <c r="A1778" s="11" t="s">
        <v>40</v>
      </c>
      <c r="B1778" s="12">
        <v>3592.9125</v>
      </c>
      <c r="C1778" s="12">
        <v>0</v>
      </c>
      <c r="D1778" s="13">
        <v>0</v>
      </c>
      <c r="E1778" s="12">
        <v>0</v>
      </c>
      <c r="F1778" s="14">
        <v>0</v>
      </c>
      <c r="G1778" s="13">
        <v>398.8313</v>
      </c>
      <c r="H1778" s="14">
        <v>1432965.963161</v>
      </c>
      <c r="I1778" s="14" t="e">
        <f>=Round(32.29480000,0)</f>
        <v>#VALUE!</v>
      </c>
      <c r="J1778" s="14" t="e">
        <f>=Round(0.00000000,0)</f>
        <v>#VALUE!</v>
      </c>
    </row>
    <row r="1779">
      <c r="A1779" s="11" t="s">
        <v>41</v>
      </c>
      <c r="B1779" s="12">
        <v>3593.5674</v>
      </c>
      <c r="C1779" s="12">
        <v>0</v>
      </c>
      <c r="D1779" s="13">
        <v>0</v>
      </c>
      <c r="E1779" s="12">
        <v>0</v>
      </c>
      <c r="F1779" s="14">
        <v>0</v>
      </c>
      <c r="G1779" s="13">
        <v>398.8313</v>
      </c>
      <c r="H1779" s="14">
        <v>1433227.15778</v>
      </c>
      <c r="I1779" s="14" t="e">
        <f>=Round(32.30050000,0)</f>
        <v>#VALUE!</v>
      </c>
      <c r="J1779" s="14" t="e">
        <f>=Round(0.00000000,0)</f>
        <v>#VALUE!</v>
      </c>
    </row>
    <row r="1780">
      <c r="A1780" s="11" t="s">
        <v>42</v>
      </c>
      <c r="B1780" s="12">
        <v>3593.5674</v>
      </c>
      <c r="C1780" s="12">
        <v>0</v>
      </c>
      <c r="D1780" s="13">
        <v>0</v>
      </c>
      <c r="E1780" s="12">
        <v>0</v>
      </c>
      <c r="F1780" s="14">
        <v>0</v>
      </c>
      <c r="G1780" s="13">
        <v>398.8313</v>
      </c>
      <c r="H1780" s="14">
        <v>1433227.15778</v>
      </c>
      <c r="I1780" s="14" t="e">
        <f>=Round(32.30630000,0)</f>
        <v>#VALUE!</v>
      </c>
      <c r="J1780" s="14" t="e">
        <f>=Round(0.00000000,0)</f>
        <v>#VALUE!</v>
      </c>
    </row>
    <row r="1781">
      <c r="A1781" s="11" t="s">
        <v>43</v>
      </c>
      <c r="B1781" s="12">
        <v>3593.5674</v>
      </c>
      <c r="C1781" s="12">
        <v>0</v>
      </c>
      <c r="D1781" s="13">
        <v>0</v>
      </c>
      <c r="E1781" s="12">
        <v>0</v>
      </c>
      <c r="F1781" s="14">
        <v>0</v>
      </c>
      <c r="G1781" s="13">
        <v>398.8313</v>
      </c>
      <c r="H1781" s="14">
        <v>1433227.15778</v>
      </c>
      <c r="I1781" s="14" t="e">
        <f>=Round(32.30630000,0)</f>
        <v>#VALUE!</v>
      </c>
      <c r="J1781" s="14" t="e">
        <f>=Round(0.00000000,0)</f>
        <v>#VALUE!</v>
      </c>
    </row>
    <row r="1782">
      <c r="A1782" s="11" t="s">
        <v>44</v>
      </c>
      <c r="B1782" s="12">
        <v>3595.5366</v>
      </c>
      <c r="C1782" s="12">
        <v>0</v>
      </c>
      <c r="D1782" s="13">
        <v>0</v>
      </c>
      <c r="E1782" s="12">
        <v>0</v>
      </c>
      <c r="F1782" s="14">
        <v>0</v>
      </c>
      <c r="G1782" s="13">
        <v>398.8313</v>
      </c>
      <c r="H1782" s="14">
        <v>1434012.536376</v>
      </c>
      <c r="I1782" s="14" t="e">
        <f>=Round(32.30630000,0)</f>
        <v>#VALUE!</v>
      </c>
      <c r="J1782" s="14" t="e">
        <f>=Round(0.00000000,0)</f>
        <v>#VALUE!</v>
      </c>
    </row>
    <row r="1783">
      <c r="A1783" s="11" t="s">
        <v>45</v>
      </c>
      <c r="B1783" s="12">
        <v>3596.1915</v>
      </c>
      <c r="C1783" s="12">
        <v>0</v>
      </c>
      <c r="D1783" s="13">
        <v>0</v>
      </c>
      <c r="E1783" s="12">
        <v>0</v>
      </c>
      <c r="F1783" s="14">
        <v>0</v>
      </c>
      <c r="G1783" s="13">
        <v>398.8313</v>
      </c>
      <c r="H1783" s="14">
        <v>1434273.730994</v>
      </c>
      <c r="I1783" s="14" t="e">
        <f>=Round(32.32410000,0)</f>
        <v>#VALUE!</v>
      </c>
      <c r="J1783" s="14" t="e">
        <f>=Round(0.00000000,0)</f>
        <v>#VALUE!</v>
      </c>
    </row>
    <row r="1784">
      <c r="A1784" s="11" t="s">
        <v>46</v>
      </c>
      <c r="B1784" s="12">
        <v>3596.8461</v>
      </c>
      <c r="C1784" s="12">
        <v>0</v>
      </c>
      <c r="D1784" s="13">
        <v>0</v>
      </c>
      <c r="E1784" s="12">
        <v>0</v>
      </c>
      <c r="F1784" s="14">
        <v>0</v>
      </c>
      <c r="G1784" s="13">
        <v>398.8313</v>
      </c>
      <c r="H1784" s="14">
        <v>1434534.805963</v>
      </c>
      <c r="I1784" s="14" t="e">
        <f>=Round(32.32990000,0)</f>
        <v>#VALUE!</v>
      </c>
      <c r="J1784" s="14" t="e">
        <f>=Round(0.00000000,0)</f>
        <v>#VALUE!</v>
      </c>
    </row>
    <row r="1785">
      <c r="A1785" s="11" t="s">
        <v>47</v>
      </c>
      <c r="B1785" s="12">
        <v>3597.4992</v>
      </c>
      <c r="C1785" s="12">
        <v>0</v>
      </c>
      <c r="D1785" s="13">
        <v>0</v>
      </c>
      <c r="E1785" s="12">
        <v>0</v>
      </c>
      <c r="F1785" s="14">
        <v>0</v>
      </c>
      <c r="G1785" s="13">
        <v>398.8313</v>
      </c>
      <c r="H1785" s="14">
        <v>1434795.282685</v>
      </c>
      <c r="I1785" s="14" t="e">
        <f>=Round(32.33580000,0)</f>
        <v>#VALUE!</v>
      </c>
      <c r="J1785" s="14" t="e">
        <f>=Round(0.00000000,0)</f>
        <v>#VALUE!</v>
      </c>
    </row>
    <row r="1786">
      <c r="A1786" s="11" t="s">
        <v>48</v>
      </c>
      <c r="B1786" s="12">
        <v>3598.1558</v>
      </c>
      <c r="C1786" s="12">
        <v>0</v>
      </c>
      <c r="D1786" s="13">
        <v>0</v>
      </c>
      <c r="E1786" s="12">
        <v>0</v>
      </c>
      <c r="F1786" s="14">
        <v>0</v>
      </c>
      <c r="G1786" s="13">
        <v>398.8313</v>
      </c>
      <c r="H1786" s="14">
        <v>1435057.155317</v>
      </c>
      <c r="I1786" s="14" t="e">
        <f>=Round(32.34170000,0)</f>
        <v>#VALUE!</v>
      </c>
      <c r="J1786" s="14" t="e">
        <f>=Round(0.00000000,0)</f>
        <v>#VALUE!</v>
      </c>
    </row>
    <row r="1787">
      <c r="A1787" s="11" t="s">
        <v>49</v>
      </c>
      <c r="B1787" s="12">
        <v>3598.1558</v>
      </c>
      <c r="C1787" s="12">
        <v>0</v>
      </c>
      <c r="D1787" s="13">
        <v>0</v>
      </c>
      <c r="E1787" s="12">
        <v>0</v>
      </c>
      <c r="F1787" s="14">
        <v>0</v>
      </c>
      <c r="G1787" s="13">
        <v>398.8313</v>
      </c>
      <c r="H1787" s="14">
        <v>1435057.155317</v>
      </c>
      <c r="I1787" s="14" t="e">
        <f>=Round(32.34760000,0)</f>
        <v>#VALUE!</v>
      </c>
      <c r="J1787" s="14" t="e">
        <f>=Round(0.00000000,0)</f>
        <v>#VALUE!</v>
      </c>
    </row>
    <row r="1788">
      <c r="A1788" s="11" t="s">
        <v>50</v>
      </c>
      <c r="B1788" s="12">
        <v>3598.1558</v>
      </c>
      <c r="C1788" s="12">
        <v>0</v>
      </c>
      <c r="D1788" s="13">
        <v>0</v>
      </c>
      <c r="E1788" s="12">
        <v>0</v>
      </c>
      <c r="F1788" s="14">
        <v>0</v>
      </c>
      <c r="G1788" s="13">
        <v>398.8313</v>
      </c>
      <c r="H1788" s="14">
        <v>1435057.155317</v>
      </c>
      <c r="I1788" s="14" t="e">
        <f>=Round(32.34760000,0)</f>
        <v>#VALUE!</v>
      </c>
      <c r="J1788" s="14" t="e">
        <f>=Round(0.00000000,0)</f>
        <v>#VALUE!</v>
      </c>
    </row>
    <row r="1789">
      <c r="A1789" s="11" t="s">
        <v>51</v>
      </c>
      <c r="B1789" s="12">
        <v>3600.124</v>
      </c>
      <c r="C1789" s="12">
        <v>0</v>
      </c>
      <c r="D1789" s="13">
        <v>0</v>
      </c>
      <c r="E1789" s="12">
        <v>0</v>
      </c>
      <c r="F1789" s="14">
        <v>0</v>
      </c>
      <c r="G1789" s="13">
        <v>398.8313</v>
      </c>
      <c r="H1789" s="14">
        <v>1435842.135081</v>
      </c>
      <c r="I1789" s="14" t="e">
        <f>=Round(32.34760000,0)</f>
        <v>#VALUE!</v>
      </c>
      <c r="J1789" s="14" t="e">
        <f>=Round(0.00000000,0)</f>
        <v>#VALUE!</v>
      </c>
    </row>
    <row r="1790">
      <c r="A1790" s="11" t="s">
        <v>52</v>
      </c>
      <c r="B1790" s="12">
        <v>3600.7905</v>
      </c>
      <c r="C1790" s="12">
        <v>0</v>
      </c>
      <c r="D1790" s="13">
        <v>0</v>
      </c>
      <c r="E1790" s="12">
        <v>0</v>
      </c>
      <c r="F1790" s="14">
        <v>0</v>
      </c>
      <c r="G1790" s="13">
        <v>398.8313</v>
      </c>
      <c r="H1790" s="14">
        <v>1436107.956143</v>
      </c>
      <c r="I1790" s="14" t="e">
        <f>=Round(32.36530000,0)</f>
        <v>#VALUE!</v>
      </c>
      <c r="J1790" s="14" t="e">
        <f>=Round(0.00000000,0)</f>
        <v>#VALUE!</v>
      </c>
    </row>
    <row r="1791">
      <c r="A1791" s="11" t="s">
        <v>53</v>
      </c>
      <c r="B1791" s="12">
        <v>3601.445</v>
      </c>
      <c r="C1791" s="12">
        <v>0</v>
      </c>
      <c r="D1791" s="13">
        <v>0</v>
      </c>
      <c r="E1791" s="12">
        <v>0</v>
      </c>
      <c r="F1791" s="14">
        <v>0</v>
      </c>
      <c r="G1791" s="13">
        <v>398.8313</v>
      </c>
      <c r="H1791" s="14">
        <v>1436368.991229</v>
      </c>
      <c r="I1791" s="14" t="e">
        <f>=Round(32.37130000,0)</f>
        <v>#VALUE!</v>
      </c>
      <c r="J1791" s="14" t="e">
        <f>=Round(0.00000000,0)</f>
        <v>#VALUE!</v>
      </c>
    </row>
    <row r="1792">
      <c r="A1792" s="11" t="s">
        <v>54</v>
      </c>
      <c r="B1792" s="12">
        <v>3602.0851</v>
      </c>
      <c r="C1792" s="12">
        <v>0</v>
      </c>
      <c r="D1792" s="13">
        <v>0</v>
      </c>
      <c r="E1792" s="12">
        <v>0</v>
      </c>
      <c r="F1792" s="14">
        <v>0</v>
      </c>
      <c r="G1792" s="13">
        <v>398.8313</v>
      </c>
      <c r="H1792" s="14">
        <v>1436624.283144</v>
      </c>
      <c r="I1792" s="14" t="e">
        <f>=Round(32.37720000,0)</f>
        <v>#VALUE!</v>
      </c>
      <c r="J1792" s="14" t="e">
        <f>=Round(0.00000000,0)</f>
        <v>#VALUE!</v>
      </c>
    </row>
    <row r="1793">
      <c r="A1793" s="11" t="s">
        <v>55</v>
      </c>
      <c r="B1793" s="12">
        <v>3602.7417</v>
      </c>
      <c r="C1793" s="12">
        <v>0</v>
      </c>
      <c r="D1793" s="13">
        <v>0</v>
      </c>
      <c r="E1793" s="12">
        <v>0</v>
      </c>
      <c r="F1793" s="14">
        <v>0</v>
      </c>
      <c r="G1793" s="13">
        <v>398.8313</v>
      </c>
      <c r="H1793" s="14">
        <v>1436886.155775</v>
      </c>
      <c r="I1793" s="14" t="e">
        <f>=Round(32.38290000,0)</f>
        <v>#VALUE!</v>
      </c>
      <c r="J1793" s="14" t="e">
        <f>=Round(0.00000000,0)</f>
        <v>#VALUE!</v>
      </c>
    </row>
    <row r="1794" ht="-1">
      <c r="A1794" s="15"/>
      <c r="B1794" s="16" t="s">
        <v>56</v>
      </c>
      <c r="C1794" s="15"/>
      <c r="D1794" s="15"/>
      <c r="E1794" s="15"/>
      <c r="F1794" s="15"/>
      <c r="G1794" s="15"/>
      <c r="H1794" s="15"/>
      <c r="I1794" s="17" t="e">
        <f>=Round(SUM(I1768:I1793),0)</f>
        <v>#VALUE!</v>
      </c>
      <c r="J1794" s="17" t="e">
        <f>=Round(SUM(J1768:J1793),0)</f>
        <v>#VALUE!</v>
      </c>
    </row>
    <row r="1795">
      <c r="A1795" s="1" t="s">
        <v>0</v>
      </c>
      <c r="B1795" s="1"/>
      <c r="C1795" s="1"/>
      <c r="D1795" s="1"/>
    </row>
    <row r="1796">
      <c r="A1796" s="0" t="s">
        <v>1</v>
      </c>
      <c r="C1796" s="0" t="s">
        <v>2</v>
      </c>
      <c r="H1796" s="2" t="s">
        <v>3</v>
      </c>
    </row>
    <row r="1797">
      <c r="A1797" s="0" t="s">
        <v>4</v>
      </c>
      <c r="C1797" s="0" t="s">
        <v>102</v>
      </c>
      <c r="H1797" s="3" t="s">
        <v>6</v>
      </c>
    </row>
    <row r="1798">
      <c r="A1798" s="0" t="s">
        <v>7</v>
      </c>
      <c r="C1798" s="4" t="s">
        <v>8</v>
      </c>
      <c r="H1798" s="2" t="s">
        <v>9</v>
      </c>
    </row>
    <row r="1799">
      <c r="A1799" s="0" t="s">
        <v>10</v>
      </c>
      <c r="C1799" s="4" t="s">
        <v>11</v>
      </c>
      <c r="H1799" s="2" t="s">
        <v>12</v>
      </c>
    </row>
    <row r="1800">
      <c r="A1800" s="0" t="s">
        <v>13</v>
      </c>
      <c r="C1800" s="0" t="s">
        <v>14</v>
      </c>
    </row>
    <row r="1801">
      <c r="A1801" s="0" t="s">
        <v>15</v>
      </c>
      <c r="C1801" s="0" t="s">
        <v>16</v>
      </c>
    </row>
    <row r="1802">
      <c r="A1802" s="0" t="s">
        <v>17</v>
      </c>
      <c r="C1802" s="0" t="s">
        <v>18</v>
      </c>
    </row>
    <row r="1805">
      <c r="A1805" s="5" t="s">
        <v>19</v>
      </c>
      <c r="B1805" s="5" t="s">
        <v>20</v>
      </c>
      <c r="C1805" s="7" t="s">
        <v>21</v>
      </c>
      <c r="D1805" s="9"/>
      <c r="E1805" s="7" t="s">
        <v>22</v>
      </c>
      <c r="F1805" s="9"/>
      <c r="G1805" s="5" t="s">
        <v>23</v>
      </c>
      <c r="H1805" s="5" t="s">
        <v>24</v>
      </c>
      <c r="I1805" s="5" t="s">
        <v>25</v>
      </c>
      <c r="J1805" s="5" t="s">
        <v>26</v>
      </c>
    </row>
    <row r="1806">
      <c r="A1806" s="6"/>
      <c r="B1806" s="6"/>
      <c r="C1806" s="8" t="s">
        <v>27</v>
      </c>
      <c r="D1806" s="8" t="s">
        <v>28</v>
      </c>
      <c r="E1806" s="8" t="s">
        <v>27</v>
      </c>
      <c r="F1806" s="8" t="s">
        <v>28</v>
      </c>
      <c r="G1806" s="6"/>
      <c r="H1806" s="6"/>
      <c r="I1806" s="10" t="s">
        <v>29</v>
      </c>
      <c r="J1806" s="6"/>
    </row>
    <row r="1807">
      <c r="A1807" s="11" t="s">
        <v>30</v>
      </c>
      <c r="B1807" s="12">
        <v>3586.4187</v>
      </c>
      <c r="C1807" s="12">
        <v>0</v>
      </c>
      <c r="D1807" s="13">
        <v>0</v>
      </c>
      <c r="E1807" s="12">
        <v>0</v>
      </c>
      <c r="F1807" s="14">
        <v>0</v>
      </c>
      <c r="G1807" s="13">
        <v>152.236</v>
      </c>
      <c r="H1807" s="14">
        <v>545982.037213</v>
      </c>
      <c r="I1807" s="14" t="e">
        <f>=Round(12.30020000,0)</f>
        <v>#VALUE!</v>
      </c>
      <c r="J1807" s="14" t="e">
        <f>=Round(0.00000000,0)</f>
        <v>#VALUE!</v>
      </c>
    </row>
    <row r="1808">
      <c r="A1808" s="11" t="s">
        <v>31</v>
      </c>
      <c r="B1808" s="12">
        <v>3587.0477</v>
      </c>
      <c r="C1808" s="12">
        <v>0</v>
      </c>
      <c r="D1808" s="13">
        <v>0</v>
      </c>
      <c r="E1808" s="12">
        <v>0</v>
      </c>
      <c r="F1808" s="14">
        <v>0</v>
      </c>
      <c r="G1808" s="13">
        <v>152.236</v>
      </c>
      <c r="H1808" s="14">
        <v>546077.793657</v>
      </c>
      <c r="I1808" s="14" t="e">
        <f>=Round(12.30700000,0)</f>
        <v>#VALUE!</v>
      </c>
      <c r="J1808" s="14" t="e">
        <f>=Round(0.00000000,0)</f>
        <v>#VALUE!</v>
      </c>
    </row>
    <row r="1809">
      <c r="A1809" s="11" t="s">
        <v>32</v>
      </c>
      <c r="B1809" s="12">
        <v>3587.6685</v>
      </c>
      <c r="C1809" s="12">
        <v>0</v>
      </c>
      <c r="D1809" s="13">
        <v>0</v>
      </c>
      <c r="E1809" s="12">
        <v>0</v>
      </c>
      <c r="F1809" s="14">
        <v>0</v>
      </c>
      <c r="G1809" s="13">
        <v>152.236</v>
      </c>
      <c r="H1809" s="14">
        <v>546172.301766</v>
      </c>
      <c r="I1809" s="14" t="e">
        <f>=Round(12.30910000,0)</f>
        <v>#VALUE!</v>
      </c>
      <c r="J1809" s="14" t="e">
        <f>=Round(0.00000000,0)</f>
        <v>#VALUE!</v>
      </c>
    </row>
    <row r="1810">
      <c r="A1810" s="11" t="s">
        <v>33</v>
      </c>
      <c r="B1810" s="12">
        <v>3588.3573</v>
      </c>
      <c r="C1810" s="12">
        <v>0</v>
      </c>
      <c r="D1810" s="13">
        <v>0</v>
      </c>
      <c r="E1810" s="12">
        <v>0</v>
      </c>
      <c r="F1810" s="14">
        <v>0</v>
      </c>
      <c r="G1810" s="13">
        <v>152.236</v>
      </c>
      <c r="H1810" s="14">
        <v>546277.161923</v>
      </c>
      <c r="I1810" s="14" t="e">
        <f>=Round(12.31130000,0)</f>
        <v>#VALUE!</v>
      </c>
      <c r="J1810" s="14" t="e">
        <f>=Round(0.00000000,0)</f>
        <v>#VALUE!</v>
      </c>
    </row>
    <row r="1811">
      <c r="A1811" s="11" t="s">
        <v>34</v>
      </c>
      <c r="B1811" s="12">
        <v>3589.0109</v>
      </c>
      <c r="C1811" s="12">
        <v>0</v>
      </c>
      <c r="D1811" s="13">
        <v>0</v>
      </c>
      <c r="E1811" s="12">
        <v>0</v>
      </c>
      <c r="F1811" s="14">
        <v>0</v>
      </c>
      <c r="G1811" s="13">
        <v>152.236</v>
      </c>
      <c r="H1811" s="14">
        <v>546376.663372</v>
      </c>
      <c r="I1811" s="14" t="e">
        <f>=Round(12.31360000,0)</f>
        <v>#VALUE!</v>
      </c>
      <c r="J1811" s="14" t="e">
        <f>=Round(0.00000000,0)</f>
        <v>#VALUE!</v>
      </c>
    </row>
    <row r="1812">
      <c r="A1812" s="11" t="s">
        <v>35</v>
      </c>
      <c r="B1812" s="12">
        <v>3589.0109</v>
      </c>
      <c r="C1812" s="12">
        <v>0</v>
      </c>
      <c r="D1812" s="13">
        <v>0</v>
      </c>
      <c r="E1812" s="12">
        <v>0</v>
      </c>
      <c r="F1812" s="14">
        <v>0</v>
      </c>
      <c r="G1812" s="13">
        <v>152.236</v>
      </c>
      <c r="H1812" s="14">
        <v>546376.663372</v>
      </c>
      <c r="I1812" s="14" t="e">
        <f>=Round(12.31590000,0)</f>
        <v>#VALUE!</v>
      </c>
      <c r="J1812" s="14" t="e">
        <f>=Round(0.00000000,0)</f>
        <v>#VALUE!</v>
      </c>
    </row>
    <row r="1813">
      <c r="A1813" s="11" t="s">
        <v>36</v>
      </c>
      <c r="B1813" s="12">
        <v>3589.0109</v>
      </c>
      <c r="C1813" s="12">
        <v>0</v>
      </c>
      <c r="D1813" s="13">
        <v>0</v>
      </c>
      <c r="E1813" s="12">
        <v>0</v>
      </c>
      <c r="F1813" s="14">
        <v>0</v>
      </c>
      <c r="G1813" s="13">
        <v>152.236</v>
      </c>
      <c r="H1813" s="14">
        <v>546376.663372</v>
      </c>
      <c r="I1813" s="14" t="e">
        <f>=Round(12.31590000,0)</f>
        <v>#VALUE!</v>
      </c>
      <c r="J1813" s="14" t="e">
        <f>=Round(0.00000000,0)</f>
        <v>#VALUE!</v>
      </c>
    </row>
    <row r="1814">
      <c r="A1814" s="11" t="s">
        <v>37</v>
      </c>
      <c r="B1814" s="12">
        <v>3590.972</v>
      </c>
      <c r="C1814" s="12">
        <v>0</v>
      </c>
      <c r="D1814" s="13">
        <v>0</v>
      </c>
      <c r="E1814" s="12">
        <v>0</v>
      </c>
      <c r="F1814" s="14">
        <v>0</v>
      </c>
      <c r="G1814" s="13">
        <v>152.236</v>
      </c>
      <c r="H1814" s="14">
        <v>546675.213392</v>
      </c>
      <c r="I1814" s="14" t="e">
        <f>=Round(12.31590000,0)</f>
        <v>#VALUE!</v>
      </c>
      <c r="J1814" s="14" t="e">
        <f>=Round(0.00000000,0)</f>
        <v>#VALUE!</v>
      </c>
    </row>
    <row r="1815">
      <c r="A1815" s="11" t="s">
        <v>38</v>
      </c>
      <c r="B1815" s="12">
        <v>3591.6235</v>
      </c>
      <c r="C1815" s="12">
        <v>0</v>
      </c>
      <c r="D1815" s="13">
        <v>0</v>
      </c>
      <c r="E1815" s="12">
        <v>0</v>
      </c>
      <c r="F1815" s="14">
        <v>0</v>
      </c>
      <c r="G1815" s="13">
        <v>152.236</v>
      </c>
      <c r="H1815" s="14">
        <v>546774.395146</v>
      </c>
      <c r="I1815" s="14" t="e">
        <f>=Round(12.32260000,0)</f>
        <v>#VALUE!</v>
      </c>
      <c r="J1815" s="14" t="e">
        <f>=Round(0.00000000,0)</f>
        <v>#VALUE!</v>
      </c>
    </row>
    <row r="1816">
      <c r="A1816" s="11" t="s">
        <v>39</v>
      </c>
      <c r="B1816" s="12">
        <v>3592.281</v>
      </c>
      <c r="C1816" s="12">
        <v>0</v>
      </c>
      <c r="D1816" s="13">
        <v>0</v>
      </c>
      <c r="E1816" s="12">
        <v>0</v>
      </c>
      <c r="F1816" s="14">
        <v>0</v>
      </c>
      <c r="G1816" s="13">
        <v>152.236</v>
      </c>
      <c r="H1816" s="14">
        <v>546874.490316</v>
      </c>
      <c r="I1816" s="14" t="e">
        <f>=Round(12.32480000,0)</f>
        <v>#VALUE!</v>
      </c>
      <c r="J1816" s="14" t="e">
        <f>=Round(0.00000000,0)</f>
        <v>#VALUE!</v>
      </c>
    </row>
    <row r="1817">
      <c r="A1817" s="11" t="s">
        <v>40</v>
      </c>
      <c r="B1817" s="12">
        <v>3592.9125</v>
      </c>
      <c r="C1817" s="12">
        <v>0</v>
      </c>
      <c r="D1817" s="13">
        <v>0</v>
      </c>
      <c r="E1817" s="12">
        <v>0</v>
      </c>
      <c r="F1817" s="14">
        <v>0</v>
      </c>
      <c r="G1817" s="13">
        <v>152.236</v>
      </c>
      <c r="H1817" s="14">
        <v>546970.62735</v>
      </c>
      <c r="I1817" s="14" t="e">
        <f>=Round(12.32710000,0)</f>
        <v>#VALUE!</v>
      </c>
      <c r="J1817" s="14" t="e">
        <f>=Round(0.00000000,0)</f>
        <v>#VALUE!</v>
      </c>
    </row>
    <row r="1818">
      <c r="A1818" s="11" t="s">
        <v>41</v>
      </c>
      <c r="B1818" s="12">
        <v>3593.5674</v>
      </c>
      <c r="C1818" s="12">
        <v>0</v>
      </c>
      <c r="D1818" s="13">
        <v>0</v>
      </c>
      <c r="E1818" s="12">
        <v>0</v>
      </c>
      <c r="F1818" s="14">
        <v>0</v>
      </c>
      <c r="G1818" s="13">
        <v>152.236</v>
      </c>
      <c r="H1818" s="14">
        <v>547070.326706</v>
      </c>
      <c r="I1818" s="14" t="e">
        <f>=Round(12.32930000,0)</f>
        <v>#VALUE!</v>
      </c>
      <c r="J1818" s="14" t="e">
        <f>=Round(0.00000000,0)</f>
        <v>#VALUE!</v>
      </c>
    </row>
    <row r="1819">
      <c r="A1819" s="11" t="s">
        <v>42</v>
      </c>
      <c r="B1819" s="12">
        <v>3593.5674</v>
      </c>
      <c r="C1819" s="12">
        <v>0</v>
      </c>
      <c r="D1819" s="13">
        <v>0</v>
      </c>
      <c r="E1819" s="12">
        <v>0</v>
      </c>
      <c r="F1819" s="14">
        <v>0</v>
      </c>
      <c r="G1819" s="13">
        <v>152.236</v>
      </c>
      <c r="H1819" s="14">
        <v>547070.326706</v>
      </c>
      <c r="I1819" s="14" t="e">
        <f>=Round(12.33150000,0)</f>
        <v>#VALUE!</v>
      </c>
      <c r="J1819" s="14" t="e">
        <f>=Round(0.00000000,0)</f>
        <v>#VALUE!</v>
      </c>
    </row>
    <row r="1820">
      <c r="A1820" s="11" t="s">
        <v>43</v>
      </c>
      <c r="B1820" s="12">
        <v>3593.5674</v>
      </c>
      <c r="C1820" s="12">
        <v>0</v>
      </c>
      <c r="D1820" s="13">
        <v>0</v>
      </c>
      <c r="E1820" s="12">
        <v>0</v>
      </c>
      <c r="F1820" s="14">
        <v>0</v>
      </c>
      <c r="G1820" s="13">
        <v>152.236</v>
      </c>
      <c r="H1820" s="14">
        <v>547070.326706</v>
      </c>
      <c r="I1820" s="14" t="e">
        <f>=Round(12.33150000,0)</f>
        <v>#VALUE!</v>
      </c>
      <c r="J1820" s="14" t="e">
        <f>=Round(0.00000000,0)</f>
        <v>#VALUE!</v>
      </c>
    </row>
    <row r="1821">
      <c r="A1821" s="11" t="s">
        <v>44</v>
      </c>
      <c r="B1821" s="12">
        <v>3595.5366</v>
      </c>
      <c r="C1821" s="12">
        <v>0</v>
      </c>
      <c r="D1821" s="13">
        <v>0</v>
      </c>
      <c r="E1821" s="12">
        <v>0</v>
      </c>
      <c r="F1821" s="14">
        <v>0</v>
      </c>
      <c r="G1821" s="13">
        <v>152.236</v>
      </c>
      <c r="H1821" s="14">
        <v>547370.109838</v>
      </c>
      <c r="I1821" s="14" t="e">
        <f>=Round(12.33150000,0)</f>
        <v>#VALUE!</v>
      </c>
      <c r="J1821" s="14" t="e">
        <f>=Round(0.00000000,0)</f>
        <v>#VALUE!</v>
      </c>
    </row>
    <row r="1822">
      <c r="A1822" s="11" t="s">
        <v>45</v>
      </c>
      <c r="B1822" s="12">
        <v>3596.1915</v>
      </c>
      <c r="C1822" s="12">
        <v>0</v>
      </c>
      <c r="D1822" s="13">
        <v>0</v>
      </c>
      <c r="E1822" s="12">
        <v>0</v>
      </c>
      <c r="F1822" s="14">
        <v>0</v>
      </c>
      <c r="G1822" s="13">
        <v>152.236</v>
      </c>
      <c r="H1822" s="14">
        <v>547469.809194</v>
      </c>
      <c r="I1822" s="14" t="e">
        <f>=Round(12.33830000,0)</f>
        <v>#VALUE!</v>
      </c>
      <c r="J1822" s="14" t="e">
        <f>=Round(0.00000000,0)</f>
        <v>#VALUE!</v>
      </c>
    </row>
    <row r="1823">
      <c r="A1823" s="11" t="s">
        <v>46</v>
      </c>
      <c r="B1823" s="12">
        <v>3596.8461</v>
      </c>
      <c r="C1823" s="12">
        <v>0</v>
      </c>
      <c r="D1823" s="13">
        <v>0</v>
      </c>
      <c r="E1823" s="12">
        <v>0</v>
      </c>
      <c r="F1823" s="14">
        <v>0</v>
      </c>
      <c r="G1823" s="13">
        <v>152.236</v>
      </c>
      <c r="H1823" s="14">
        <v>547569.46288</v>
      </c>
      <c r="I1823" s="14" t="e">
        <f>=Round(12.34050000,0)</f>
        <v>#VALUE!</v>
      </c>
      <c r="J1823" s="14" t="e">
        <f>=Round(0.00000000,0)</f>
        <v>#VALUE!</v>
      </c>
    </row>
    <row r="1824">
      <c r="A1824" s="11" t="s">
        <v>47</v>
      </c>
      <c r="B1824" s="12">
        <v>3597.4992</v>
      </c>
      <c r="C1824" s="12">
        <v>0</v>
      </c>
      <c r="D1824" s="13">
        <v>0</v>
      </c>
      <c r="E1824" s="12">
        <v>0</v>
      </c>
      <c r="F1824" s="14">
        <v>0</v>
      </c>
      <c r="G1824" s="13">
        <v>152.236</v>
      </c>
      <c r="H1824" s="14">
        <v>547668.888211</v>
      </c>
      <c r="I1824" s="14" t="e">
        <f>=Round(12.34280000,0)</f>
        <v>#VALUE!</v>
      </c>
      <c r="J1824" s="14" t="e">
        <f>=Round(0.00000000,0)</f>
        <v>#VALUE!</v>
      </c>
    </row>
    <row r="1825">
      <c r="A1825" s="11" t="s">
        <v>48</v>
      </c>
      <c r="B1825" s="12">
        <v>3598.1558</v>
      </c>
      <c r="C1825" s="12">
        <v>0</v>
      </c>
      <c r="D1825" s="13">
        <v>0</v>
      </c>
      <c r="E1825" s="12">
        <v>0</v>
      </c>
      <c r="F1825" s="14">
        <v>0</v>
      </c>
      <c r="G1825" s="13">
        <v>152.236</v>
      </c>
      <c r="H1825" s="14">
        <v>547768.846369</v>
      </c>
      <c r="I1825" s="14" t="e">
        <f>=Round(12.34500000,0)</f>
        <v>#VALUE!</v>
      </c>
      <c r="J1825" s="14" t="e">
        <f>=Round(0.00000000,0)</f>
        <v>#VALUE!</v>
      </c>
    </row>
    <row r="1826">
      <c r="A1826" s="11" t="s">
        <v>49</v>
      </c>
      <c r="B1826" s="12">
        <v>3598.1558</v>
      </c>
      <c r="C1826" s="12">
        <v>0</v>
      </c>
      <c r="D1826" s="13">
        <v>0</v>
      </c>
      <c r="E1826" s="12">
        <v>0</v>
      </c>
      <c r="F1826" s="14">
        <v>0</v>
      </c>
      <c r="G1826" s="13">
        <v>152.236</v>
      </c>
      <c r="H1826" s="14">
        <v>547768.846369</v>
      </c>
      <c r="I1826" s="14" t="e">
        <f>=Round(12.34720000,0)</f>
        <v>#VALUE!</v>
      </c>
      <c r="J1826" s="14" t="e">
        <f>=Round(0.00000000,0)</f>
        <v>#VALUE!</v>
      </c>
    </row>
    <row r="1827">
      <c r="A1827" s="11" t="s">
        <v>50</v>
      </c>
      <c r="B1827" s="12">
        <v>3598.1558</v>
      </c>
      <c r="C1827" s="12">
        <v>0</v>
      </c>
      <c r="D1827" s="13">
        <v>0</v>
      </c>
      <c r="E1827" s="12">
        <v>0</v>
      </c>
      <c r="F1827" s="14">
        <v>0</v>
      </c>
      <c r="G1827" s="13">
        <v>152.236</v>
      </c>
      <c r="H1827" s="14">
        <v>547768.846369</v>
      </c>
      <c r="I1827" s="14" t="e">
        <f>=Round(12.34720000,0)</f>
        <v>#VALUE!</v>
      </c>
      <c r="J1827" s="14" t="e">
        <f>=Round(0.00000000,0)</f>
        <v>#VALUE!</v>
      </c>
    </row>
    <row r="1828">
      <c r="A1828" s="11" t="s">
        <v>51</v>
      </c>
      <c r="B1828" s="12">
        <v>3600.124</v>
      </c>
      <c r="C1828" s="12">
        <v>0</v>
      </c>
      <c r="D1828" s="13">
        <v>0</v>
      </c>
      <c r="E1828" s="12">
        <v>0</v>
      </c>
      <c r="F1828" s="14">
        <v>0</v>
      </c>
      <c r="G1828" s="13">
        <v>152.236</v>
      </c>
      <c r="H1828" s="14">
        <v>548068.477264</v>
      </c>
      <c r="I1828" s="14" t="e">
        <f>=Round(12.34720000,0)</f>
        <v>#VALUE!</v>
      </c>
      <c r="J1828" s="14" t="e">
        <f>=Round(0.00000000,0)</f>
        <v>#VALUE!</v>
      </c>
    </row>
    <row r="1829">
      <c r="A1829" s="11" t="s">
        <v>52</v>
      </c>
      <c r="B1829" s="12">
        <v>3600.7905</v>
      </c>
      <c r="C1829" s="12">
        <v>0</v>
      </c>
      <c r="D1829" s="13">
        <v>0</v>
      </c>
      <c r="E1829" s="12">
        <v>0</v>
      </c>
      <c r="F1829" s="14">
        <v>0</v>
      </c>
      <c r="G1829" s="13">
        <v>152.236</v>
      </c>
      <c r="H1829" s="14">
        <v>548169.942558</v>
      </c>
      <c r="I1829" s="14" t="e">
        <f>=Round(12.35400000,0)</f>
        <v>#VALUE!</v>
      </c>
      <c r="J1829" s="14" t="e">
        <f>=Round(0.00000000,0)</f>
        <v>#VALUE!</v>
      </c>
    </row>
    <row r="1830">
      <c r="A1830" s="11" t="s">
        <v>53</v>
      </c>
      <c r="B1830" s="12">
        <v>3601.445</v>
      </c>
      <c r="C1830" s="12">
        <v>0</v>
      </c>
      <c r="D1830" s="13">
        <v>0</v>
      </c>
      <c r="E1830" s="12">
        <v>0</v>
      </c>
      <c r="F1830" s="14">
        <v>0</v>
      </c>
      <c r="G1830" s="13">
        <v>152.236</v>
      </c>
      <c r="H1830" s="14">
        <v>548269.58102</v>
      </c>
      <c r="I1830" s="14" t="e">
        <f>=Round(12.35630000,0)</f>
        <v>#VALUE!</v>
      </c>
      <c r="J1830" s="14" t="e">
        <f>=Round(0.00000000,0)</f>
        <v>#VALUE!</v>
      </c>
    </row>
    <row r="1831">
      <c r="A1831" s="11" t="s">
        <v>54</v>
      </c>
      <c r="B1831" s="12">
        <v>3602.0851</v>
      </c>
      <c r="C1831" s="12">
        <v>0</v>
      </c>
      <c r="D1831" s="13">
        <v>0</v>
      </c>
      <c r="E1831" s="12">
        <v>0</v>
      </c>
      <c r="F1831" s="14">
        <v>0</v>
      </c>
      <c r="G1831" s="13">
        <v>152.236</v>
      </c>
      <c r="H1831" s="14">
        <v>548367.027284</v>
      </c>
      <c r="I1831" s="14" t="e">
        <f>=Round(12.35850000,0)</f>
        <v>#VALUE!</v>
      </c>
      <c r="J1831" s="14" t="e">
        <f>=Round(0.00000000,0)</f>
        <v>#VALUE!</v>
      </c>
    </row>
    <row r="1832">
      <c r="A1832" s="11" t="s">
        <v>55</v>
      </c>
      <c r="B1832" s="12">
        <v>3602.7417</v>
      </c>
      <c r="C1832" s="12">
        <v>0</v>
      </c>
      <c r="D1832" s="13">
        <v>0</v>
      </c>
      <c r="E1832" s="12">
        <v>0</v>
      </c>
      <c r="F1832" s="14">
        <v>0</v>
      </c>
      <c r="G1832" s="13">
        <v>152.236</v>
      </c>
      <c r="H1832" s="14">
        <v>548466.985441</v>
      </c>
      <c r="I1832" s="14" t="e">
        <f>=Round(12.36070000,0)</f>
        <v>#VALUE!</v>
      </c>
      <c r="J1832" s="14" t="e">
        <f>=Round(0.00000000,0)</f>
        <v>#VALUE!</v>
      </c>
    </row>
    <row r="1833" ht="-1">
      <c r="A1833" s="15"/>
      <c r="B1833" s="16" t="s">
        <v>56</v>
      </c>
      <c r="C1833" s="15"/>
      <c r="D1833" s="15"/>
      <c r="E1833" s="15"/>
      <c r="F1833" s="15"/>
      <c r="G1833" s="15"/>
      <c r="H1833" s="15"/>
      <c r="I1833" s="17" t="e">
        <f>=Round(SUM(I1807:I1832),0)</f>
        <v>#VALUE!</v>
      </c>
      <c r="J1833" s="17" t="e">
        <f>=Round(SUM(J1807:J1832),0)</f>
        <v>#VALUE!</v>
      </c>
    </row>
    <row r="1834">
      <c r="A1834" s="1" t="s">
        <v>0</v>
      </c>
      <c r="B1834" s="1"/>
      <c r="C1834" s="1"/>
      <c r="D1834" s="1"/>
    </row>
    <row r="1835">
      <c r="A1835" s="0" t="s">
        <v>1</v>
      </c>
      <c r="C1835" s="0" t="s">
        <v>2</v>
      </c>
      <c r="H1835" s="2" t="s">
        <v>3</v>
      </c>
    </row>
    <row r="1836">
      <c r="A1836" s="0" t="s">
        <v>4</v>
      </c>
      <c r="C1836" s="0" t="s">
        <v>103</v>
      </c>
      <c r="H1836" s="3" t="s">
        <v>6</v>
      </c>
    </row>
    <row r="1837">
      <c r="A1837" s="0" t="s">
        <v>7</v>
      </c>
      <c r="C1837" s="4" t="s">
        <v>8</v>
      </c>
      <c r="H1837" s="2" t="s">
        <v>9</v>
      </c>
    </row>
    <row r="1838">
      <c r="A1838" s="0" t="s">
        <v>10</v>
      </c>
      <c r="C1838" s="4" t="s">
        <v>11</v>
      </c>
      <c r="H1838" s="2" t="s">
        <v>12</v>
      </c>
    </row>
    <row r="1839">
      <c r="A1839" s="0" t="s">
        <v>13</v>
      </c>
      <c r="C1839" s="0" t="s">
        <v>14</v>
      </c>
    </row>
    <row r="1840">
      <c r="A1840" s="0" t="s">
        <v>15</v>
      </c>
      <c r="C1840" s="0" t="s">
        <v>16</v>
      </c>
    </row>
    <row r="1841">
      <c r="A1841" s="0" t="s">
        <v>17</v>
      </c>
      <c r="C1841" s="0" t="s">
        <v>18</v>
      </c>
    </row>
    <row r="1844">
      <c r="A1844" s="5" t="s">
        <v>19</v>
      </c>
      <c r="B1844" s="5" t="s">
        <v>20</v>
      </c>
      <c r="C1844" s="7" t="s">
        <v>21</v>
      </c>
      <c r="D1844" s="9"/>
      <c r="E1844" s="7" t="s">
        <v>22</v>
      </c>
      <c r="F1844" s="9"/>
      <c r="G1844" s="5" t="s">
        <v>23</v>
      </c>
      <c r="H1844" s="5" t="s">
        <v>24</v>
      </c>
      <c r="I1844" s="5" t="s">
        <v>25</v>
      </c>
      <c r="J1844" s="5" t="s">
        <v>26</v>
      </c>
    </row>
    <row r="1845">
      <c r="A1845" s="6"/>
      <c r="B1845" s="6"/>
      <c r="C1845" s="8" t="s">
        <v>27</v>
      </c>
      <c r="D1845" s="8" t="s">
        <v>28</v>
      </c>
      <c r="E1845" s="8" t="s">
        <v>27</v>
      </c>
      <c r="F1845" s="8" t="s">
        <v>28</v>
      </c>
      <c r="G1845" s="6"/>
      <c r="H1845" s="6"/>
      <c r="I1845" s="10" t="s">
        <v>29</v>
      </c>
      <c r="J1845" s="6"/>
    </row>
    <row r="1846">
      <c r="A1846" s="11" t="s">
        <v>30</v>
      </c>
      <c r="B1846" s="12">
        <v>3586.4187</v>
      </c>
      <c r="C1846" s="12">
        <v>0</v>
      </c>
      <c r="D1846" s="13">
        <v>0</v>
      </c>
      <c r="E1846" s="12">
        <v>0</v>
      </c>
      <c r="F1846" s="14">
        <v>0</v>
      </c>
      <c r="G1846" s="13">
        <v>1560464.0825</v>
      </c>
      <c r="H1846" s="14">
        <v>5596477566.1563435</v>
      </c>
      <c r="I1846" s="14" t="e">
        <f>=Round(126080.73810000,0)</f>
        <v>#VALUE!</v>
      </c>
      <c r="J1846" s="14" t="e">
        <f>=Round(0.00000000,0)</f>
        <v>#VALUE!</v>
      </c>
    </row>
    <row r="1847">
      <c r="A1847" s="11" t="s">
        <v>31</v>
      </c>
      <c r="B1847" s="12">
        <v>3587.0477</v>
      </c>
      <c r="C1847" s="12">
        <v>0</v>
      </c>
      <c r="D1847" s="13">
        <v>0</v>
      </c>
      <c r="E1847" s="12">
        <v>0</v>
      </c>
      <c r="F1847" s="14">
        <v>0</v>
      </c>
      <c r="G1847" s="13">
        <v>1560464.0825</v>
      </c>
      <c r="H1847" s="14">
        <v>5597459098.0642347</v>
      </c>
      <c r="I1847" s="14" t="e">
        <f>=Round(126150.10910000,0)</f>
        <v>#VALUE!</v>
      </c>
      <c r="J1847" s="14" t="e">
        <f>=Round(0.00000000,0)</f>
        <v>#VALUE!</v>
      </c>
    </row>
    <row r="1848">
      <c r="A1848" s="11" t="s">
        <v>32</v>
      </c>
      <c r="B1848" s="12">
        <v>3587.6685</v>
      </c>
      <c r="C1848" s="12">
        <v>0</v>
      </c>
      <c r="D1848" s="13">
        <v>0</v>
      </c>
      <c r="E1848" s="12">
        <v>0</v>
      </c>
      <c r="F1848" s="14">
        <v>0</v>
      </c>
      <c r="G1848" s="13">
        <v>1560464.0825</v>
      </c>
      <c r="H1848" s="14">
        <v>5598427834.1666508</v>
      </c>
      <c r="I1848" s="14" t="e">
        <f>=Round(126172.23380000,0)</f>
        <v>#VALUE!</v>
      </c>
      <c r="J1848" s="14" t="e">
        <f>=Round(0.00000000,0)</f>
        <v>#VALUE!</v>
      </c>
    </row>
    <row r="1849">
      <c r="A1849" s="11" t="s">
        <v>33</v>
      </c>
      <c r="B1849" s="12">
        <v>3588.3573</v>
      </c>
      <c r="C1849" s="12">
        <v>0</v>
      </c>
      <c r="D1849" s="13">
        <v>0</v>
      </c>
      <c r="E1849" s="12">
        <v>0</v>
      </c>
      <c r="F1849" s="14">
        <v>0</v>
      </c>
      <c r="G1849" s="13">
        <v>1560464.0825</v>
      </c>
      <c r="H1849" s="14">
        <v>5599502681.8266773</v>
      </c>
      <c r="I1849" s="14" t="e">
        <f>=Round(126194.07000000,0)</f>
        <v>#VALUE!</v>
      </c>
      <c r="J1849" s="14" t="e">
        <f>=Round(0.00000000,0)</f>
        <v>#VALUE!</v>
      </c>
    </row>
    <row r="1850">
      <c r="A1850" s="11" t="s">
        <v>34</v>
      </c>
      <c r="B1850" s="12">
        <v>3589.0109</v>
      </c>
      <c r="C1850" s="12">
        <v>0</v>
      </c>
      <c r="D1850" s="13">
        <v>0</v>
      </c>
      <c r="E1850" s="12">
        <v>0</v>
      </c>
      <c r="F1850" s="14">
        <v>0</v>
      </c>
      <c r="G1850" s="13">
        <v>1560464.0825</v>
      </c>
      <c r="H1850" s="14">
        <v>5600522601.1509991</v>
      </c>
      <c r="I1850" s="14" t="e">
        <f>=Round(126218.29820000,0)</f>
        <v>#VALUE!</v>
      </c>
      <c r="J1850" s="14" t="e">
        <f>=Round(0.00000000,0)</f>
        <v>#VALUE!</v>
      </c>
    </row>
    <row r="1851">
      <c r="A1851" s="11" t="s">
        <v>35</v>
      </c>
      <c r="B1851" s="12">
        <v>3589.0109</v>
      </c>
      <c r="C1851" s="12">
        <v>0</v>
      </c>
      <c r="D1851" s="13">
        <v>0</v>
      </c>
      <c r="E1851" s="12">
        <v>0</v>
      </c>
      <c r="F1851" s="14">
        <v>0</v>
      </c>
      <c r="G1851" s="13">
        <v>1560464.0825</v>
      </c>
      <c r="H1851" s="14">
        <v>5600522601.1509991</v>
      </c>
      <c r="I1851" s="14" t="e">
        <f>=Round(126241.28810000,0)</f>
        <v>#VALUE!</v>
      </c>
      <c r="J1851" s="14" t="e">
        <f>=Round(0.00000000,0)</f>
        <v>#VALUE!</v>
      </c>
    </row>
    <row r="1852">
      <c r="A1852" s="11" t="s">
        <v>36</v>
      </c>
      <c r="B1852" s="12">
        <v>3589.0109</v>
      </c>
      <c r="C1852" s="12">
        <v>0</v>
      </c>
      <c r="D1852" s="13">
        <v>0</v>
      </c>
      <c r="E1852" s="12">
        <v>0</v>
      </c>
      <c r="F1852" s="14">
        <v>0</v>
      </c>
      <c r="G1852" s="13">
        <v>1560464.0825</v>
      </c>
      <c r="H1852" s="14">
        <v>5600522601.1509991</v>
      </c>
      <c r="I1852" s="14" t="e">
        <f>=Round(126241.28810000,0)</f>
        <v>#VALUE!</v>
      </c>
      <c r="J1852" s="14" t="e">
        <f>=Round(0.00000000,0)</f>
        <v>#VALUE!</v>
      </c>
    </row>
    <row r="1853">
      <c r="A1853" s="11" t="s">
        <v>37</v>
      </c>
      <c r="B1853" s="12">
        <v>3590.972</v>
      </c>
      <c r="C1853" s="12">
        <v>0</v>
      </c>
      <c r="D1853" s="13">
        <v>0</v>
      </c>
      <c r="E1853" s="12">
        <v>0</v>
      </c>
      <c r="F1853" s="14">
        <v>0</v>
      </c>
      <c r="G1853" s="13">
        <v>1560464.0825</v>
      </c>
      <c r="H1853" s="14">
        <v>5603582827.26319</v>
      </c>
      <c r="I1853" s="14" t="e">
        <f>=Round(126241.28810000,0)</f>
        <v>#VALUE!</v>
      </c>
      <c r="J1853" s="14" t="e">
        <f>=Round(0.00000000,0)</f>
        <v>#VALUE!</v>
      </c>
    </row>
    <row r="1854">
      <c r="A1854" s="11" t="s">
        <v>38</v>
      </c>
      <c r="B1854" s="12">
        <v>3591.6235</v>
      </c>
      <c r="C1854" s="12">
        <v>0</v>
      </c>
      <c r="D1854" s="13">
        <v>0</v>
      </c>
      <c r="E1854" s="12">
        <v>0</v>
      </c>
      <c r="F1854" s="14">
        <v>0</v>
      </c>
      <c r="G1854" s="13">
        <v>1560464.0825</v>
      </c>
      <c r="H1854" s="14">
        <v>5604599469.6129389</v>
      </c>
      <c r="I1854" s="14" t="e">
        <f>=Round(126310.26860000,0)</f>
        <v>#VALUE!</v>
      </c>
      <c r="J1854" s="14" t="e">
        <f>=Round(0.00000000,0)</f>
        <v>#VALUE!</v>
      </c>
    </row>
    <row r="1855">
      <c r="A1855" s="11" t="s">
        <v>39</v>
      </c>
      <c r="B1855" s="12">
        <v>3592.281</v>
      </c>
      <c r="C1855" s="12">
        <v>0</v>
      </c>
      <c r="D1855" s="13">
        <v>0</v>
      </c>
      <c r="E1855" s="12">
        <v>0</v>
      </c>
      <c r="F1855" s="14">
        <v>0</v>
      </c>
      <c r="G1855" s="13">
        <v>1560464.0825</v>
      </c>
      <c r="H1855" s="14">
        <v>5605625474.7471828</v>
      </c>
      <c r="I1855" s="14" t="e">
        <f>=Round(126333.18480000,0)</f>
        <v>#VALUE!</v>
      </c>
      <c r="J1855" s="14" t="e">
        <f>=Round(0.00000000,0)</f>
        <v>#VALUE!</v>
      </c>
    </row>
    <row r="1856">
      <c r="A1856" s="11" t="s">
        <v>40</v>
      </c>
      <c r="B1856" s="12">
        <v>3592.9125</v>
      </c>
      <c r="C1856" s="12">
        <v>0</v>
      </c>
      <c r="D1856" s="13">
        <v>0</v>
      </c>
      <c r="E1856" s="12">
        <v>0</v>
      </c>
      <c r="F1856" s="14">
        <v>0</v>
      </c>
      <c r="G1856" s="13">
        <v>1560464.0825</v>
      </c>
      <c r="H1856" s="14">
        <v>5606610907.8152809</v>
      </c>
      <c r="I1856" s="14" t="e">
        <f>=Round(126356.31190000,0)</f>
        <v>#VALUE!</v>
      </c>
      <c r="J1856" s="14" t="e">
        <f>=Round(0.00000000,0)</f>
        <v>#VALUE!</v>
      </c>
    </row>
    <row r="1857">
      <c r="A1857" s="11" t="s">
        <v>41</v>
      </c>
      <c r="B1857" s="12">
        <v>3593.5674</v>
      </c>
      <c r="C1857" s="12">
        <v>0</v>
      </c>
      <c r="D1857" s="13">
        <v>0</v>
      </c>
      <c r="E1857" s="12">
        <v>0</v>
      </c>
      <c r="F1857" s="14">
        <v>0</v>
      </c>
      <c r="G1857" s="13">
        <v>1560464.0825</v>
      </c>
      <c r="H1857" s="14">
        <v>5607632855.7429113</v>
      </c>
      <c r="I1857" s="14" t="e">
        <f>=Round(126378.52460000,0)</f>
        <v>#VALUE!</v>
      </c>
      <c r="J1857" s="14" t="e">
        <f>=Round(0.00000000,0)</f>
        <v>#VALUE!</v>
      </c>
    </row>
    <row r="1858">
      <c r="A1858" s="11" t="s">
        <v>42</v>
      </c>
      <c r="B1858" s="12">
        <v>3593.5674</v>
      </c>
      <c r="C1858" s="12">
        <v>0</v>
      </c>
      <c r="D1858" s="13">
        <v>0</v>
      </c>
      <c r="E1858" s="12">
        <v>0</v>
      </c>
      <c r="F1858" s="14">
        <v>0</v>
      </c>
      <c r="G1858" s="13">
        <v>1560464.0825</v>
      </c>
      <c r="H1858" s="14">
        <v>5607632855.7429113</v>
      </c>
      <c r="I1858" s="14" t="e">
        <f>=Round(126401.56030000,0)</f>
        <v>#VALUE!</v>
      </c>
      <c r="J1858" s="14" t="e">
        <f>=Round(0.00000000,0)</f>
        <v>#VALUE!</v>
      </c>
    </row>
    <row r="1859">
      <c r="A1859" s="11" t="s">
        <v>43</v>
      </c>
      <c r="B1859" s="12">
        <v>3593.5674</v>
      </c>
      <c r="C1859" s="12">
        <v>0</v>
      </c>
      <c r="D1859" s="13">
        <v>0</v>
      </c>
      <c r="E1859" s="12">
        <v>0</v>
      </c>
      <c r="F1859" s="14">
        <v>0</v>
      </c>
      <c r="G1859" s="13">
        <v>1560464.0825</v>
      </c>
      <c r="H1859" s="14">
        <v>5607632855.7429113</v>
      </c>
      <c r="I1859" s="14" t="e">
        <f>=Round(126401.56030000,0)</f>
        <v>#VALUE!</v>
      </c>
      <c r="J1859" s="14" t="e">
        <f>=Round(0.00000000,0)</f>
        <v>#VALUE!</v>
      </c>
    </row>
    <row r="1860">
      <c r="A1860" s="11" t="s">
        <v>44</v>
      </c>
      <c r="B1860" s="12">
        <v>3595.5366</v>
      </c>
      <c r="C1860" s="12">
        <v>0</v>
      </c>
      <c r="D1860" s="13">
        <v>0</v>
      </c>
      <c r="E1860" s="12">
        <v>0</v>
      </c>
      <c r="F1860" s="14">
        <v>0</v>
      </c>
      <c r="G1860" s="13">
        <v>1560464.0825</v>
      </c>
      <c r="H1860" s="14">
        <v>5610705721.61417</v>
      </c>
      <c r="I1860" s="14" t="e">
        <f>=Round(126401.56030000,0)</f>
        <v>#VALUE!</v>
      </c>
      <c r="J1860" s="14" t="e">
        <f>=Round(0.00000000,0)</f>
        <v>#VALUE!</v>
      </c>
    </row>
    <row r="1861">
      <c r="A1861" s="11" t="s">
        <v>45</v>
      </c>
      <c r="B1861" s="12">
        <v>3596.1915</v>
      </c>
      <c r="C1861" s="12">
        <v>0</v>
      </c>
      <c r="D1861" s="13">
        <v>0</v>
      </c>
      <c r="E1861" s="12">
        <v>0</v>
      </c>
      <c r="F1861" s="14">
        <v>0</v>
      </c>
      <c r="G1861" s="13">
        <v>1560464.0825</v>
      </c>
      <c r="H1861" s="14">
        <v>5611727669.5417986</v>
      </c>
      <c r="I1861" s="14" t="e">
        <f>=Round(126470.82570000,0)</f>
        <v>#VALUE!</v>
      </c>
      <c r="J1861" s="14" t="e">
        <f>=Round(0.00000000,0)</f>
        <v>#VALUE!</v>
      </c>
    </row>
    <row r="1862">
      <c r="A1862" s="11" t="s">
        <v>46</v>
      </c>
      <c r="B1862" s="12">
        <v>3596.8461</v>
      </c>
      <c r="C1862" s="12">
        <v>0</v>
      </c>
      <c r="D1862" s="13">
        <v>0</v>
      </c>
      <c r="E1862" s="12">
        <v>0</v>
      </c>
      <c r="F1862" s="14">
        <v>0</v>
      </c>
      <c r="G1862" s="13">
        <v>1560464.0825</v>
      </c>
      <c r="H1862" s="14">
        <v>5612749149.3302031</v>
      </c>
      <c r="I1862" s="14" t="e">
        <f>=Round(126493.86140000,0)</f>
        <v>#VALUE!</v>
      </c>
      <c r="J1862" s="14" t="e">
        <f>=Round(0.00000000,0)</f>
        <v>#VALUE!</v>
      </c>
    </row>
    <row r="1863">
      <c r="A1863" s="11" t="s">
        <v>47</v>
      </c>
      <c r="B1863" s="12">
        <v>3597.4992</v>
      </c>
      <c r="C1863" s="12">
        <v>0</v>
      </c>
      <c r="D1863" s="13">
        <v>0</v>
      </c>
      <c r="E1863" s="12">
        <v>0</v>
      </c>
      <c r="F1863" s="14">
        <v>0</v>
      </c>
      <c r="G1863" s="13">
        <v>1560464.0825</v>
      </c>
      <c r="H1863" s="14">
        <v>5613768288.4224844</v>
      </c>
      <c r="I1863" s="14" t="e">
        <f>=Round(126516.88660000,0)</f>
        <v>#VALUE!</v>
      </c>
      <c r="J1863" s="14" t="e">
        <f>=Round(0.00000000,0)</f>
        <v>#VALUE!</v>
      </c>
    </row>
    <row r="1864">
      <c r="A1864" s="11" t="s">
        <v>48</v>
      </c>
      <c r="B1864" s="12">
        <v>3598.1558</v>
      </c>
      <c r="C1864" s="12">
        <v>0</v>
      </c>
      <c r="D1864" s="13">
        <v>0</v>
      </c>
      <c r="E1864" s="12">
        <v>0</v>
      </c>
      <c r="F1864" s="14">
        <v>0</v>
      </c>
      <c r="G1864" s="13">
        <v>1560464.0825</v>
      </c>
      <c r="H1864" s="14">
        <v>5614792889.1390543</v>
      </c>
      <c r="I1864" s="14" t="e">
        <f>=Round(126539.85900000,0)</f>
        <v>#VALUE!</v>
      </c>
      <c r="J1864" s="14" t="e">
        <f>=Round(0.00000000,0)</f>
        <v>#VALUE!</v>
      </c>
    </row>
    <row r="1865">
      <c r="A1865" s="11" t="s">
        <v>49</v>
      </c>
      <c r="B1865" s="12">
        <v>3598.1558</v>
      </c>
      <c r="C1865" s="12">
        <v>0</v>
      </c>
      <c r="D1865" s="13">
        <v>0</v>
      </c>
      <c r="E1865" s="12">
        <v>0</v>
      </c>
      <c r="F1865" s="14">
        <v>0</v>
      </c>
      <c r="G1865" s="13">
        <v>1560464.0825</v>
      </c>
      <c r="H1865" s="14">
        <v>5614792889.1390543</v>
      </c>
      <c r="I1865" s="14" t="e">
        <f>=Round(126562.95450000,0)</f>
        <v>#VALUE!</v>
      </c>
      <c r="J1865" s="14" t="e">
        <f>=Round(0.00000000,0)</f>
        <v>#VALUE!</v>
      </c>
    </row>
    <row r="1866">
      <c r="A1866" s="11" t="s">
        <v>50</v>
      </c>
      <c r="B1866" s="12">
        <v>3598.1558</v>
      </c>
      <c r="C1866" s="12">
        <v>0</v>
      </c>
      <c r="D1866" s="13">
        <v>0</v>
      </c>
      <c r="E1866" s="12">
        <v>0</v>
      </c>
      <c r="F1866" s="14">
        <v>0</v>
      </c>
      <c r="G1866" s="13">
        <v>1560464.0825</v>
      </c>
      <c r="H1866" s="14">
        <v>5614792889.1390543</v>
      </c>
      <c r="I1866" s="14" t="e">
        <f>=Round(126562.95450000,0)</f>
        <v>#VALUE!</v>
      </c>
      <c r="J1866" s="14" t="e">
        <f>=Round(0.00000000,0)</f>
        <v>#VALUE!</v>
      </c>
    </row>
    <row r="1867">
      <c r="A1867" s="11" t="s">
        <v>51</v>
      </c>
      <c r="B1867" s="12">
        <v>3600.124</v>
      </c>
      <c r="C1867" s="12">
        <v>0</v>
      </c>
      <c r="D1867" s="13">
        <v>0</v>
      </c>
      <c r="E1867" s="12">
        <v>1560464.0825</v>
      </c>
      <c r="F1867" s="14">
        <v>5617864195</v>
      </c>
      <c r="G1867" s="13">
        <v>1560464.0825</v>
      </c>
      <c r="H1867" s="14">
        <v>5617864194.54623</v>
      </c>
      <c r="I1867" s="14" t="e">
        <f>=Round(126562.95450000,0)</f>
        <v>#VALUE!</v>
      </c>
      <c r="J1867" s="14" t="e">
        <f>=Round(0.00000000,0)</f>
        <v>#VALUE!</v>
      </c>
    </row>
    <row r="1868">
      <c r="A1868" s="11" t="s">
        <v>52</v>
      </c>
      <c r="B1868" s="12">
        <v>3600.7905</v>
      </c>
      <c r="C1868" s="12">
        <v>0</v>
      </c>
      <c r="D1868" s="13">
        <v>0</v>
      </c>
      <c r="E1868" s="12">
        <v>0</v>
      </c>
      <c r="F1868" s="14">
        <v>0</v>
      </c>
      <c r="G1868" s="13">
        <v>0</v>
      </c>
      <c r="H1868" s="14">
        <v>0</v>
      </c>
      <c r="I1868" s="14" t="e">
        <f>=Round(126632.18470000,0)</f>
        <v>#VALUE!</v>
      </c>
      <c r="J1868" s="14" t="e">
        <f>=Round(0.00000000,0)</f>
        <v>#VALUE!</v>
      </c>
    </row>
    <row r="1869">
      <c r="A1869" s="11" t="s">
        <v>53</v>
      </c>
      <c r="B1869" s="12">
        <v>3601.445</v>
      </c>
      <c r="C1869" s="12">
        <v>0</v>
      </c>
      <c r="D1869" s="13">
        <v>0</v>
      </c>
      <c r="E1869" s="12">
        <v>0</v>
      </c>
      <c r="F1869" s="14">
        <v>0</v>
      </c>
      <c r="G1869" s="13">
        <v>0</v>
      </c>
      <c r="H1869" s="14">
        <v>0</v>
      </c>
      <c r="I1869" s="14" t="e">
        <f>=Round(0.00000000,0)</f>
        <v>#VALUE!</v>
      </c>
      <c r="J1869" s="14" t="e">
        <f>=Round(0.00000000,0)</f>
        <v>#VALUE!</v>
      </c>
    </row>
    <row r="1870">
      <c r="A1870" s="11" t="s">
        <v>54</v>
      </c>
      <c r="B1870" s="12">
        <v>3602.0851</v>
      </c>
      <c r="C1870" s="12">
        <v>0</v>
      </c>
      <c r="D1870" s="13">
        <v>0</v>
      </c>
      <c r="E1870" s="12">
        <v>0</v>
      </c>
      <c r="F1870" s="14">
        <v>0</v>
      </c>
      <c r="G1870" s="13">
        <v>0</v>
      </c>
      <c r="H1870" s="14">
        <v>0</v>
      </c>
      <c r="I1870" s="14" t="e">
        <f>=Round(0.00000000,0)</f>
        <v>#VALUE!</v>
      </c>
      <c r="J1870" s="14" t="e">
        <f>=Round(0.00000000,0)</f>
        <v>#VALUE!</v>
      </c>
    </row>
    <row r="1871">
      <c r="A1871" s="11" t="s">
        <v>55</v>
      </c>
      <c r="B1871" s="12">
        <v>3602.7417</v>
      </c>
      <c r="C1871" s="12">
        <v>0</v>
      </c>
      <c r="D1871" s="13">
        <v>0</v>
      </c>
      <c r="E1871" s="12">
        <v>0</v>
      </c>
      <c r="F1871" s="14">
        <v>0</v>
      </c>
      <c r="G1871" s="13">
        <v>0</v>
      </c>
      <c r="H1871" s="14">
        <v>0</v>
      </c>
      <c r="I1871" s="14" t="e">
        <f>=Round(0.00000000,0)</f>
        <v>#VALUE!</v>
      </c>
      <c r="J1871" s="14" t="e">
        <f>=Round(0.00000000,0)</f>
        <v>#VALUE!</v>
      </c>
    </row>
    <row r="1872" ht="-1">
      <c r="A1872" s="15"/>
      <c r="B1872" s="16" t="s">
        <v>56</v>
      </c>
      <c r="C1872" s="15"/>
      <c r="D1872" s="15"/>
      <c r="E1872" s="15"/>
      <c r="F1872" s="15"/>
      <c r="G1872" s="15"/>
      <c r="H1872" s="15"/>
      <c r="I1872" s="17" t="e">
        <f>=Round(SUM(I1846:I1871),0)</f>
        <v>#VALUE!</v>
      </c>
      <c r="J1872" s="17" t="e">
        <f>=Round(SUM(J1846:J1871),0)</f>
        <v>#VALUE!</v>
      </c>
    </row>
    <row r="1873">
      <c r="A1873" s="1" t="s">
        <v>0</v>
      </c>
      <c r="B1873" s="1"/>
      <c r="C1873" s="1"/>
      <c r="D1873" s="1"/>
    </row>
    <row r="1874">
      <c r="A1874" s="0" t="s">
        <v>1</v>
      </c>
      <c r="C1874" s="0" t="s">
        <v>2</v>
      </c>
      <c r="H1874" s="2" t="s">
        <v>3</v>
      </c>
    </row>
    <row r="1875">
      <c r="A1875" s="0" t="s">
        <v>4</v>
      </c>
      <c r="C1875" s="0" t="s">
        <v>104</v>
      </c>
      <c r="H1875" s="3" t="s">
        <v>6</v>
      </c>
    </row>
    <row r="1876">
      <c r="A1876" s="0" t="s">
        <v>7</v>
      </c>
      <c r="C1876" s="4" t="s">
        <v>8</v>
      </c>
      <c r="H1876" s="2" t="s">
        <v>9</v>
      </c>
    </row>
    <row r="1877">
      <c r="A1877" s="0" t="s">
        <v>10</v>
      </c>
      <c r="C1877" s="4" t="s">
        <v>11</v>
      </c>
      <c r="H1877" s="2" t="s">
        <v>12</v>
      </c>
    </row>
    <row r="1878">
      <c r="A1878" s="0" t="s">
        <v>13</v>
      </c>
      <c r="C1878" s="0" t="s">
        <v>14</v>
      </c>
    </row>
    <row r="1879">
      <c r="A1879" s="0" t="s">
        <v>15</v>
      </c>
      <c r="C1879" s="0" t="s">
        <v>16</v>
      </c>
    </row>
    <row r="1880">
      <c r="A1880" s="0" t="s">
        <v>17</v>
      </c>
      <c r="C1880" s="0" t="s">
        <v>18</v>
      </c>
    </row>
    <row r="1883">
      <c r="A1883" s="5" t="s">
        <v>19</v>
      </c>
      <c r="B1883" s="5" t="s">
        <v>20</v>
      </c>
      <c r="C1883" s="7" t="s">
        <v>21</v>
      </c>
      <c r="D1883" s="9"/>
      <c r="E1883" s="7" t="s">
        <v>22</v>
      </c>
      <c r="F1883" s="9"/>
      <c r="G1883" s="5" t="s">
        <v>23</v>
      </c>
      <c r="H1883" s="5" t="s">
        <v>24</v>
      </c>
      <c r="I1883" s="5" t="s">
        <v>25</v>
      </c>
      <c r="J1883" s="5" t="s">
        <v>26</v>
      </c>
    </row>
    <row r="1884">
      <c r="A1884" s="6"/>
      <c r="B1884" s="6"/>
      <c r="C1884" s="8" t="s">
        <v>27</v>
      </c>
      <c r="D1884" s="8" t="s">
        <v>28</v>
      </c>
      <c r="E1884" s="8" t="s">
        <v>27</v>
      </c>
      <c r="F1884" s="8" t="s">
        <v>28</v>
      </c>
      <c r="G1884" s="6"/>
      <c r="H1884" s="6"/>
      <c r="I1884" s="10" t="s">
        <v>29</v>
      </c>
      <c r="J1884" s="6"/>
    </row>
    <row r="1885">
      <c r="A1885" s="11" t="s">
        <v>30</v>
      </c>
      <c r="B1885" s="12">
        <v>3586.4187</v>
      </c>
      <c r="C1885" s="12">
        <v>0</v>
      </c>
      <c r="D1885" s="13">
        <v>0</v>
      </c>
      <c r="E1885" s="12">
        <v>0</v>
      </c>
      <c r="F1885" s="14">
        <v>0</v>
      </c>
      <c r="G1885" s="13">
        <v>28004.5791</v>
      </c>
      <c r="H1885" s="14">
        <v>100436146.169869</v>
      </c>
      <c r="I1885" s="14" t="e">
        <f>=Round(2262.68460000,0)</f>
        <v>#VALUE!</v>
      </c>
      <c r="J1885" s="14" t="e">
        <f>=Round(0.00000000,0)</f>
        <v>#VALUE!</v>
      </c>
    </row>
    <row r="1886">
      <c r="A1886" s="11" t="s">
        <v>31</v>
      </c>
      <c r="B1886" s="12">
        <v>3587.0477</v>
      </c>
      <c r="C1886" s="12">
        <v>0</v>
      </c>
      <c r="D1886" s="13">
        <v>0</v>
      </c>
      <c r="E1886" s="12">
        <v>0</v>
      </c>
      <c r="F1886" s="14">
        <v>0</v>
      </c>
      <c r="G1886" s="13">
        <v>28004.5791</v>
      </c>
      <c r="H1886" s="14">
        <v>100453761.050123</v>
      </c>
      <c r="I1886" s="14" t="e">
        <f>=Round(2263.92950000,0)</f>
        <v>#VALUE!</v>
      </c>
      <c r="J1886" s="14" t="e">
        <f>=Round(0.00000000,0)</f>
        <v>#VALUE!</v>
      </c>
    </row>
    <row r="1887">
      <c r="A1887" s="11" t="s">
        <v>32</v>
      </c>
      <c r="B1887" s="12">
        <v>3587.6685</v>
      </c>
      <c r="C1887" s="12">
        <v>0</v>
      </c>
      <c r="D1887" s="13">
        <v>0</v>
      </c>
      <c r="E1887" s="12">
        <v>0</v>
      </c>
      <c r="F1887" s="14">
        <v>0</v>
      </c>
      <c r="G1887" s="13">
        <v>28004.5791</v>
      </c>
      <c r="H1887" s="14">
        <v>100471146.292828</v>
      </c>
      <c r="I1887" s="14" t="e">
        <f>=Round(2264.32660000,0)</f>
        <v>#VALUE!</v>
      </c>
      <c r="J1887" s="14" t="e">
        <f>=Round(0.00000000,0)</f>
        <v>#VALUE!</v>
      </c>
    </row>
    <row r="1888">
      <c r="A1888" s="11" t="s">
        <v>33</v>
      </c>
      <c r="B1888" s="12">
        <v>3588.3573</v>
      </c>
      <c r="C1888" s="12">
        <v>0</v>
      </c>
      <c r="D1888" s="13">
        <v>0</v>
      </c>
      <c r="E1888" s="12">
        <v>0</v>
      </c>
      <c r="F1888" s="14">
        <v>0</v>
      </c>
      <c r="G1888" s="13">
        <v>28004.5791</v>
      </c>
      <c r="H1888" s="14">
        <v>100490435.846912</v>
      </c>
      <c r="I1888" s="14" t="e">
        <f>=Round(2264.71850000,0)</f>
        <v>#VALUE!</v>
      </c>
      <c r="J1888" s="14" t="e">
        <f>=Round(0.00000000,0)</f>
        <v>#VALUE!</v>
      </c>
    </row>
    <row r="1889">
      <c r="A1889" s="11" t="s">
        <v>34</v>
      </c>
      <c r="B1889" s="12">
        <v>3589.0109</v>
      </c>
      <c r="C1889" s="12">
        <v>0</v>
      </c>
      <c r="D1889" s="13">
        <v>0</v>
      </c>
      <c r="E1889" s="12">
        <v>0</v>
      </c>
      <c r="F1889" s="14">
        <v>0</v>
      </c>
      <c r="G1889" s="13">
        <v>28004.5791</v>
      </c>
      <c r="H1889" s="14">
        <v>100508739.639812</v>
      </c>
      <c r="I1889" s="14" t="e">
        <f>=Round(2265.15330000,0)</f>
        <v>#VALUE!</v>
      </c>
      <c r="J1889" s="14" t="e">
        <f>=Round(0.00000000,0)</f>
        <v>#VALUE!</v>
      </c>
    </row>
    <row r="1890">
      <c r="A1890" s="11" t="s">
        <v>35</v>
      </c>
      <c r="B1890" s="12">
        <v>3589.0109</v>
      </c>
      <c r="C1890" s="12">
        <v>0</v>
      </c>
      <c r="D1890" s="13">
        <v>0</v>
      </c>
      <c r="E1890" s="12">
        <v>0</v>
      </c>
      <c r="F1890" s="14">
        <v>0</v>
      </c>
      <c r="G1890" s="13">
        <v>28004.5791</v>
      </c>
      <c r="H1890" s="14">
        <v>100508739.639812</v>
      </c>
      <c r="I1890" s="14" t="e">
        <f>=Round(2265.56590000,0)</f>
        <v>#VALUE!</v>
      </c>
      <c r="J1890" s="14" t="e">
        <f>=Round(0.00000000,0)</f>
        <v>#VALUE!</v>
      </c>
    </row>
    <row r="1891">
      <c r="A1891" s="11" t="s">
        <v>36</v>
      </c>
      <c r="B1891" s="12">
        <v>3589.0109</v>
      </c>
      <c r="C1891" s="12">
        <v>0</v>
      </c>
      <c r="D1891" s="13">
        <v>0</v>
      </c>
      <c r="E1891" s="12">
        <v>0</v>
      </c>
      <c r="F1891" s="14">
        <v>0</v>
      </c>
      <c r="G1891" s="13">
        <v>28004.5791</v>
      </c>
      <c r="H1891" s="14">
        <v>100508739.639812</v>
      </c>
      <c r="I1891" s="14" t="e">
        <f>=Round(2265.56590000,0)</f>
        <v>#VALUE!</v>
      </c>
      <c r="J1891" s="14" t="e">
        <f>=Round(0.00000000,0)</f>
        <v>#VALUE!</v>
      </c>
    </row>
    <row r="1892">
      <c r="A1892" s="11" t="s">
        <v>37</v>
      </c>
      <c r="B1892" s="12">
        <v>3590.972</v>
      </c>
      <c r="C1892" s="12">
        <v>0</v>
      </c>
      <c r="D1892" s="13">
        <v>0</v>
      </c>
      <c r="E1892" s="12">
        <v>0</v>
      </c>
      <c r="F1892" s="14">
        <v>0</v>
      </c>
      <c r="G1892" s="13">
        <v>28004.5791</v>
      </c>
      <c r="H1892" s="14">
        <v>100563659.419885</v>
      </c>
      <c r="I1892" s="14" t="e">
        <f>=Round(2265.56590000,0)</f>
        <v>#VALUE!</v>
      </c>
      <c r="J1892" s="14" t="e">
        <f>=Round(0.00000000,0)</f>
        <v>#VALUE!</v>
      </c>
    </row>
    <row r="1893">
      <c r="A1893" s="11" t="s">
        <v>38</v>
      </c>
      <c r="B1893" s="12">
        <v>3591.6235</v>
      </c>
      <c r="C1893" s="12">
        <v>0</v>
      </c>
      <c r="D1893" s="13">
        <v>0</v>
      </c>
      <c r="E1893" s="12">
        <v>0</v>
      </c>
      <c r="F1893" s="14">
        <v>0</v>
      </c>
      <c r="G1893" s="13">
        <v>28004.5791</v>
      </c>
      <c r="H1893" s="14">
        <v>100581904.403169</v>
      </c>
      <c r="I1893" s="14" t="e">
        <f>=Round(2266.80380000,0)</f>
        <v>#VALUE!</v>
      </c>
      <c r="J1893" s="14" t="e">
        <f>=Round(0.00000000,0)</f>
        <v>#VALUE!</v>
      </c>
    </row>
    <row r="1894">
      <c r="A1894" s="11" t="s">
        <v>39</v>
      </c>
      <c r="B1894" s="12">
        <v>3592.281</v>
      </c>
      <c r="C1894" s="12">
        <v>0</v>
      </c>
      <c r="D1894" s="13">
        <v>0</v>
      </c>
      <c r="E1894" s="12">
        <v>0</v>
      </c>
      <c r="F1894" s="14">
        <v>0</v>
      </c>
      <c r="G1894" s="13">
        <v>28004.5791</v>
      </c>
      <c r="H1894" s="14">
        <v>100600317.413927</v>
      </c>
      <c r="I1894" s="14" t="e">
        <f>=Round(2267.21510000,0)</f>
        <v>#VALUE!</v>
      </c>
      <c r="J1894" s="14" t="e">
        <f>=Round(0.00000000,0)</f>
        <v>#VALUE!</v>
      </c>
    </row>
    <row r="1895">
      <c r="A1895" s="11" t="s">
        <v>40</v>
      </c>
      <c r="B1895" s="12">
        <v>3592.9125</v>
      </c>
      <c r="C1895" s="12">
        <v>0</v>
      </c>
      <c r="D1895" s="13">
        <v>0</v>
      </c>
      <c r="E1895" s="12">
        <v>0</v>
      </c>
      <c r="F1895" s="14">
        <v>0</v>
      </c>
      <c r="G1895" s="13">
        <v>28004.5791</v>
      </c>
      <c r="H1895" s="14">
        <v>100618002.305629</v>
      </c>
      <c r="I1895" s="14" t="e">
        <f>=Round(2267.63010000,0)</f>
        <v>#VALUE!</v>
      </c>
      <c r="J1895" s="14" t="e">
        <f>=Round(0.00000000,0)</f>
        <v>#VALUE!</v>
      </c>
    </row>
    <row r="1896">
      <c r="A1896" s="11" t="s">
        <v>41</v>
      </c>
      <c r="B1896" s="12">
        <v>3593.5674</v>
      </c>
      <c r="C1896" s="12">
        <v>0</v>
      </c>
      <c r="D1896" s="13">
        <v>0</v>
      </c>
      <c r="E1896" s="12">
        <v>0</v>
      </c>
      <c r="F1896" s="14">
        <v>0</v>
      </c>
      <c r="G1896" s="13">
        <v>28004.5791</v>
      </c>
      <c r="H1896" s="14">
        <v>100636342.504481</v>
      </c>
      <c r="I1896" s="14" t="e">
        <f>=Round(2268.02870000,0)</f>
        <v>#VALUE!</v>
      </c>
      <c r="J1896" s="14" t="e">
        <f>=Round(0.00000000,0)</f>
        <v>#VALUE!</v>
      </c>
    </row>
    <row r="1897">
      <c r="A1897" s="11" t="s">
        <v>42</v>
      </c>
      <c r="B1897" s="12">
        <v>3593.5674</v>
      </c>
      <c r="C1897" s="12">
        <v>0</v>
      </c>
      <c r="D1897" s="13">
        <v>0</v>
      </c>
      <c r="E1897" s="12">
        <v>0</v>
      </c>
      <c r="F1897" s="14">
        <v>0</v>
      </c>
      <c r="G1897" s="13">
        <v>28004.5791</v>
      </c>
      <c r="H1897" s="14">
        <v>100636342.504481</v>
      </c>
      <c r="I1897" s="14" t="e">
        <f>=Round(2268.44210000,0)</f>
        <v>#VALUE!</v>
      </c>
      <c r="J1897" s="14" t="e">
        <f>=Round(0.00000000,0)</f>
        <v>#VALUE!</v>
      </c>
    </row>
    <row r="1898">
      <c r="A1898" s="11" t="s">
        <v>43</v>
      </c>
      <c r="B1898" s="12">
        <v>3593.5674</v>
      </c>
      <c r="C1898" s="12">
        <v>0</v>
      </c>
      <c r="D1898" s="13">
        <v>0</v>
      </c>
      <c r="E1898" s="12">
        <v>0</v>
      </c>
      <c r="F1898" s="14">
        <v>0</v>
      </c>
      <c r="G1898" s="13">
        <v>28004.5791</v>
      </c>
      <c r="H1898" s="14">
        <v>100636342.504481</v>
      </c>
      <c r="I1898" s="14" t="e">
        <f>=Round(2268.44210000,0)</f>
        <v>#VALUE!</v>
      </c>
      <c r="J1898" s="14" t="e">
        <f>=Round(0.00000000,0)</f>
        <v>#VALUE!</v>
      </c>
    </row>
    <row r="1899">
      <c r="A1899" s="11" t="s">
        <v>44</v>
      </c>
      <c r="B1899" s="12">
        <v>3595.5366</v>
      </c>
      <c r="C1899" s="12">
        <v>0</v>
      </c>
      <c r="D1899" s="13">
        <v>0</v>
      </c>
      <c r="E1899" s="12">
        <v>0</v>
      </c>
      <c r="F1899" s="14">
        <v>0</v>
      </c>
      <c r="G1899" s="13">
        <v>28004.5791</v>
      </c>
      <c r="H1899" s="14">
        <v>100691489.121645</v>
      </c>
      <c r="I1899" s="14" t="e">
        <f>=Round(2268.44210000,0)</f>
        <v>#VALUE!</v>
      </c>
      <c r="J1899" s="14" t="e">
        <f>=Round(0.00000000,0)</f>
        <v>#VALUE!</v>
      </c>
    </row>
    <row r="1900">
      <c r="A1900" s="11" t="s">
        <v>45</v>
      </c>
      <c r="B1900" s="12">
        <v>3596.1915</v>
      </c>
      <c r="C1900" s="12">
        <v>0</v>
      </c>
      <c r="D1900" s="13">
        <v>0</v>
      </c>
      <c r="E1900" s="12">
        <v>0</v>
      </c>
      <c r="F1900" s="14">
        <v>0</v>
      </c>
      <c r="G1900" s="13">
        <v>28004.5791</v>
      </c>
      <c r="H1900" s="14">
        <v>100709829.320498</v>
      </c>
      <c r="I1900" s="14" t="e">
        <f>=Round(2269.68520000,0)</f>
        <v>#VALUE!</v>
      </c>
      <c r="J1900" s="14" t="e">
        <f>=Round(0.00000000,0)</f>
        <v>#VALUE!</v>
      </c>
    </row>
    <row r="1901">
      <c r="A1901" s="11" t="s">
        <v>46</v>
      </c>
      <c r="B1901" s="12">
        <v>3596.8461</v>
      </c>
      <c r="C1901" s="12">
        <v>0</v>
      </c>
      <c r="D1901" s="13">
        <v>0</v>
      </c>
      <c r="E1901" s="12">
        <v>0</v>
      </c>
      <c r="F1901" s="14">
        <v>0</v>
      </c>
      <c r="G1901" s="13">
        <v>28004.5791</v>
      </c>
      <c r="H1901" s="14">
        <v>100728161.117977</v>
      </c>
      <c r="I1901" s="14" t="e">
        <f>=Round(2270.09860000,0)</f>
        <v>#VALUE!</v>
      </c>
      <c r="J1901" s="14" t="e">
        <f>=Round(0.00000000,0)</f>
        <v>#VALUE!</v>
      </c>
    </row>
    <row r="1902">
      <c r="A1902" s="11" t="s">
        <v>47</v>
      </c>
      <c r="B1902" s="12">
        <v>3597.4992</v>
      </c>
      <c r="C1902" s="12">
        <v>0</v>
      </c>
      <c r="D1902" s="13">
        <v>0</v>
      </c>
      <c r="E1902" s="12">
        <v>0</v>
      </c>
      <c r="F1902" s="14">
        <v>0</v>
      </c>
      <c r="G1902" s="13">
        <v>28004.5791</v>
      </c>
      <c r="H1902" s="14">
        <v>100746450.908587</v>
      </c>
      <c r="I1902" s="14" t="e">
        <f>=Round(2270.51180000,0)</f>
        <v>#VALUE!</v>
      </c>
      <c r="J1902" s="14" t="e">
        <f>=Round(0.00000000,0)</f>
        <v>#VALUE!</v>
      </c>
    </row>
    <row r="1903">
      <c r="A1903" s="11" t="s">
        <v>48</v>
      </c>
      <c r="B1903" s="12">
        <v>3598.1558</v>
      </c>
      <c r="C1903" s="12">
        <v>0</v>
      </c>
      <c r="D1903" s="13">
        <v>0</v>
      </c>
      <c r="E1903" s="12">
        <v>0</v>
      </c>
      <c r="F1903" s="14">
        <v>0</v>
      </c>
      <c r="G1903" s="13">
        <v>28004.5791</v>
      </c>
      <c r="H1903" s="14">
        <v>100764838.715224</v>
      </c>
      <c r="I1903" s="14" t="e">
        <f>=Round(2270.92410000,0)</f>
        <v>#VALUE!</v>
      </c>
      <c r="J1903" s="14" t="e">
        <f>=Round(0.00000000,0)</f>
        <v>#VALUE!</v>
      </c>
    </row>
    <row r="1904">
      <c r="A1904" s="11" t="s">
        <v>49</v>
      </c>
      <c r="B1904" s="12">
        <v>3598.1558</v>
      </c>
      <c r="C1904" s="12">
        <v>0</v>
      </c>
      <c r="D1904" s="13">
        <v>0</v>
      </c>
      <c r="E1904" s="12">
        <v>0</v>
      </c>
      <c r="F1904" s="14">
        <v>0</v>
      </c>
      <c r="G1904" s="13">
        <v>28004.5791</v>
      </c>
      <c r="H1904" s="14">
        <v>100764838.715224</v>
      </c>
      <c r="I1904" s="14" t="e">
        <f>=Round(2271.33860000,0)</f>
        <v>#VALUE!</v>
      </c>
      <c r="J1904" s="14" t="e">
        <f>=Round(0.00000000,0)</f>
        <v>#VALUE!</v>
      </c>
    </row>
    <row r="1905">
      <c r="A1905" s="11" t="s">
        <v>50</v>
      </c>
      <c r="B1905" s="12">
        <v>3598.1558</v>
      </c>
      <c r="C1905" s="12">
        <v>0</v>
      </c>
      <c r="D1905" s="13">
        <v>0</v>
      </c>
      <c r="E1905" s="12">
        <v>0</v>
      </c>
      <c r="F1905" s="14">
        <v>0</v>
      </c>
      <c r="G1905" s="13">
        <v>28004.5791</v>
      </c>
      <c r="H1905" s="14">
        <v>100764838.715224</v>
      </c>
      <c r="I1905" s="14" t="e">
        <f>=Round(2271.33860000,0)</f>
        <v>#VALUE!</v>
      </c>
      <c r="J1905" s="14" t="e">
        <f>=Round(0.00000000,0)</f>
        <v>#VALUE!</v>
      </c>
    </row>
    <row r="1906">
      <c r="A1906" s="11" t="s">
        <v>51</v>
      </c>
      <c r="B1906" s="12">
        <v>3600.124</v>
      </c>
      <c r="C1906" s="12">
        <v>0</v>
      </c>
      <c r="D1906" s="13">
        <v>0</v>
      </c>
      <c r="E1906" s="12">
        <v>0</v>
      </c>
      <c r="F1906" s="14">
        <v>0</v>
      </c>
      <c r="G1906" s="13">
        <v>28004.5791</v>
      </c>
      <c r="H1906" s="14">
        <v>100819957.327808</v>
      </c>
      <c r="I1906" s="14" t="e">
        <f>=Round(2271.33860000,0)</f>
        <v>#VALUE!</v>
      </c>
      <c r="J1906" s="14" t="e">
        <f>=Round(0.00000000,0)</f>
        <v>#VALUE!</v>
      </c>
    </row>
    <row r="1907">
      <c r="A1907" s="11" t="s">
        <v>52</v>
      </c>
      <c r="B1907" s="12">
        <v>3600.7905</v>
      </c>
      <c r="C1907" s="12">
        <v>0</v>
      </c>
      <c r="D1907" s="13">
        <v>0</v>
      </c>
      <c r="E1907" s="12">
        <v>0</v>
      </c>
      <c r="F1907" s="14">
        <v>0</v>
      </c>
      <c r="G1907" s="13">
        <v>28004.5791</v>
      </c>
      <c r="H1907" s="14">
        <v>100838622.379779</v>
      </c>
      <c r="I1907" s="14" t="e">
        <f>=Round(2272.58100000,0)</f>
        <v>#VALUE!</v>
      </c>
      <c r="J1907" s="14" t="e">
        <f>=Round(0.00000000,0)</f>
        <v>#VALUE!</v>
      </c>
    </row>
    <row r="1908">
      <c r="A1908" s="11" t="s">
        <v>53</v>
      </c>
      <c r="B1908" s="12">
        <v>3601.445</v>
      </c>
      <c r="C1908" s="12">
        <v>0</v>
      </c>
      <c r="D1908" s="13">
        <v>0</v>
      </c>
      <c r="E1908" s="12">
        <v>0</v>
      </c>
      <c r="F1908" s="14">
        <v>0</v>
      </c>
      <c r="G1908" s="13">
        <v>28004.5791</v>
      </c>
      <c r="H1908" s="14">
        <v>100856951.3768</v>
      </c>
      <c r="I1908" s="14" t="e">
        <f>=Round(2273.00170000,0)</f>
        <v>#VALUE!</v>
      </c>
      <c r="J1908" s="14" t="e">
        <f>=Round(0.00000000,0)</f>
        <v>#VALUE!</v>
      </c>
    </row>
    <row r="1909">
      <c r="A1909" s="11" t="s">
        <v>54</v>
      </c>
      <c r="B1909" s="12">
        <v>3602.0851</v>
      </c>
      <c r="C1909" s="12">
        <v>0</v>
      </c>
      <c r="D1909" s="13">
        <v>0</v>
      </c>
      <c r="E1909" s="12">
        <v>0</v>
      </c>
      <c r="F1909" s="14">
        <v>0</v>
      </c>
      <c r="G1909" s="13">
        <v>28004.5791</v>
      </c>
      <c r="H1909" s="14">
        <v>100874877.107881</v>
      </c>
      <c r="I1909" s="14" t="e">
        <f>=Round(2273.41490000,0)</f>
        <v>#VALUE!</v>
      </c>
      <c r="J1909" s="14" t="e">
        <f>=Round(0.00000000,0)</f>
        <v>#VALUE!</v>
      </c>
    </row>
    <row r="1910">
      <c r="A1910" s="11" t="s">
        <v>55</v>
      </c>
      <c r="B1910" s="12">
        <v>3602.7417</v>
      </c>
      <c r="C1910" s="12">
        <v>0</v>
      </c>
      <c r="D1910" s="13">
        <v>0</v>
      </c>
      <c r="E1910" s="12">
        <v>0</v>
      </c>
      <c r="F1910" s="14">
        <v>0</v>
      </c>
      <c r="G1910" s="13">
        <v>28004.5791</v>
      </c>
      <c r="H1910" s="14">
        <v>100893264.914518</v>
      </c>
      <c r="I1910" s="14" t="e">
        <f>=Round(2273.81900000,0)</f>
        <v>#VALUE!</v>
      </c>
      <c r="J1910" s="14" t="e">
        <f>=Round(0.00000000,0)</f>
        <v>#VALUE!</v>
      </c>
    </row>
    <row r="1911" ht="-1">
      <c r="A1911" s="15"/>
      <c r="B1911" s="16" t="s">
        <v>56</v>
      </c>
      <c r="C1911" s="15"/>
      <c r="D1911" s="15"/>
      <c r="E1911" s="15"/>
      <c r="F1911" s="15"/>
      <c r="G1911" s="15"/>
      <c r="H1911" s="15"/>
      <c r="I1911" s="17" t="e">
        <f>=Round(SUM(I1885:I1910),0)</f>
        <v>#VALUE!</v>
      </c>
      <c r="J1911" s="17" t="e">
        <f>=Round(SUM(J1885:J1910),0)</f>
        <v>#VALUE!</v>
      </c>
    </row>
    <row r="1912">
      <c r="A1912" s="1" t="s">
        <v>0</v>
      </c>
      <c r="B1912" s="1"/>
      <c r="C1912" s="1"/>
      <c r="D1912" s="1"/>
    </row>
    <row r="1913">
      <c r="A1913" s="0" t="s">
        <v>1</v>
      </c>
      <c r="C1913" s="0" t="s">
        <v>2</v>
      </c>
      <c r="H1913" s="2" t="s">
        <v>3</v>
      </c>
    </row>
    <row r="1914">
      <c r="A1914" s="0" t="s">
        <v>4</v>
      </c>
      <c r="C1914" s="0" t="s">
        <v>105</v>
      </c>
      <c r="H1914" s="3" t="s">
        <v>6</v>
      </c>
    </row>
    <row r="1915">
      <c r="A1915" s="0" t="s">
        <v>7</v>
      </c>
      <c r="C1915" s="4" t="s">
        <v>8</v>
      </c>
      <c r="H1915" s="2" t="s">
        <v>9</v>
      </c>
    </row>
    <row r="1916">
      <c r="A1916" s="0" t="s">
        <v>10</v>
      </c>
      <c r="C1916" s="4" t="s">
        <v>11</v>
      </c>
      <c r="H1916" s="2" t="s">
        <v>12</v>
      </c>
    </row>
    <row r="1917">
      <c r="A1917" s="0" t="s">
        <v>13</v>
      </c>
      <c r="C1917" s="0" t="s">
        <v>14</v>
      </c>
    </row>
    <row r="1918">
      <c r="A1918" s="0" t="s">
        <v>15</v>
      </c>
      <c r="C1918" s="0" t="s">
        <v>16</v>
      </c>
    </row>
    <row r="1919">
      <c r="A1919" s="0" t="s">
        <v>17</v>
      </c>
      <c r="C1919" s="0" t="s">
        <v>18</v>
      </c>
    </row>
    <row r="1922">
      <c r="A1922" s="5" t="s">
        <v>19</v>
      </c>
      <c r="B1922" s="5" t="s">
        <v>20</v>
      </c>
      <c r="C1922" s="7" t="s">
        <v>21</v>
      </c>
      <c r="D1922" s="9"/>
      <c r="E1922" s="7" t="s">
        <v>22</v>
      </c>
      <c r="F1922" s="9"/>
      <c r="G1922" s="5" t="s">
        <v>23</v>
      </c>
      <c r="H1922" s="5" t="s">
        <v>24</v>
      </c>
      <c r="I1922" s="5" t="s">
        <v>25</v>
      </c>
      <c r="J1922" s="5" t="s">
        <v>26</v>
      </c>
    </row>
    <row r="1923">
      <c r="A1923" s="6"/>
      <c r="B1923" s="6"/>
      <c r="C1923" s="8" t="s">
        <v>27</v>
      </c>
      <c r="D1923" s="8" t="s">
        <v>28</v>
      </c>
      <c r="E1923" s="8" t="s">
        <v>27</v>
      </c>
      <c r="F1923" s="8" t="s">
        <v>28</v>
      </c>
      <c r="G1923" s="6"/>
      <c r="H1923" s="6"/>
      <c r="I1923" s="10" t="s">
        <v>29</v>
      </c>
      <c r="J1923" s="6"/>
    </row>
    <row r="1924">
      <c r="A1924" s="11" t="s">
        <v>30</v>
      </c>
      <c r="B1924" s="12">
        <v>3586.4187</v>
      </c>
      <c r="C1924" s="12">
        <v>0</v>
      </c>
      <c r="D1924" s="13">
        <v>0</v>
      </c>
      <c r="E1924" s="12">
        <v>0</v>
      </c>
      <c r="F1924" s="14">
        <v>0</v>
      </c>
      <c r="G1924" s="13">
        <v>151398.0841</v>
      </c>
      <c r="H1924" s="14">
        <v>542976919.960413</v>
      </c>
      <c r="I1924" s="14" t="e">
        <f>=Round(12232.50340000,0)</f>
        <v>#VALUE!</v>
      </c>
      <c r="J1924" s="14" t="e">
        <f>=Round(0.00000000,0)</f>
        <v>#VALUE!</v>
      </c>
    </row>
    <row r="1925">
      <c r="A1925" s="11" t="s">
        <v>31</v>
      </c>
      <c r="B1925" s="12">
        <v>3587.0477</v>
      </c>
      <c r="C1925" s="12">
        <v>0</v>
      </c>
      <c r="D1925" s="13">
        <v>0</v>
      </c>
      <c r="E1925" s="12">
        <v>0</v>
      </c>
      <c r="F1925" s="14">
        <v>0</v>
      </c>
      <c r="G1925" s="13">
        <v>151398.0841</v>
      </c>
      <c r="H1925" s="14">
        <v>543072149.355312</v>
      </c>
      <c r="I1925" s="14" t="e">
        <f>=Round(12239.23390000,0)</f>
        <v>#VALUE!</v>
      </c>
      <c r="J1925" s="14" t="e">
        <f>=Round(0.00000000,0)</f>
        <v>#VALUE!</v>
      </c>
    </row>
    <row r="1926">
      <c r="A1926" s="11" t="s">
        <v>32</v>
      </c>
      <c r="B1926" s="12">
        <v>3587.6685</v>
      </c>
      <c r="C1926" s="12">
        <v>0</v>
      </c>
      <c r="D1926" s="13">
        <v>0</v>
      </c>
      <c r="E1926" s="12">
        <v>0</v>
      </c>
      <c r="F1926" s="14">
        <v>0</v>
      </c>
      <c r="G1926" s="13">
        <v>151398.0841</v>
      </c>
      <c r="H1926" s="14">
        <v>543166137.285921</v>
      </c>
      <c r="I1926" s="14" t="e">
        <f>=Round(12241.38040000,0)</f>
        <v>#VALUE!</v>
      </c>
      <c r="J1926" s="14" t="e">
        <f>=Round(0.00000000,0)</f>
        <v>#VALUE!</v>
      </c>
    </row>
    <row r="1927">
      <c r="A1927" s="11" t="s">
        <v>33</v>
      </c>
      <c r="B1927" s="12">
        <v>3588.3573</v>
      </c>
      <c r="C1927" s="12">
        <v>0</v>
      </c>
      <c r="D1927" s="13">
        <v>0</v>
      </c>
      <c r="E1927" s="12">
        <v>0</v>
      </c>
      <c r="F1927" s="14">
        <v>0</v>
      </c>
      <c r="G1927" s="13">
        <v>151398.0841</v>
      </c>
      <c r="H1927" s="14">
        <v>543270420.286249</v>
      </c>
      <c r="I1927" s="14" t="e">
        <f>=Round(12243.49900000,0)</f>
        <v>#VALUE!</v>
      </c>
      <c r="J1927" s="14" t="e">
        <f>=Round(0.00000000,0)</f>
        <v>#VALUE!</v>
      </c>
    </row>
    <row r="1928">
      <c r="A1928" s="11" t="s">
        <v>34</v>
      </c>
      <c r="B1928" s="12">
        <v>3589.0109</v>
      </c>
      <c r="C1928" s="12">
        <v>0</v>
      </c>
      <c r="D1928" s="13">
        <v>0</v>
      </c>
      <c r="E1928" s="12">
        <v>0</v>
      </c>
      <c r="F1928" s="14">
        <v>0</v>
      </c>
      <c r="G1928" s="13">
        <v>151398.0841</v>
      </c>
      <c r="H1928" s="14">
        <v>543369374.074017</v>
      </c>
      <c r="I1928" s="14" t="e">
        <f>=Round(12245.84960000,0)</f>
        <v>#VALUE!</v>
      </c>
      <c r="J1928" s="14" t="e">
        <f>=Round(0.00000000,0)</f>
        <v>#VALUE!</v>
      </c>
    </row>
    <row r="1929">
      <c r="A1929" s="11" t="s">
        <v>35</v>
      </c>
      <c r="B1929" s="12">
        <v>3589.0109</v>
      </c>
      <c r="C1929" s="12">
        <v>0</v>
      </c>
      <c r="D1929" s="13">
        <v>0</v>
      </c>
      <c r="E1929" s="12">
        <v>0</v>
      </c>
      <c r="F1929" s="14">
        <v>0</v>
      </c>
      <c r="G1929" s="13">
        <v>151398.0841</v>
      </c>
      <c r="H1929" s="14">
        <v>543369374.074017</v>
      </c>
      <c r="I1929" s="14" t="e">
        <f>=Round(12248.08020000,0)</f>
        <v>#VALUE!</v>
      </c>
      <c r="J1929" s="14" t="e">
        <f>=Round(0.00000000,0)</f>
        <v>#VALUE!</v>
      </c>
    </row>
    <row r="1930">
      <c r="A1930" s="11" t="s">
        <v>36</v>
      </c>
      <c r="B1930" s="12">
        <v>3589.0109</v>
      </c>
      <c r="C1930" s="12">
        <v>0</v>
      </c>
      <c r="D1930" s="13">
        <v>0</v>
      </c>
      <c r="E1930" s="12">
        <v>0</v>
      </c>
      <c r="F1930" s="14">
        <v>0</v>
      </c>
      <c r="G1930" s="13">
        <v>151398.0841</v>
      </c>
      <c r="H1930" s="14">
        <v>543369374.074017</v>
      </c>
      <c r="I1930" s="14" t="e">
        <f>=Round(12248.08020000,0)</f>
        <v>#VALUE!</v>
      </c>
      <c r="J1930" s="14" t="e">
        <f>=Round(0.00000000,0)</f>
        <v>#VALUE!</v>
      </c>
    </row>
    <row r="1931">
      <c r="A1931" s="11" t="s">
        <v>37</v>
      </c>
      <c r="B1931" s="12">
        <v>3590.972</v>
      </c>
      <c r="C1931" s="12">
        <v>0</v>
      </c>
      <c r="D1931" s="13">
        <v>0</v>
      </c>
      <c r="E1931" s="12">
        <v>0</v>
      </c>
      <c r="F1931" s="14">
        <v>0</v>
      </c>
      <c r="G1931" s="13">
        <v>151398.0841</v>
      </c>
      <c r="H1931" s="14">
        <v>543666280.856745</v>
      </c>
      <c r="I1931" s="14" t="e">
        <f>=Round(12248.08020000,0)</f>
        <v>#VALUE!</v>
      </c>
      <c r="J1931" s="14" t="e">
        <f>=Round(0.00000000,0)</f>
        <v>#VALUE!</v>
      </c>
    </row>
    <row r="1932">
      <c r="A1932" s="11" t="s">
        <v>38</v>
      </c>
      <c r="B1932" s="12">
        <v>3591.6235</v>
      </c>
      <c r="C1932" s="12">
        <v>0</v>
      </c>
      <c r="D1932" s="13">
        <v>0</v>
      </c>
      <c r="E1932" s="12">
        <v>0</v>
      </c>
      <c r="F1932" s="14">
        <v>0</v>
      </c>
      <c r="G1932" s="13">
        <v>151398.0841</v>
      </c>
      <c r="H1932" s="14">
        <v>543764916.708536</v>
      </c>
      <c r="I1932" s="14" t="e">
        <f>=Round(12254.77270000,0)</f>
        <v>#VALUE!</v>
      </c>
      <c r="J1932" s="14" t="e">
        <f>=Round(0.00000000,0)</f>
        <v>#VALUE!</v>
      </c>
    </row>
    <row r="1933">
      <c r="A1933" s="11" t="s">
        <v>39</v>
      </c>
      <c r="B1933" s="12">
        <v>3592.281</v>
      </c>
      <c r="C1933" s="12">
        <v>0</v>
      </c>
      <c r="D1933" s="13">
        <v>0</v>
      </c>
      <c r="E1933" s="12">
        <v>0</v>
      </c>
      <c r="F1933" s="14">
        <v>0</v>
      </c>
      <c r="G1933" s="13">
        <v>151398.0841</v>
      </c>
      <c r="H1933" s="14">
        <v>543864460.948832</v>
      </c>
      <c r="I1933" s="14" t="e">
        <f>=Round(12256.99610000,0)</f>
        <v>#VALUE!</v>
      </c>
      <c r="J1933" s="14" t="e">
        <f>=Round(0.00000000,0)</f>
        <v>#VALUE!</v>
      </c>
    </row>
    <row r="1934">
      <c r="A1934" s="11" t="s">
        <v>40</v>
      </c>
      <c r="B1934" s="12">
        <v>3592.9125</v>
      </c>
      <c r="C1934" s="12">
        <v>0</v>
      </c>
      <c r="D1934" s="13">
        <v>0</v>
      </c>
      <c r="E1934" s="12">
        <v>0</v>
      </c>
      <c r="F1934" s="14">
        <v>0</v>
      </c>
      <c r="G1934" s="13">
        <v>151398.0841</v>
      </c>
      <c r="H1934" s="14">
        <v>543960068.838941</v>
      </c>
      <c r="I1934" s="14" t="e">
        <f>=Round(12259.23990000,0)</f>
        <v>#VALUE!</v>
      </c>
      <c r="J1934" s="14" t="e">
        <f>=Round(0.00000000,0)</f>
        <v>#VALUE!</v>
      </c>
    </row>
    <row r="1935">
      <c r="A1935" s="11" t="s">
        <v>41</v>
      </c>
      <c r="B1935" s="12">
        <v>3593.5674</v>
      </c>
      <c r="C1935" s="12">
        <v>0</v>
      </c>
      <c r="D1935" s="13">
        <v>0</v>
      </c>
      <c r="E1935" s="12">
        <v>0</v>
      </c>
      <c r="F1935" s="14">
        <v>0</v>
      </c>
      <c r="G1935" s="13">
        <v>151398.0841</v>
      </c>
      <c r="H1935" s="14">
        <v>544059219.444218</v>
      </c>
      <c r="I1935" s="14" t="e">
        <f>=Round(12261.39500000,0)</f>
        <v>#VALUE!</v>
      </c>
      <c r="J1935" s="14" t="e">
        <f>=Round(0.00000000,0)</f>
        <v>#VALUE!</v>
      </c>
    </row>
    <row r="1936">
      <c r="A1936" s="11" t="s">
        <v>42</v>
      </c>
      <c r="B1936" s="12">
        <v>3593.5674</v>
      </c>
      <c r="C1936" s="12">
        <v>0</v>
      </c>
      <c r="D1936" s="13">
        <v>0</v>
      </c>
      <c r="E1936" s="12">
        <v>0</v>
      </c>
      <c r="F1936" s="14">
        <v>0</v>
      </c>
      <c r="G1936" s="13">
        <v>151398.0841</v>
      </c>
      <c r="H1936" s="14">
        <v>544059219.444218</v>
      </c>
      <c r="I1936" s="14" t="e">
        <f>=Round(12263.62990000,0)</f>
        <v>#VALUE!</v>
      </c>
      <c r="J1936" s="14" t="e">
        <f>=Round(0.00000000,0)</f>
        <v>#VALUE!</v>
      </c>
    </row>
    <row r="1937">
      <c r="A1937" s="11" t="s">
        <v>43</v>
      </c>
      <c r="B1937" s="12">
        <v>3593.5674</v>
      </c>
      <c r="C1937" s="12">
        <v>0</v>
      </c>
      <c r="D1937" s="13">
        <v>0</v>
      </c>
      <c r="E1937" s="12">
        <v>0</v>
      </c>
      <c r="F1937" s="14">
        <v>0</v>
      </c>
      <c r="G1937" s="13">
        <v>151398.0841</v>
      </c>
      <c r="H1937" s="14">
        <v>544059219.444218</v>
      </c>
      <c r="I1937" s="14" t="e">
        <f>=Round(12263.62990000,0)</f>
        <v>#VALUE!</v>
      </c>
      <c r="J1937" s="14" t="e">
        <f>=Round(0.00000000,0)</f>
        <v>#VALUE!</v>
      </c>
    </row>
    <row r="1938">
      <c r="A1938" s="11" t="s">
        <v>44</v>
      </c>
      <c r="B1938" s="12">
        <v>3595.5366</v>
      </c>
      <c r="C1938" s="12">
        <v>0</v>
      </c>
      <c r="D1938" s="13">
        <v>0</v>
      </c>
      <c r="E1938" s="12">
        <v>0</v>
      </c>
      <c r="F1938" s="14">
        <v>0</v>
      </c>
      <c r="G1938" s="13">
        <v>151398.0841</v>
      </c>
      <c r="H1938" s="14">
        <v>544357352.551428</v>
      </c>
      <c r="I1938" s="14" t="e">
        <f>=Round(12263.62990000,0)</f>
        <v>#VALUE!</v>
      </c>
      <c r="J1938" s="14" t="e">
        <f>=Round(0.00000000,0)</f>
        <v>#VALUE!</v>
      </c>
    </row>
    <row r="1939">
      <c r="A1939" s="11" t="s">
        <v>45</v>
      </c>
      <c r="B1939" s="12">
        <v>3596.1915</v>
      </c>
      <c r="C1939" s="12">
        <v>0</v>
      </c>
      <c r="D1939" s="13">
        <v>0</v>
      </c>
      <c r="E1939" s="12">
        <v>0</v>
      </c>
      <c r="F1939" s="14">
        <v>0</v>
      </c>
      <c r="G1939" s="13">
        <v>151398.0841</v>
      </c>
      <c r="H1939" s="14">
        <v>544456503.156705</v>
      </c>
      <c r="I1939" s="14" t="e">
        <f>=Round(12270.35020000,0)</f>
        <v>#VALUE!</v>
      </c>
      <c r="J1939" s="14" t="e">
        <f>=Round(0.00000000,0)</f>
        <v>#VALUE!</v>
      </c>
    </row>
    <row r="1940">
      <c r="A1940" s="11" t="s">
        <v>46</v>
      </c>
      <c r="B1940" s="12">
        <v>3596.8461</v>
      </c>
      <c r="C1940" s="12">
        <v>0</v>
      </c>
      <c r="D1940" s="13">
        <v>0</v>
      </c>
      <c r="E1940" s="12">
        <v>0</v>
      </c>
      <c r="F1940" s="14">
        <v>0</v>
      </c>
      <c r="G1940" s="13">
        <v>151398.0841</v>
      </c>
      <c r="H1940" s="14">
        <v>544555608.342557</v>
      </c>
      <c r="I1940" s="14" t="e">
        <f>=Round(12272.58510000,0)</f>
        <v>#VALUE!</v>
      </c>
      <c r="J1940" s="14" t="e">
        <f>=Round(0.00000000,0)</f>
        <v>#VALUE!</v>
      </c>
    </row>
    <row r="1941">
      <c r="A1941" s="11" t="s">
        <v>47</v>
      </c>
      <c r="B1941" s="12">
        <v>3597.4992</v>
      </c>
      <c r="C1941" s="12">
        <v>0</v>
      </c>
      <c r="D1941" s="13">
        <v>0</v>
      </c>
      <c r="E1941" s="12">
        <v>0</v>
      </c>
      <c r="F1941" s="14">
        <v>0</v>
      </c>
      <c r="G1941" s="13">
        <v>151398.0841</v>
      </c>
      <c r="H1941" s="14">
        <v>544654486.431283</v>
      </c>
      <c r="I1941" s="14" t="e">
        <f>=Round(12274.81900000,0)</f>
        <v>#VALUE!</v>
      </c>
      <c r="J1941" s="14" t="e">
        <f>=Round(0.00000000,0)</f>
        <v>#VALUE!</v>
      </c>
    </row>
    <row r="1942">
      <c r="A1942" s="11" t="s">
        <v>48</v>
      </c>
      <c r="B1942" s="12">
        <v>3598.1558</v>
      </c>
      <c r="C1942" s="12">
        <v>0</v>
      </c>
      <c r="D1942" s="13">
        <v>0</v>
      </c>
      <c r="E1942" s="12">
        <v>0</v>
      </c>
      <c r="F1942" s="14">
        <v>0</v>
      </c>
      <c r="G1942" s="13">
        <v>151398.0841</v>
      </c>
      <c r="H1942" s="14">
        <v>544753894.413303</v>
      </c>
      <c r="I1942" s="14" t="e">
        <f>=Round(12277.04780000,0)</f>
        <v>#VALUE!</v>
      </c>
      <c r="J1942" s="14" t="e">
        <f>=Round(0.00000000,0)</f>
        <v>#VALUE!</v>
      </c>
    </row>
    <row r="1943">
      <c r="A1943" s="11" t="s">
        <v>49</v>
      </c>
      <c r="B1943" s="12">
        <v>3598.1558</v>
      </c>
      <c r="C1943" s="12">
        <v>0</v>
      </c>
      <c r="D1943" s="13">
        <v>0</v>
      </c>
      <c r="E1943" s="12">
        <v>0</v>
      </c>
      <c r="F1943" s="14">
        <v>0</v>
      </c>
      <c r="G1943" s="13">
        <v>151398.0841</v>
      </c>
      <c r="H1943" s="14">
        <v>544753894.413303</v>
      </c>
      <c r="I1943" s="14" t="e">
        <f>=Round(12279.28860000,0)</f>
        <v>#VALUE!</v>
      </c>
      <c r="J1943" s="14" t="e">
        <f>=Round(0.00000000,0)</f>
        <v>#VALUE!</v>
      </c>
    </row>
    <row r="1944">
      <c r="A1944" s="11" t="s">
        <v>50</v>
      </c>
      <c r="B1944" s="12">
        <v>3598.1558</v>
      </c>
      <c r="C1944" s="12">
        <v>0</v>
      </c>
      <c r="D1944" s="13">
        <v>0</v>
      </c>
      <c r="E1944" s="12">
        <v>0</v>
      </c>
      <c r="F1944" s="14">
        <v>0</v>
      </c>
      <c r="G1944" s="13">
        <v>151398.0841</v>
      </c>
      <c r="H1944" s="14">
        <v>544753894.413303</v>
      </c>
      <c r="I1944" s="14" t="e">
        <f>=Round(12279.28860000,0)</f>
        <v>#VALUE!</v>
      </c>
      <c r="J1944" s="14" t="e">
        <f>=Round(0.00000000,0)</f>
        <v>#VALUE!</v>
      </c>
    </row>
    <row r="1945">
      <c r="A1945" s="11" t="s">
        <v>51</v>
      </c>
      <c r="B1945" s="12">
        <v>3600.124</v>
      </c>
      <c r="C1945" s="12">
        <v>0</v>
      </c>
      <c r="D1945" s="13">
        <v>0</v>
      </c>
      <c r="E1945" s="12">
        <v>0</v>
      </c>
      <c r="F1945" s="14">
        <v>0</v>
      </c>
      <c r="G1945" s="13">
        <v>151398.0841</v>
      </c>
      <c r="H1945" s="14">
        <v>545051876.12242806</v>
      </c>
      <c r="I1945" s="14" t="e">
        <f>=Round(12279.28860000,0)</f>
        <v>#VALUE!</v>
      </c>
      <c r="J1945" s="14" t="e">
        <f>=Round(0.00000000,0)</f>
        <v>#VALUE!</v>
      </c>
    </row>
    <row r="1946">
      <c r="A1946" s="11" t="s">
        <v>52</v>
      </c>
      <c r="B1946" s="12">
        <v>3600.7905</v>
      </c>
      <c r="C1946" s="12">
        <v>0</v>
      </c>
      <c r="D1946" s="13">
        <v>0</v>
      </c>
      <c r="E1946" s="12">
        <v>0</v>
      </c>
      <c r="F1946" s="14">
        <v>0</v>
      </c>
      <c r="G1946" s="13">
        <v>151398.0841</v>
      </c>
      <c r="H1946" s="14">
        <v>545152782.945481</v>
      </c>
      <c r="I1946" s="14" t="e">
        <f>=Round(12286.00540000,0)</f>
        <v>#VALUE!</v>
      </c>
      <c r="J1946" s="14" t="e">
        <f>=Round(0.00000000,0)</f>
        <v>#VALUE!</v>
      </c>
    </row>
    <row r="1947">
      <c r="A1947" s="11" t="s">
        <v>53</v>
      </c>
      <c r="B1947" s="12">
        <v>3601.445</v>
      </c>
      <c r="C1947" s="12">
        <v>0</v>
      </c>
      <c r="D1947" s="13">
        <v>0</v>
      </c>
      <c r="E1947" s="12">
        <v>0</v>
      </c>
      <c r="F1947" s="14">
        <v>0</v>
      </c>
      <c r="G1947" s="13">
        <v>151398.0841</v>
      </c>
      <c r="H1947" s="14">
        <v>545251872.991525</v>
      </c>
      <c r="I1947" s="14" t="e">
        <f>=Round(12288.27990000,0)</f>
        <v>#VALUE!</v>
      </c>
      <c r="J1947" s="14" t="e">
        <f>=Round(0.00000000,0)</f>
        <v>#VALUE!</v>
      </c>
    </row>
    <row r="1948">
      <c r="A1948" s="11" t="s">
        <v>54</v>
      </c>
      <c r="B1948" s="12">
        <v>3602.0851</v>
      </c>
      <c r="C1948" s="12">
        <v>0</v>
      </c>
      <c r="D1948" s="13">
        <v>0</v>
      </c>
      <c r="E1948" s="12">
        <v>0</v>
      </c>
      <c r="F1948" s="14">
        <v>0</v>
      </c>
      <c r="G1948" s="13">
        <v>151398.0841</v>
      </c>
      <c r="H1948" s="14">
        <v>545348782.905157</v>
      </c>
      <c r="I1948" s="14" t="e">
        <f>=Round(12290.51350000,0)</f>
        <v>#VALUE!</v>
      </c>
      <c r="J1948" s="14" t="e">
        <f>=Round(0.00000000,0)</f>
        <v>#VALUE!</v>
      </c>
    </row>
    <row r="1949">
      <c r="A1949" s="11" t="s">
        <v>55</v>
      </c>
      <c r="B1949" s="12">
        <v>3602.7417</v>
      </c>
      <c r="C1949" s="12">
        <v>0</v>
      </c>
      <c r="D1949" s="13">
        <v>0</v>
      </c>
      <c r="E1949" s="12">
        <v>0</v>
      </c>
      <c r="F1949" s="14">
        <v>0</v>
      </c>
      <c r="G1949" s="13">
        <v>151398.0841</v>
      </c>
      <c r="H1949" s="14">
        <v>545448190.887177</v>
      </c>
      <c r="I1949" s="14" t="e">
        <f>=Round(12292.69800000,0)</f>
        <v>#VALUE!</v>
      </c>
      <c r="J1949" s="14" t="e">
        <f>=Round(0.00000000,0)</f>
        <v>#VALUE!</v>
      </c>
    </row>
    <row r="1950" ht="-1">
      <c r="A1950" s="15"/>
      <c r="B1950" s="16" t="s">
        <v>56</v>
      </c>
      <c r="C1950" s="15"/>
      <c r="D1950" s="15"/>
      <c r="E1950" s="15"/>
      <c r="F1950" s="15"/>
      <c r="G1950" s="15"/>
      <c r="H1950" s="15"/>
      <c r="I1950" s="17" t="e">
        <f>=Round(SUM(I1924:I1949),0)</f>
        <v>#VALUE!</v>
      </c>
      <c r="J1950" s="17" t="e">
        <f>=Round(SUM(J1924:J1949),0)</f>
        <v>#VALUE!</v>
      </c>
    </row>
    <row r="1951">
      <c r="A1951" s="1" t="s">
        <v>0</v>
      </c>
      <c r="B1951" s="1"/>
      <c r="C1951" s="1"/>
      <c r="D1951" s="1"/>
    </row>
    <row r="1952">
      <c r="A1952" s="0" t="s">
        <v>1</v>
      </c>
      <c r="C1952" s="0" t="s">
        <v>2</v>
      </c>
      <c r="H1952" s="2" t="s">
        <v>3</v>
      </c>
    </row>
    <row r="1953">
      <c r="A1953" s="0" t="s">
        <v>4</v>
      </c>
      <c r="C1953" s="0" t="s">
        <v>106</v>
      </c>
      <c r="H1953" s="3" t="s">
        <v>6</v>
      </c>
    </row>
    <row r="1954">
      <c r="A1954" s="0" t="s">
        <v>7</v>
      </c>
      <c r="C1954" s="4" t="s">
        <v>8</v>
      </c>
      <c r="H1954" s="2" t="s">
        <v>9</v>
      </c>
    </row>
    <row r="1955">
      <c r="A1955" s="0" t="s">
        <v>10</v>
      </c>
      <c r="C1955" s="4" t="s">
        <v>11</v>
      </c>
      <c r="H1955" s="2" t="s">
        <v>12</v>
      </c>
    </row>
    <row r="1956">
      <c r="A1956" s="0" t="s">
        <v>13</v>
      </c>
      <c r="C1956" s="0" t="s">
        <v>14</v>
      </c>
    </row>
    <row r="1957">
      <c r="A1957" s="0" t="s">
        <v>15</v>
      </c>
      <c r="C1957" s="0" t="s">
        <v>16</v>
      </c>
    </row>
    <row r="1958">
      <c r="A1958" s="0" t="s">
        <v>17</v>
      </c>
      <c r="C1958" s="0" t="s">
        <v>18</v>
      </c>
    </row>
    <row r="1961">
      <c r="A1961" s="5" t="s">
        <v>19</v>
      </c>
      <c r="B1961" s="5" t="s">
        <v>20</v>
      </c>
      <c r="C1961" s="7" t="s">
        <v>21</v>
      </c>
      <c r="D1961" s="9"/>
      <c r="E1961" s="7" t="s">
        <v>22</v>
      </c>
      <c r="F1961" s="9"/>
      <c r="G1961" s="5" t="s">
        <v>23</v>
      </c>
      <c r="H1961" s="5" t="s">
        <v>24</v>
      </c>
      <c r="I1961" s="5" t="s">
        <v>25</v>
      </c>
      <c r="J1961" s="5" t="s">
        <v>26</v>
      </c>
    </row>
    <row r="1962">
      <c r="A1962" s="6"/>
      <c r="B1962" s="6"/>
      <c r="C1962" s="8" t="s">
        <v>27</v>
      </c>
      <c r="D1962" s="8" t="s">
        <v>28</v>
      </c>
      <c r="E1962" s="8" t="s">
        <v>27</v>
      </c>
      <c r="F1962" s="8" t="s">
        <v>28</v>
      </c>
      <c r="G1962" s="6"/>
      <c r="H1962" s="6"/>
      <c r="I1962" s="10" t="s">
        <v>29</v>
      </c>
      <c r="J1962" s="6"/>
    </row>
    <row r="1963">
      <c r="A1963" s="11" t="s">
        <v>30</v>
      </c>
      <c r="B1963" s="12">
        <v>3586.4187</v>
      </c>
      <c r="C1963" s="12">
        <v>0</v>
      </c>
      <c r="D1963" s="13">
        <v>0</v>
      </c>
      <c r="E1963" s="12">
        <v>0</v>
      </c>
      <c r="F1963" s="14">
        <v>0</v>
      </c>
      <c r="G1963" s="13">
        <v>24463949.0073</v>
      </c>
      <c r="H1963" s="14">
        <v>87737964195.627151</v>
      </c>
      <c r="I1963" s="14" t="e">
        <f>=Round(1976612.45970000,0)</f>
        <v>#VALUE!</v>
      </c>
      <c r="J1963" s="14" t="e">
        <f>=Round(0.00000000,0)</f>
        <v>#VALUE!</v>
      </c>
    </row>
    <row r="1964">
      <c r="A1964" s="11" t="s">
        <v>31</v>
      </c>
      <c r="B1964" s="12">
        <v>3587.0477</v>
      </c>
      <c r="C1964" s="12">
        <v>0</v>
      </c>
      <c r="D1964" s="13">
        <v>0</v>
      </c>
      <c r="E1964" s="12">
        <v>0</v>
      </c>
      <c r="F1964" s="14">
        <v>0</v>
      </c>
      <c r="G1964" s="13">
        <v>24463949.0073</v>
      </c>
      <c r="H1964" s="14">
        <v>87753352019.55275</v>
      </c>
      <c r="I1964" s="14" t="e">
        <f>=Round(1977700.01260000,0)</f>
        <v>#VALUE!</v>
      </c>
      <c r="J1964" s="14" t="e">
        <f>=Round(0.00000000,0)</f>
        <v>#VALUE!</v>
      </c>
    </row>
    <row r="1965">
      <c r="A1965" s="11" t="s">
        <v>32</v>
      </c>
      <c r="B1965" s="12">
        <v>3587.6685</v>
      </c>
      <c r="C1965" s="12">
        <v>0</v>
      </c>
      <c r="D1965" s="13">
        <v>0</v>
      </c>
      <c r="E1965" s="12">
        <v>0</v>
      </c>
      <c r="F1965" s="14">
        <v>0</v>
      </c>
      <c r="G1965" s="13">
        <v>24463949.0073</v>
      </c>
      <c r="H1965" s="14">
        <v>87768539239.096481</v>
      </c>
      <c r="I1965" s="14" t="e">
        <f>=Round(1978046.86930000,0)</f>
        <v>#VALUE!</v>
      </c>
      <c r="J1965" s="14" t="e">
        <f>=Round(0.00000000,0)</f>
        <v>#VALUE!</v>
      </c>
    </row>
    <row r="1966">
      <c r="A1966" s="11" t="s">
        <v>33</v>
      </c>
      <c r="B1966" s="12">
        <v>3588.3573</v>
      </c>
      <c r="C1966" s="12">
        <v>0</v>
      </c>
      <c r="D1966" s="13">
        <v>0</v>
      </c>
      <c r="E1966" s="12">
        <v>0</v>
      </c>
      <c r="F1966" s="14">
        <v>0</v>
      </c>
      <c r="G1966" s="13">
        <v>24463949.0073</v>
      </c>
      <c r="H1966" s="14">
        <v>87785390007.1727</v>
      </c>
      <c r="I1966" s="14" t="e">
        <f>=Round(1978389.20420000,0)</f>
        <v>#VALUE!</v>
      </c>
      <c r="J1966" s="14" t="e">
        <f>=Round(0.00000000,0)</f>
        <v>#VALUE!</v>
      </c>
    </row>
    <row r="1967">
      <c r="A1967" s="11" t="s">
        <v>34</v>
      </c>
      <c r="B1967" s="12">
        <v>3589.0109</v>
      </c>
      <c r="C1967" s="12">
        <v>0</v>
      </c>
      <c r="D1967" s="13">
        <v>0</v>
      </c>
      <c r="E1967" s="12">
        <v>0</v>
      </c>
      <c r="F1967" s="14">
        <v>0</v>
      </c>
      <c r="G1967" s="13">
        <v>24463949.0073</v>
      </c>
      <c r="H1967" s="14">
        <v>87801379644.243866</v>
      </c>
      <c r="I1967" s="14" t="e">
        <f>=Round(1978769.03700000,0)</f>
        <v>#VALUE!</v>
      </c>
      <c r="J1967" s="14" t="e">
        <f>=Round(0.00000000,0)</f>
        <v>#VALUE!</v>
      </c>
    </row>
    <row r="1968">
      <c r="A1968" s="11" t="s">
        <v>35</v>
      </c>
      <c r="B1968" s="12">
        <v>3589.0109</v>
      </c>
      <c r="C1968" s="12">
        <v>0</v>
      </c>
      <c r="D1968" s="13">
        <v>0</v>
      </c>
      <c r="E1968" s="12">
        <v>0</v>
      </c>
      <c r="F1968" s="14">
        <v>0</v>
      </c>
      <c r="G1968" s="13">
        <v>24463949.0073</v>
      </c>
      <c r="H1968" s="14">
        <v>87801379644.243866</v>
      </c>
      <c r="I1968" s="14" t="e">
        <f>=Round(1979129.45920000,0)</f>
        <v>#VALUE!</v>
      </c>
      <c r="J1968" s="14" t="e">
        <f>=Round(0.00000000,0)</f>
        <v>#VALUE!</v>
      </c>
    </row>
    <row r="1969">
      <c r="A1969" s="11" t="s">
        <v>36</v>
      </c>
      <c r="B1969" s="12">
        <v>3589.0109</v>
      </c>
      <c r="C1969" s="12">
        <v>0</v>
      </c>
      <c r="D1969" s="13">
        <v>0</v>
      </c>
      <c r="E1969" s="12">
        <v>0</v>
      </c>
      <c r="F1969" s="14">
        <v>0</v>
      </c>
      <c r="G1969" s="13">
        <v>24463949.0073</v>
      </c>
      <c r="H1969" s="14">
        <v>87801379644.243866</v>
      </c>
      <c r="I1969" s="14" t="e">
        <f>=Round(1979129.45920000,0)</f>
        <v>#VALUE!</v>
      </c>
      <c r="J1969" s="14" t="e">
        <f>=Round(0.00000000,0)</f>
        <v>#VALUE!</v>
      </c>
    </row>
    <row r="1970">
      <c r="A1970" s="11" t="s">
        <v>37</v>
      </c>
      <c r="B1970" s="12">
        <v>3590.972</v>
      </c>
      <c r="C1970" s="12">
        <v>0</v>
      </c>
      <c r="D1970" s="13">
        <v>0</v>
      </c>
      <c r="E1970" s="12">
        <v>0</v>
      </c>
      <c r="F1970" s="14">
        <v>0</v>
      </c>
      <c r="G1970" s="13">
        <v>24463949.0073</v>
      </c>
      <c r="H1970" s="14">
        <v>87849355894.64209</v>
      </c>
      <c r="I1970" s="14" t="e">
        <f>=Round(1979129.45920000,0)</f>
        <v>#VALUE!</v>
      </c>
      <c r="J1970" s="14" t="e">
        <f>=Round(0.00000000,0)</f>
        <v>#VALUE!</v>
      </c>
    </row>
    <row r="1971">
      <c r="A1971" s="11" t="s">
        <v>38</v>
      </c>
      <c r="B1971" s="12">
        <v>3591.6235</v>
      </c>
      <c r="C1971" s="12">
        <v>0</v>
      </c>
      <c r="D1971" s="13">
        <v>0</v>
      </c>
      <c r="E1971" s="12">
        <v>0</v>
      </c>
      <c r="F1971" s="14">
        <v>0</v>
      </c>
      <c r="G1971" s="13">
        <v>24463949.0073</v>
      </c>
      <c r="H1971" s="14">
        <v>87865294157.420349</v>
      </c>
      <c r="I1971" s="14" t="e">
        <f>=Round(1980210.89110000,0)</f>
        <v>#VALUE!</v>
      </c>
      <c r="J1971" s="14" t="e">
        <f>=Round(0.00000000,0)</f>
        <v>#VALUE!</v>
      </c>
    </row>
    <row r="1972">
      <c r="A1972" s="11" t="s">
        <v>39</v>
      </c>
      <c r="B1972" s="12">
        <v>3592.281</v>
      </c>
      <c r="C1972" s="12">
        <v>0</v>
      </c>
      <c r="D1972" s="13">
        <v>0</v>
      </c>
      <c r="E1972" s="12">
        <v>0</v>
      </c>
      <c r="F1972" s="14">
        <v>0</v>
      </c>
      <c r="G1972" s="13">
        <v>24463949.0073</v>
      </c>
      <c r="H1972" s="14">
        <v>87881379203.892654</v>
      </c>
      <c r="I1972" s="14" t="e">
        <f>=Round(1980570.15520000,0)</f>
        <v>#VALUE!</v>
      </c>
      <c r="J1972" s="14" t="e">
        <f>=Round(0.00000000,0)</f>
        <v>#VALUE!</v>
      </c>
    </row>
    <row r="1973">
      <c r="A1973" s="11" t="s">
        <v>40</v>
      </c>
      <c r="B1973" s="12">
        <v>3592.9125</v>
      </c>
      <c r="C1973" s="12">
        <v>0</v>
      </c>
      <c r="D1973" s="13">
        <v>0</v>
      </c>
      <c r="E1973" s="12">
        <v>0</v>
      </c>
      <c r="F1973" s="14">
        <v>0</v>
      </c>
      <c r="G1973" s="13">
        <v>24463949.0073</v>
      </c>
      <c r="H1973" s="14">
        <v>87896828187.690765</v>
      </c>
      <c r="I1973" s="14" t="e">
        <f>=Round(1980932.72800000,0)</f>
        <v>#VALUE!</v>
      </c>
      <c r="J1973" s="14" t="e">
        <f>=Round(0.00000000,0)</f>
        <v>#VALUE!</v>
      </c>
    </row>
    <row r="1974">
      <c r="A1974" s="11" t="s">
        <v>41</v>
      </c>
      <c r="B1974" s="12">
        <v>3593.5674</v>
      </c>
      <c r="C1974" s="12">
        <v>0</v>
      </c>
      <c r="D1974" s="13">
        <v>0</v>
      </c>
      <c r="E1974" s="12">
        <v>0</v>
      </c>
      <c r="F1974" s="14">
        <v>0</v>
      </c>
      <c r="G1974" s="13">
        <v>24463949.0073</v>
      </c>
      <c r="H1974" s="14">
        <v>87912849627.895645</v>
      </c>
      <c r="I1974" s="14" t="e">
        <f>=Round(1981280.96320000,0)</f>
        <v>#VALUE!</v>
      </c>
      <c r="J1974" s="14" t="e">
        <f>=Round(0.00000000,0)</f>
        <v>#VALUE!</v>
      </c>
    </row>
    <row r="1975">
      <c r="A1975" s="11" t="s">
        <v>42</v>
      </c>
      <c r="B1975" s="12">
        <v>3593.5674</v>
      </c>
      <c r="C1975" s="12">
        <v>0</v>
      </c>
      <c r="D1975" s="13">
        <v>0</v>
      </c>
      <c r="E1975" s="12">
        <v>0</v>
      </c>
      <c r="F1975" s="14">
        <v>0</v>
      </c>
      <c r="G1975" s="13">
        <v>24463949.0073</v>
      </c>
      <c r="H1975" s="14">
        <v>87912849627.895645</v>
      </c>
      <c r="I1975" s="14" t="e">
        <f>=Round(1981642.10230000,0)</f>
        <v>#VALUE!</v>
      </c>
      <c r="J1975" s="14" t="e">
        <f>=Round(0.00000000,0)</f>
        <v>#VALUE!</v>
      </c>
    </row>
    <row r="1976">
      <c r="A1976" s="11" t="s">
        <v>43</v>
      </c>
      <c r="B1976" s="12">
        <v>3593.5674</v>
      </c>
      <c r="C1976" s="12">
        <v>0</v>
      </c>
      <c r="D1976" s="13">
        <v>0</v>
      </c>
      <c r="E1976" s="12">
        <v>0</v>
      </c>
      <c r="F1976" s="14">
        <v>0</v>
      </c>
      <c r="G1976" s="13">
        <v>24463949.0073</v>
      </c>
      <c r="H1976" s="14">
        <v>87912849627.895645</v>
      </c>
      <c r="I1976" s="14" t="e">
        <f>=Round(1981642.10230000,0)</f>
        <v>#VALUE!</v>
      </c>
      <c r="J1976" s="14" t="e">
        <f>=Round(0.00000000,0)</f>
        <v>#VALUE!</v>
      </c>
    </row>
    <row r="1977">
      <c r="A1977" s="11" t="s">
        <v>44</v>
      </c>
      <c r="B1977" s="12">
        <v>3595.5366</v>
      </c>
      <c r="C1977" s="12">
        <v>0</v>
      </c>
      <c r="D1977" s="13">
        <v>0</v>
      </c>
      <c r="E1977" s="12">
        <v>0</v>
      </c>
      <c r="F1977" s="14">
        <v>0</v>
      </c>
      <c r="G1977" s="13">
        <v>24463949.0073</v>
      </c>
      <c r="H1977" s="14">
        <v>87961024036.280823</v>
      </c>
      <c r="I1977" s="14" t="e">
        <f>=Round(1981642.10230000,0)</f>
        <v>#VALUE!</v>
      </c>
      <c r="J1977" s="14" t="e">
        <f>=Round(0.00000000,0)</f>
        <v>#VALUE!</v>
      </c>
    </row>
    <row r="1978">
      <c r="A1978" s="11" t="s">
        <v>45</v>
      </c>
      <c r="B1978" s="12">
        <v>3596.1915</v>
      </c>
      <c r="C1978" s="12">
        <v>0</v>
      </c>
      <c r="D1978" s="13">
        <v>0</v>
      </c>
      <c r="E1978" s="12">
        <v>0</v>
      </c>
      <c r="F1978" s="14">
        <v>0</v>
      </c>
      <c r="G1978" s="13">
        <v>24463949.0073</v>
      </c>
      <c r="H1978" s="14">
        <v>87977045476.4857</v>
      </c>
      <c r="I1978" s="14" t="e">
        <f>=Round(1982728.00080000,0)</f>
        <v>#VALUE!</v>
      </c>
      <c r="J1978" s="14" t="e">
        <f>=Round(0.00000000,0)</f>
        <v>#VALUE!</v>
      </c>
    </row>
    <row r="1979">
      <c r="A1979" s="11" t="s">
        <v>46</v>
      </c>
      <c r="B1979" s="12">
        <v>3596.8461</v>
      </c>
      <c r="C1979" s="12">
        <v>0</v>
      </c>
      <c r="D1979" s="13">
        <v>0</v>
      </c>
      <c r="E1979" s="12">
        <v>0</v>
      </c>
      <c r="F1979" s="14">
        <v>0</v>
      </c>
      <c r="G1979" s="13">
        <v>24463949.0073</v>
      </c>
      <c r="H1979" s="14">
        <v>87993059577.505875</v>
      </c>
      <c r="I1979" s="14" t="e">
        <f>=Round(1983089.13980000,0)</f>
        <v>#VALUE!</v>
      </c>
      <c r="J1979" s="14" t="e">
        <f>=Round(0.00000000,0)</f>
        <v>#VALUE!</v>
      </c>
    </row>
    <row r="1980">
      <c r="A1980" s="11" t="s">
        <v>47</v>
      </c>
      <c r="B1980" s="12">
        <v>3597.4992</v>
      </c>
      <c r="C1980" s="12">
        <v>0</v>
      </c>
      <c r="D1980" s="13">
        <v>0</v>
      </c>
      <c r="E1980" s="12">
        <v>0</v>
      </c>
      <c r="F1980" s="14">
        <v>0</v>
      </c>
      <c r="G1980" s="13">
        <v>24463949.0073</v>
      </c>
      <c r="H1980" s="14">
        <v>88009036982.602539</v>
      </c>
      <c r="I1980" s="14" t="e">
        <f>=Round(1983450.11340000,0)</f>
        <v>#VALUE!</v>
      </c>
      <c r="J1980" s="14" t="e">
        <f>=Round(0.00000000,0)</f>
        <v>#VALUE!</v>
      </c>
    </row>
    <row r="1981">
      <c r="A1981" s="11" t="s">
        <v>48</v>
      </c>
      <c r="B1981" s="12">
        <v>3598.1558</v>
      </c>
      <c r="C1981" s="12">
        <v>0</v>
      </c>
      <c r="D1981" s="13">
        <v>0</v>
      </c>
      <c r="E1981" s="12">
        <v>0</v>
      </c>
      <c r="F1981" s="14">
        <v>0</v>
      </c>
      <c r="G1981" s="13">
        <v>24463949.0073</v>
      </c>
      <c r="H1981" s="14">
        <v>88025100011.520737</v>
      </c>
      <c r="I1981" s="14" t="e">
        <f>=Round(1983810.25990000,0)</f>
        <v>#VALUE!</v>
      </c>
      <c r="J1981" s="14" t="e">
        <f>=Round(0.00000000,0)</f>
        <v>#VALUE!</v>
      </c>
    </row>
    <row r="1982">
      <c r="A1982" s="11" t="s">
        <v>49</v>
      </c>
      <c r="B1982" s="12">
        <v>3598.1558</v>
      </c>
      <c r="C1982" s="12">
        <v>0</v>
      </c>
      <c r="D1982" s="13">
        <v>0</v>
      </c>
      <c r="E1982" s="12">
        <v>0</v>
      </c>
      <c r="F1982" s="14">
        <v>0</v>
      </c>
      <c r="G1982" s="13">
        <v>24463949.0073</v>
      </c>
      <c r="H1982" s="14">
        <v>88025100011.520737</v>
      </c>
      <c r="I1982" s="14" t="e">
        <f>=Round(1984172.33630000,0)</f>
        <v>#VALUE!</v>
      </c>
      <c r="J1982" s="14" t="e">
        <f>=Round(0.00000000,0)</f>
        <v>#VALUE!</v>
      </c>
    </row>
    <row r="1983">
      <c r="A1983" s="11" t="s">
        <v>50</v>
      </c>
      <c r="B1983" s="12">
        <v>3598.1558</v>
      </c>
      <c r="C1983" s="12">
        <v>0</v>
      </c>
      <c r="D1983" s="13">
        <v>0</v>
      </c>
      <c r="E1983" s="12">
        <v>0</v>
      </c>
      <c r="F1983" s="14">
        <v>0</v>
      </c>
      <c r="G1983" s="13">
        <v>24463949.0073</v>
      </c>
      <c r="H1983" s="14">
        <v>88025100011.520737</v>
      </c>
      <c r="I1983" s="14" t="e">
        <f>=Round(1984172.33630000,0)</f>
        <v>#VALUE!</v>
      </c>
      <c r="J1983" s="14" t="e">
        <f>=Round(0.00000000,0)</f>
        <v>#VALUE!</v>
      </c>
    </row>
    <row r="1984">
      <c r="A1984" s="11" t="s">
        <v>51</v>
      </c>
      <c r="B1984" s="12">
        <v>3600.124</v>
      </c>
      <c r="C1984" s="12">
        <v>0</v>
      </c>
      <c r="D1984" s="13">
        <v>0</v>
      </c>
      <c r="E1984" s="12">
        <v>0</v>
      </c>
      <c r="F1984" s="14">
        <v>0</v>
      </c>
      <c r="G1984" s="13">
        <v>24463949.0073</v>
      </c>
      <c r="H1984" s="14">
        <v>88073249955.956909</v>
      </c>
      <c r="I1984" s="14" t="e">
        <f>=Round(1984172.33630000,0)</f>
        <v>#VALUE!</v>
      </c>
      <c r="J1984" s="14" t="e">
        <f>=Round(0.00000000,0)</f>
        <v>#VALUE!</v>
      </c>
    </row>
    <row r="1985">
      <c r="A1985" s="11" t="s">
        <v>52</v>
      </c>
      <c r="B1985" s="12">
        <v>3600.7905</v>
      </c>
      <c r="C1985" s="12">
        <v>0</v>
      </c>
      <c r="D1985" s="13">
        <v>0</v>
      </c>
      <c r="E1985" s="12">
        <v>0</v>
      </c>
      <c r="F1985" s="14">
        <v>0</v>
      </c>
      <c r="G1985" s="13">
        <v>24463949.0073</v>
      </c>
      <c r="H1985" s="14">
        <v>88089555177.970276</v>
      </c>
      <c r="I1985" s="14" t="e">
        <f>=Round(1985257.68340000,0)</f>
        <v>#VALUE!</v>
      </c>
      <c r="J1985" s="14" t="e">
        <f>=Round(0.00000000,0)</f>
        <v>#VALUE!</v>
      </c>
    </row>
    <row r="1986">
      <c r="A1986" s="11" t="s">
        <v>53</v>
      </c>
      <c r="B1986" s="12">
        <v>3601.445</v>
      </c>
      <c r="C1986" s="12">
        <v>0</v>
      </c>
      <c r="D1986" s="13">
        <v>0</v>
      </c>
      <c r="E1986" s="12">
        <v>0</v>
      </c>
      <c r="F1986" s="14">
        <v>0</v>
      </c>
      <c r="G1986" s="13">
        <v>24463949.0073</v>
      </c>
      <c r="H1986" s="14">
        <v>88105566832.595551</v>
      </c>
      <c r="I1986" s="14" t="e">
        <f>=Round(1985625.21920000,0)</f>
        <v>#VALUE!</v>
      </c>
      <c r="J1986" s="14" t="e">
        <f>=Round(0.00000000,0)</f>
        <v>#VALUE!</v>
      </c>
    </row>
    <row r="1987">
      <c r="A1987" s="11" t="s">
        <v>54</v>
      </c>
      <c r="B1987" s="12">
        <v>3602.0851</v>
      </c>
      <c r="C1987" s="12">
        <v>0</v>
      </c>
      <c r="D1987" s="13">
        <v>0</v>
      </c>
      <c r="E1987" s="12">
        <v>0</v>
      </c>
      <c r="F1987" s="14">
        <v>0</v>
      </c>
      <c r="G1987" s="13">
        <v>24463949.0073</v>
      </c>
      <c r="H1987" s="14">
        <v>88121226206.355118</v>
      </c>
      <c r="I1987" s="14" t="e">
        <f>=Round(1985986.13760000,0)</f>
        <v>#VALUE!</v>
      </c>
      <c r="J1987" s="14" t="e">
        <f>=Round(0.00000000,0)</f>
        <v>#VALUE!</v>
      </c>
    </row>
    <row r="1988">
      <c r="A1988" s="11" t="s">
        <v>55</v>
      </c>
      <c r="B1988" s="12">
        <v>3602.7417</v>
      </c>
      <c r="C1988" s="12">
        <v>0</v>
      </c>
      <c r="D1988" s="13">
        <v>0</v>
      </c>
      <c r="E1988" s="12">
        <v>0</v>
      </c>
      <c r="F1988" s="14">
        <v>0</v>
      </c>
      <c r="G1988" s="13">
        <v>24463949.0073</v>
      </c>
      <c r="H1988" s="14">
        <v>88137289235.273315</v>
      </c>
      <c r="I1988" s="14" t="e">
        <f>=Round(1986339.11530000,0)</f>
        <v>#VALUE!</v>
      </c>
      <c r="J1988" s="14" t="e">
        <f>=Round(0.00000000,0)</f>
        <v>#VALUE!</v>
      </c>
    </row>
    <row r="1989" ht="-1">
      <c r="A1989" s="15"/>
      <c r="B1989" s="16" t="s">
        <v>56</v>
      </c>
      <c r="C1989" s="15"/>
      <c r="D1989" s="15"/>
      <c r="E1989" s="15"/>
      <c r="F1989" s="15"/>
      <c r="G1989" s="15"/>
      <c r="H1989" s="15"/>
      <c r="I1989" s="17" t="e">
        <f>=Round(SUM(I1963:I1988),0)</f>
        <v>#VALUE!</v>
      </c>
      <c r="J1989" s="17" t="e">
        <f>=Round(SUM(J1963:J1988),0)</f>
        <v>#VALUE!</v>
      </c>
    </row>
    <row r="1990">
      <c r="A1990" s="1" t="s">
        <v>0</v>
      </c>
      <c r="B1990" s="1"/>
      <c r="C1990" s="1"/>
      <c r="D1990" s="1"/>
    </row>
    <row r="1991">
      <c r="A1991" s="0" t="s">
        <v>1</v>
      </c>
      <c r="C1991" s="0" t="s">
        <v>2</v>
      </c>
      <c r="H1991" s="2" t="s">
        <v>3</v>
      </c>
    </row>
    <row r="1992">
      <c r="A1992" s="0" t="s">
        <v>4</v>
      </c>
      <c r="C1992" s="0" t="s">
        <v>107</v>
      </c>
      <c r="H1992" s="3" t="s">
        <v>6</v>
      </c>
    </row>
    <row r="1993">
      <c r="A1993" s="0" t="s">
        <v>7</v>
      </c>
      <c r="C1993" s="4" t="s">
        <v>8</v>
      </c>
      <c r="H1993" s="2" t="s">
        <v>9</v>
      </c>
    </row>
    <row r="1994">
      <c r="A1994" s="0" t="s">
        <v>10</v>
      </c>
      <c r="C1994" s="4" t="s">
        <v>11</v>
      </c>
      <c r="H1994" s="2" t="s">
        <v>12</v>
      </c>
    </row>
    <row r="1995">
      <c r="A1995" s="0" t="s">
        <v>13</v>
      </c>
      <c r="C1995" s="0" t="s">
        <v>14</v>
      </c>
    </row>
    <row r="1996">
      <c r="A1996" s="0" t="s">
        <v>15</v>
      </c>
      <c r="C1996" s="0" t="s">
        <v>16</v>
      </c>
    </row>
    <row r="1997">
      <c r="A1997" s="0" t="s">
        <v>17</v>
      </c>
      <c r="C1997" s="0" t="s">
        <v>18</v>
      </c>
    </row>
    <row r="2000">
      <c r="A2000" s="5" t="s">
        <v>19</v>
      </c>
      <c r="B2000" s="5" t="s">
        <v>20</v>
      </c>
      <c r="C2000" s="7" t="s">
        <v>21</v>
      </c>
      <c r="D2000" s="9"/>
      <c r="E2000" s="7" t="s">
        <v>22</v>
      </c>
      <c r="F2000" s="9"/>
      <c r="G2000" s="5" t="s">
        <v>23</v>
      </c>
      <c r="H2000" s="5" t="s">
        <v>24</v>
      </c>
      <c r="I2000" s="5" t="s">
        <v>25</v>
      </c>
      <c r="J2000" s="5" t="s">
        <v>26</v>
      </c>
    </row>
    <row r="2001">
      <c r="A2001" s="6"/>
      <c r="B2001" s="6"/>
      <c r="C2001" s="8" t="s">
        <v>27</v>
      </c>
      <c r="D2001" s="8" t="s">
        <v>28</v>
      </c>
      <c r="E2001" s="8" t="s">
        <v>27</v>
      </c>
      <c r="F2001" s="8" t="s">
        <v>28</v>
      </c>
      <c r="G2001" s="6"/>
      <c r="H2001" s="6"/>
      <c r="I2001" s="10" t="s">
        <v>29</v>
      </c>
      <c r="J2001" s="6"/>
    </row>
    <row r="2002">
      <c r="A2002" s="11" t="s">
        <v>30</v>
      </c>
      <c r="B2002" s="12">
        <v>3586.4187</v>
      </c>
      <c r="C2002" s="12">
        <v>0</v>
      </c>
      <c r="D2002" s="13">
        <v>0</v>
      </c>
      <c r="E2002" s="12">
        <v>0</v>
      </c>
      <c r="F2002" s="14">
        <v>0</v>
      </c>
      <c r="G2002" s="13">
        <v>6115987.2518000007</v>
      </c>
      <c r="H2002" s="14">
        <v>21934491048.817127</v>
      </c>
      <c r="I2002" s="14" t="e">
        <f>=Round(494153.11490000,0)</f>
        <v>#VALUE!</v>
      </c>
      <c r="J2002" s="14" t="e">
        <f>=Round(0.00000000,0)</f>
        <v>#VALUE!</v>
      </c>
    </row>
    <row r="2003">
      <c r="A2003" s="11" t="s">
        <v>31</v>
      </c>
      <c r="B2003" s="12">
        <v>3587.0477</v>
      </c>
      <c r="C2003" s="12">
        <v>0</v>
      </c>
      <c r="D2003" s="13">
        <v>0</v>
      </c>
      <c r="E2003" s="12">
        <v>0</v>
      </c>
      <c r="F2003" s="14">
        <v>0</v>
      </c>
      <c r="G2003" s="13">
        <v>6115987.2518000007</v>
      </c>
      <c r="H2003" s="14">
        <v>21938338004.798512</v>
      </c>
      <c r="I2003" s="14" t="e">
        <f>=Round(494425.00310000,0)</f>
        <v>#VALUE!</v>
      </c>
      <c r="J2003" s="14" t="e">
        <f>=Round(0.00000000,0)</f>
        <v>#VALUE!</v>
      </c>
    </row>
    <row r="2004">
      <c r="A2004" s="11" t="s">
        <v>32</v>
      </c>
      <c r="B2004" s="12">
        <v>3587.6685</v>
      </c>
      <c r="C2004" s="12">
        <v>0</v>
      </c>
      <c r="D2004" s="13">
        <v>0</v>
      </c>
      <c r="E2004" s="12">
        <v>0</v>
      </c>
      <c r="F2004" s="14">
        <v>0</v>
      </c>
      <c r="G2004" s="13">
        <v>6115987.2518000007</v>
      </c>
      <c r="H2004" s="14">
        <v>21942134809.684429</v>
      </c>
      <c r="I2004" s="14" t="e">
        <f>=Round(494511.71730000,0)</f>
        <v>#VALUE!</v>
      </c>
      <c r="J2004" s="14" t="e">
        <f>=Round(0.00000000,0)</f>
        <v>#VALUE!</v>
      </c>
    </row>
    <row r="2005">
      <c r="A2005" s="11" t="s">
        <v>33</v>
      </c>
      <c r="B2005" s="12">
        <v>3588.3573</v>
      </c>
      <c r="C2005" s="12">
        <v>0</v>
      </c>
      <c r="D2005" s="13">
        <v>0</v>
      </c>
      <c r="E2005" s="12">
        <v>0</v>
      </c>
      <c r="F2005" s="14">
        <v>0</v>
      </c>
      <c r="G2005" s="13">
        <v>6115987.2518000007</v>
      </c>
      <c r="H2005" s="14">
        <v>21946347501.703468</v>
      </c>
      <c r="I2005" s="14" t="e">
        <f>=Round(494597.30100000,0)</f>
        <v>#VALUE!</v>
      </c>
      <c r="J2005" s="14" t="e">
        <f>=Round(0.00000000,0)</f>
        <v>#VALUE!</v>
      </c>
    </row>
    <row r="2006">
      <c r="A2006" s="11" t="s">
        <v>34</v>
      </c>
      <c r="B2006" s="12">
        <v>3589.0109</v>
      </c>
      <c r="C2006" s="12">
        <v>0</v>
      </c>
      <c r="D2006" s="13">
        <v>0</v>
      </c>
      <c r="E2006" s="12">
        <v>0</v>
      </c>
      <c r="F2006" s="14">
        <v>0</v>
      </c>
      <c r="G2006" s="13">
        <v>6115987.2518000007</v>
      </c>
      <c r="H2006" s="14">
        <v>21950344910.971245</v>
      </c>
      <c r="I2006" s="14" t="e">
        <f>=Round(494692.25930000,0)</f>
        <v>#VALUE!</v>
      </c>
      <c r="J2006" s="14" t="e">
        <f>=Round(0.00000000,0)</f>
        <v>#VALUE!</v>
      </c>
    </row>
    <row r="2007">
      <c r="A2007" s="11" t="s">
        <v>35</v>
      </c>
      <c r="B2007" s="12">
        <v>3589.0109</v>
      </c>
      <c r="C2007" s="12">
        <v>0</v>
      </c>
      <c r="D2007" s="13">
        <v>0</v>
      </c>
      <c r="E2007" s="12">
        <v>0</v>
      </c>
      <c r="F2007" s="14">
        <v>0</v>
      </c>
      <c r="G2007" s="13">
        <v>6115987.2518000007</v>
      </c>
      <c r="H2007" s="14">
        <v>21950344910.971245</v>
      </c>
      <c r="I2007" s="14" t="e">
        <f>=Round(494782.36480000,0)</f>
        <v>#VALUE!</v>
      </c>
      <c r="J2007" s="14" t="e">
        <f>=Round(0.00000000,0)</f>
        <v>#VALUE!</v>
      </c>
    </row>
    <row r="2008">
      <c r="A2008" s="11" t="s">
        <v>36</v>
      </c>
      <c r="B2008" s="12">
        <v>3589.0109</v>
      </c>
      <c r="C2008" s="12">
        <v>0</v>
      </c>
      <c r="D2008" s="13">
        <v>0</v>
      </c>
      <c r="E2008" s="12">
        <v>0</v>
      </c>
      <c r="F2008" s="14">
        <v>0</v>
      </c>
      <c r="G2008" s="13">
        <v>6115987.2518000007</v>
      </c>
      <c r="H2008" s="14">
        <v>21950344910.971245</v>
      </c>
      <c r="I2008" s="14" t="e">
        <f>=Round(494782.36480000,0)</f>
        <v>#VALUE!</v>
      </c>
      <c r="J2008" s="14" t="e">
        <f>=Round(0.00000000,0)</f>
        <v>#VALUE!</v>
      </c>
    </row>
    <row r="2009">
      <c r="A2009" s="11" t="s">
        <v>37</v>
      </c>
      <c r="B2009" s="12">
        <v>3590.972</v>
      </c>
      <c r="C2009" s="12">
        <v>0</v>
      </c>
      <c r="D2009" s="13">
        <v>0</v>
      </c>
      <c r="E2009" s="12">
        <v>0</v>
      </c>
      <c r="F2009" s="14">
        <v>0</v>
      </c>
      <c r="G2009" s="13">
        <v>6115987.2518000007</v>
      </c>
      <c r="H2009" s="14">
        <v>21962338973.570751</v>
      </c>
      <c r="I2009" s="14" t="e">
        <f>=Round(494782.36480000,0)</f>
        <v>#VALUE!</v>
      </c>
      <c r="J2009" s="14" t="e">
        <f>=Round(0.00000000,0)</f>
        <v>#VALUE!</v>
      </c>
    </row>
    <row r="2010">
      <c r="A2010" s="11" t="s">
        <v>38</v>
      </c>
      <c r="B2010" s="12">
        <v>3591.6235</v>
      </c>
      <c r="C2010" s="12">
        <v>0</v>
      </c>
      <c r="D2010" s="13">
        <v>0</v>
      </c>
      <c r="E2010" s="12">
        <v>0</v>
      </c>
      <c r="F2010" s="14">
        <v>0</v>
      </c>
      <c r="G2010" s="13">
        <v>6115987.2518000007</v>
      </c>
      <c r="H2010" s="14">
        <v>21966323539.265297</v>
      </c>
      <c r="I2010" s="14" t="e">
        <f>=Round(495052.72280000,0)</f>
        <v>#VALUE!</v>
      </c>
      <c r="J2010" s="14" t="e">
        <f>=Round(0.00000000,0)</f>
        <v>#VALUE!</v>
      </c>
    </row>
    <row r="2011">
      <c r="A2011" s="11" t="s">
        <v>39</v>
      </c>
      <c r="B2011" s="12">
        <v>3592.281</v>
      </c>
      <c r="C2011" s="12">
        <v>0</v>
      </c>
      <c r="D2011" s="13">
        <v>0</v>
      </c>
      <c r="E2011" s="12">
        <v>0</v>
      </c>
      <c r="F2011" s="14">
        <v>0</v>
      </c>
      <c r="G2011" s="13">
        <v>6115987.2518000007</v>
      </c>
      <c r="H2011" s="14">
        <v>21970344800.883354</v>
      </c>
      <c r="I2011" s="14" t="e">
        <f>=Round(495142.53880000,0)</f>
        <v>#VALUE!</v>
      </c>
      <c r="J2011" s="14" t="e">
        <f>=Round(0.00000000,0)</f>
        <v>#VALUE!</v>
      </c>
    </row>
    <row r="2012">
      <c r="A2012" s="11" t="s">
        <v>40</v>
      </c>
      <c r="B2012" s="12">
        <v>3592.9125</v>
      </c>
      <c r="C2012" s="12">
        <v>0</v>
      </c>
      <c r="D2012" s="13">
        <v>0</v>
      </c>
      <c r="E2012" s="12">
        <v>0</v>
      </c>
      <c r="F2012" s="14">
        <v>0</v>
      </c>
      <c r="G2012" s="13">
        <v>6115987.2518000007</v>
      </c>
      <c r="H2012" s="14">
        <v>21974207046.832867</v>
      </c>
      <c r="I2012" s="14" t="e">
        <f>=Round(495233.18200000,0)</f>
        <v>#VALUE!</v>
      </c>
      <c r="J2012" s="14" t="e">
        <f>=Round(0.00000000,0)</f>
        <v>#VALUE!</v>
      </c>
    </row>
    <row r="2013">
      <c r="A2013" s="11" t="s">
        <v>41</v>
      </c>
      <c r="B2013" s="12">
        <v>3593.5674</v>
      </c>
      <c r="C2013" s="12">
        <v>0</v>
      </c>
      <c r="D2013" s="13">
        <v>0</v>
      </c>
      <c r="E2013" s="12">
        <v>0</v>
      </c>
      <c r="F2013" s="14">
        <v>0</v>
      </c>
      <c r="G2013" s="13">
        <v>6115987.2518000007</v>
      </c>
      <c r="H2013" s="14">
        <v>21978212406.884071</v>
      </c>
      <c r="I2013" s="14" t="e">
        <f>=Round(495320.24080000,0)</f>
        <v>#VALUE!</v>
      </c>
      <c r="J2013" s="14" t="e">
        <f>=Round(0.00000000,0)</f>
        <v>#VALUE!</v>
      </c>
    </row>
    <row r="2014">
      <c r="A2014" s="11" t="s">
        <v>42</v>
      </c>
      <c r="B2014" s="12">
        <v>3593.5674</v>
      </c>
      <c r="C2014" s="12">
        <v>0</v>
      </c>
      <c r="D2014" s="13">
        <v>0</v>
      </c>
      <c r="E2014" s="12">
        <v>0</v>
      </c>
      <c r="F2014" s="14">
        <v>0</v>
      </c>
      <c r="G2014" s="13">
        <v>6115987.2518000007</v>
      </c>
      <c r="H2014" s="14">
        <v>21978212406.884071</v>
      </c>
      <c r="I2014" s="14" t="e">
        <f>=Round(495410.52560000,0)</f>
        <v>#VALUE!</v>
      </c>
      <c r="J2014" s="14" t="e">
        <f>=Round(0.00000000,0)</f>
        <v>#VALUE!</v>
      </c>
    </row>
    <row r="2015">
      <c r="A2015" s="11" t="s">
        <v>43</v>
      </c>
      <c r="B2015" s="12">
        <v>3593.5674</v>
      </c>
      <c r="C2015" s="12">
        <v>0</v>
      </c>
      <c r="D2015" s="13">
        <v>0</v>
      </c>
      <c r="E2015" s="12">
        <v>0</v>
      </c>
      <c r="F2015" s="14">
        <v>0</v>
      </c>
      <c r="G2015" s="13">
        <v>6115987.2518000007</v>
      </c>
      <c r="H2015" s="14">
        <v>21978212406.884071</v>
      </c>
      <c r="I2015" s="14" t="e">
        <f>=Round(495410.52560000,0)</f>
        <v>#VALUE!</v>
      </c>
      <c r="J2015" s="14" t="e">
        <f>=Round(0.00000000,0)</f>
        <v>#VALUE!</v>
      </c>
    </row>
    <row r="2016">
      <c r="A2016" s="11" t="s">
        <v>44</v>
      </c>
      <c r="B2016" s="12">
        <v>3595.5366</v>
      </c>
      <c r="C2016" s="12">
        <v>0</v>
      </c>
      <c r="D2016" s="13">
        <v>0</v>
      </c>
      <c r="E2016" s="12">
        <v>0</v>
      </c>
      <c r="F2016" s="14">
        <v>0</v>
      </c>
      <c r="G2016" s="13">
        <v>6115987.2518000007</v>
      </c>
      <c r="H2016" s="14">
        <v>21990256008.980316</v>
      </c>
      <c r="I2016" s="14" t="e">
        <f>=Round(495410.52560000,0)</f>
        <v>#VALUE!</v>
      </c>
      <c r="J2016" s="14" t="e">
        <f>=Round(0.00000000,0)</f>
        <v>#VALUE!</v>
      </c>
    </row>
    <row r="2017">
      <c r="A2017" s="11" t="s">
        <v>45</v>
      </c>
      <c r="B2017" s="12">
        <v>3596.1915</v>
      </c>
      <c r="C2017" s="12">
        <v>0</v>
      </c>
      <c r="D2017" s="13">
        <v>0</v>
      </c>
      <c r="E2017" s="12">
        <v>0</v>
      </c>
      <c r="F2017" s="14">
        <v>0</v>
      </c>
      <c r="G2017" s="13">
        <v>6115987.2518000007</v>
      </c>
      <c r="H2017" s="14">
        <v>21994261369.031521</v>
      </c>
      <c r="I2017" s="14" t="e">
        <f>=Round(495682.00020000,0)</f>
        <v>#VALUE!</v>
      </c>
      <c r="J2017" s="14" t="e">
        <f>=Round(0.00000000,0)</f>
        <v>#VALUE!</v>
      </c>
    </row>
    <row r="2018">
      <c r="A2018" s="11" t="s">
        <v>46</v>
      </c>
      <c r="B2018" s="12">
        <v>3596.8461</v>
      </c>
      <c r="C2018" s="12">
        <v>0</v>
      </c>
      <c r="D2018" s="13">
        <v>0</v>
      </c>
      <c r="E2018" s="12">
        <v>0</v>
      </c>
      <c r="F2018" s="14">
        <v>0</v>
      </c>
      <c r="G2018" s="13">
        <v>6115987.2518000007</v>
      </c>
      <c r="H2018" s="14">
        <v>21998264894.286549</v>
      </c>
      <c r="I2018" s="14" t="e">
        <f>=Round(495772.28500000,0)</f>
        <v>#VALUE!</v>
      </c>
      <c r="J2018" s="14" t="e">
        <f>=Round(0.00000000,0)</f>
        <v>#VALUE!</v>
      </c>
    </row>
    <row r="2019">
      <c r="A2019" s="11" t="s">
        <v>47</v>
      </c>
      <c r="B2019" s="12">
        <v>3597.4992</v>
      </c>
      <c r="C2019" s="12">
        <v>0</v>
      </c>
      <c r="D2019" s="13">
        <v>0</v>
      </c>
      <c r="E2019" s="12">
        <v>0</v>
      </c>
      <c r="F2019" s="14">
        <v>0</v>
      </c>
      <c r="G2019" s="13">
        <v>6115987.2518000007</v>
      </c>
      <c r="H2019" s="14">
        <v>22002259245.5607</v>
      </c>
      <c r="I2019" s="14" t="e">
        <f>=Round(495862.52840000,0)</f>
        <v>#VALUE!</v>
      </c>
      <c r="J2019" s="14" t="e">
        <f>=Round(0.00000000,0)</f>
        <v>#VALUE!</v>
      </c>
    </row>
    <row r="2020">
      <c r="A2020" s="11" t="s">
        <v>48</v>
      </c>
      <c r="B2020" s="12">
        <v>3598.1558</v>
      </c>
      <c r="C2020" s="12">
        <v>0</v>
      </c>
      <c r="D2020" s="13">
        <v>0</v>
      </c>
      <c r="E2020" s="12">
        <v>0</v>
      </c>
      <c r="F2020" s="14">
        <v>0</v>
      </c>
      <c r="G2020" s="13">
        <v>6115987.2518000007</v>
      </c>
      <c r="H2020" s="14">
        <v>22006275002.790234</v>
      </c>
      <c r="I2020" s="14" t="e">
        <f>=Round(495952.56500000,0)</f>
        <v>#VALUE!</v>
      </c>
      <c r="J2020" s="14" t="e">
        <f>=Round(0.00000000,0)</f>
        <v>#VALUE!</v>
      </c>
    </row>
    <row r="2021">
      <c r="A2021" s="11" t="s">
        <v>49</v>
      </c>
      <c r="B2021" s="12">
        <v>3598.1558</v>
      </c>
      <c r="C2021" s="12">
        <v>0</v>
      </c>
      <c r="D2021" s="13">
        <v>0</v>
      </c>
      <c r="E2021" s="12">
        <v>0</v>
      </c>
      <c r="F2021" s="14">
        <v>0</v>
      </c>
      <c r="G2021" s="13">
        <v>6115987.2518000007</v>
      </c>
      <c r="H2021" s="14">
        <v>22006275002.790234</v>
      </c>
      <c r="I2021" s="14" t="e">
        <f>=Round(496043.08410000,0)</f>
        <v>#VALUE!</v>
      </c>
      <c r="J2021" s="14" t="e">
        <f>=Round(0.00000000,0)</f>
        <v>#VALUE!</v>
      </c>
    </row>
    <row r="2022">
      <c r="A2022" s="11" t="s">
        <v>50</v>
      </c>
      <c r="B2022" s="12">
        <v>3598.1558</v>
      </c>
      <c r="C2022" s="12">
        <v>0</v>
      </c>
      <c r="D2022" s="13">
        <v>0</v>
      </c>
      <c r="E2022" s="12">
        <v>0</v>
      </c>
      <c r="F2022" s="14">
        <v>0</v>
      </c>
      <c r="G2022" s="13">
        <v>6115987.2518000007</v>
      </c>
      <c r="H2022" s="14">
        <v>22006275002.790234</v>
      </c>
      <c r="I2022" s="14" t="e">
        <f>=Round(496043.08410000,0)</f>
        <v>#VALUE!</v>
      </c>
      <c r="J2022" s="14" t="e">
        <f>=Round(0.00000000,0)</f>
        <v>#VALUE!</v>
      </c>
    </row>
    <row r="2023">
      <c r="A2023" s="11" t="s">
        <v>51</v>
      </c>
      <c r="B2023" s="12">
        <v>3600.124</v>
      </c>
      <c r="C2023" s="12">
        <v>0</v>
      </c>
      <c r="D2023" s="13">
        <v>0</v>
      </c>
      <c r="E2023" s="12">
        <v>0</v>
      </c>
      <c r="F2023" s="14">
        <v>0</v>
      </c>
      <c r="G2023" s="13">
        <v>6115987.2518000007</v>
      </c>
      <c r="H2023" s="14">
        <v>22018312488.899223</v>
      </c>
      <c r="I2023" s="14" t="e">
        <f>=Round(496043.08410000,0)</f>
        <v>#VALUE!</v>
      </c>
      <c r="J2023" s="14" t="e">
        <f>=Round(0.00000000,0)</f>
        <v>#VALUE!</v>
      </c>
    </row>
    <row r="2024">
      <c r="A2024" s="11" t="s">
        <v>52</v>
      </c>
      <c r="B2024" s="12">
        <v>3600.7905</v>
      </c>
      <c r="C2024" s="12">
        <v>0</v>
      </c>
      <c r="D2024" s="13">
        <v>0</v>
      </c>
      <c r="E2024" s="12">
        <v>0</v>
      </c>
      <c r="F2024" s="14">
        <v>0</v>
      </c>
      <c r="G2024" s="13">
        <v>6115987.2518000007</v>
      </c>
      <c r="H2024" s="14">
        <v>22022388794.40255</v>
      </c>
      <c r="I2024" s="14" t="e">
        <f>=Round(496314.42090000,0)</f>
        <v>#VALUE!</v>
      </c>
      <c r="J2024" s="14" t="e">
        <f>=Round(0.00000000,0)</f>
        <v>#VALUE!</v>
      </c>
    </row>
    <row r="2025">
      <c r="A2025" s="11" t="s">
        <v>53</v>
      </c>
      <c r="B2025" s="12">
        <v>3601.445</v>
      </c>
      <c r="C2025" s="12">
        <v>0</v>
      </c>
      <c r="D2025" s="13">
        <v>0</v>
      </c>
      <c r="E2025" s="12">
        <v>0</v>
      </c>
      <c r="F2025" s="14">
        <v>0</v>
      </c>
      <c r="G2025" s="13">
        <v>6115987.2518000007</v>
      </c>
      <c r="H2025" s="14">
        <v>22026391708.058853</v>
      </c>
      <c r="I2025" s="14" t="e">
        <f>=Round(496406.30480000,0)</f>
        <v>#VALUE!</v>
      </c>
      <c r="J2025" s="14" t="e">
        <f>=Round(0.00000000,0)</f>
        <v>#VALUE!</v>
      </c>
    </row>
    <row r="2026">
      <c r="A2026" s="11" t="s">
        <v>54</v>
      </c>
      <c r="B2026" s="12">
        <v>3602.0851</v>
      </c>
      <c r="C2026" s="12">
        <v>0</v>
      </c>
      <c r="D2026" s="13">
        <v>0</v>
      </c>
      <c r="E2026" s="12">
        <v>0</v>
      </c>
      <c r="F2026" s="14">
        <v>0</v>
      </c>
      <c r="G2026" s="13">
        <v>6115987.2518000007</v>
      </c>
      <c r="H2026" s="14">
        <v>22030306551.49873</v>
      </c>
      <c r="I2026" s="14" t="e">
        <f>=Round(496496.53440000,0)</f>
        <v>#VALUE!</v>
      </c>
      <c r="J2026" s="14" t="e">
        <f>=Round(0.00000000,0)</f>
        <v>#VALUE!</v>
      </c>
    </row>
    <row r="2027">
      <c r="A2027" s="11" t="s">
        <v>55</v>
      </c>
      <c r="B2027" s="12">
        <v>3602.7417</v>
      </c>
      <c r="C2027" s="12">
        <v>0</v>
      </c>
      <c r="D2027" s="13">
        <v>0</v>
      </c>
      <c r="E2027" s="12">
        <v>0</v>
      </c>
      <c r="F2027" s="14">
        <v>0</v>
      </c>
      <c r="G2027" s="13">
        <v>6115987.2518000007</v>
      </c>
      <c r="H2027" s="14">
        <v>22034322308.72826</v>
      </c>
      <c r="I2027" s="14" t="e">
        <f>=Round(496584.77880000,0)</f>
        <v>#VALUE!</v>
      </c>
      <c r="J2027" s="14" t="e">
        <f>=Round(0.00000000,0)</f>
        <v>#VALUE!</v>
      </c>
    </row>
    <row r="2028" ht="-1">
      <c r="A2028" s="15"/>
      <c r="B2028" s="16" t="s">
        <v>56</v>
      </c>
      <c r="C2028" s="15"/>
      <c r="D2028" s="15"/>
      <c r="E2028" s="15"/>
      <c r="F2028" s="15"/>
      <c r="G2028" s="15"/>
      <c r="H2028" s="15"/>
      <c r="I2028" s="17" t="e">
        <f>=Round(SUM(I2002:I2027),0)</f>
        <v>#VALUE!</v>
      </c>
      <c r="J2028" s="17" t="e">
        <f>=Round(SUM(J2002:J2027),0)</f>
        <v>#VALUE!</v>
      </c>
    </row>
    <row r="2029">
      <c r="A2029" s="1" t="s">
        <v>0</v>
      </c>
      <c r="B2029" s="1"/>
      <c r="C2029" s="1"/>
      <c r="D2029" s="1"/>
    </row>
    <row r="2030">
      <c r="A2030" s="0" t="s">
        <v>1</v>
      </c>
      <c r="C2030" s="0" t="s">
        <v>2</v>
      </c>
      <c r="H2030" s="2" t="s">
        <v>3</v>
      </c>
    </row>
    <row r="2031">
      <c r="A2031" s="0" t="s">
        <v>4</v>
      </c>
      <c r="C2031" s="0" t="s">
        <v>108</v>
      </c>
      <c r="H2031" s="3" t="s">
        <v>6</v>
      </c>
    </row>
    <row r="2032">
      <c r="A2032" s="0" t="s">
        <v>7</v>
      </c>
      <c r="C2032" s="4" t="s">
        <v>8</v>
      </c>
      <c r="H2032" s="2" t="s">
        <v>9</v>
      </c>
    </row>
    <row r="2033">
      <c r="A2033" s="0" t="s">
        <v>10</v>
      </c>
      <c r="C2033" s="4" t="s">
        <v>11</v>
      </c>
      <c r="H2033" s="2" t="s">
        <v>12</v>
      </c>
    </row>
    <row r="2034">
      <c r="A2034" s="0" t="s">
        <v>13</v>
      </c>
      <c r="C2034" s="0" t="s">
        <v>14</v>
      </c>
    </row>
    <row r="2035">
      <c r="A2035" s="0" t="s">
        <v>15</v>
      </c>
      <c r="C2035" s="0" t="s">
        <v>16</v>
      </c>
    </row>
    <row r="2036">
      <c r="A2036" s="0" t="s">
        <v>17</v>
      </c>
      <c r="C2036" s="0" t="s">
        <v>18</v>
      </c>
    </row>
    <row r="2039">
      <c r="A2039" s="5" t="s">
        <v>19</v>
      </c>
      <c r="B2039" s="5" t="s">
        <v>20</v>
      </c>
      <c r="C2039" s="7" t="s">
        <v>21</v>
      </c>
      <c r="D2039" s="9"/>
      <c r="E2039" s="7" t="s">
        <v>22</v>
      </c>
      <c r="F2039" s="9"/>
      <c r="G2039" s="5" t="s">
        <v>23</v>
      </c>
      <c r="H2039" s="5" t="s">
        <v>24</v>
      </c>
      <c r="I2039" s="5" t="s">
        <v>25</v>
      </c>
      <c r="J2039" s="5" t="s">
        <v>26</v>
      </c>
    </row>
    <row r="2040">
      <c r="A2040" s="6"/>
      <c r="B2040" s="6"/>
      <c r="C2040" s="8" t="s">
        <v>27</v>
      </c>
      <c r="D2040" s="8" t="s">
        <v>28</v>
      </c>
      <c r="E2040" s="8" t="s">
        <v>27</v>
      </c>
      <c r="F2040" s="8" t="s">
        <v>28</v>
      </c>
      <c r="G2040" s="6"/>
      <c r="H2040" s="6"/>
      <c r="I2040" s="10" t="s">
        <v>29</v>
      </c>
      <c r="J2040" s="6"/>
    </row>
    <row r="2041">
      <c r="A2041" s="11" t="s">
        <v>30</v>
      </c>
      <c r="B2041" s="12">
        <v>3586.4187</v>
      </c>
      <c r="C2041" s="12">
        <v>0</v>
      </c>
      <c r="D2041" s="13">
        <v>0</v>
      </c>
      <c r="E2041" s="12">
        <v>0</v>
      </c>
      <c r="F2041" s="14">
        <v>0</v>
      </c>
      <c r="G2041" s="13">
        <v>776936.8593</v>
      </c>
      <c r="H2041" s="14">
        <v>2786420880.9127889</v>
      </c>
      <c r="I2041" s="14" t="e">
        <f>=Round(62774.12840000,0)</f>
        <v>#VALUE!</v>
      </c>
      <c r="J2041" s="14" t="e">
        <f>=Round(0.00000000,0)</f>
        <v>#VALUE!</v>
      </c>
    </row>
    <row r="2042">
      <c r="A2042" s="11" t="s">
        <v>31</v>
      </c>
      <c r="B2042" s="12">
        <v>3587.0477</v>
      </c>
      <c r="C2042" s="12">
        <v>0</v>
      </c>
      <c r="D2042" s="13">
        <v>0</v>
      </c>
      <c r="E2042" s="12">
        <v>0</v>
      </c>
      <c r="F2042" s="14">
        <v>0</v>
      </c>
      <c r="G2042" s="13">
        <v>776936.8593</v>
      </c>
      <c r="H2042" s="14">
        <v>2786909574.197289</v>
      </c>
      <c r="I2042" s="14" t="e">
        <f>=Round(62808.66740000,0)</f>
        <v>#VALUE!</v>
      </c>
      <c r="J2042" s="14" t="e">
        <f>=Round(0.00000000,0)</f>
        <v>#VALUE!</v>
      </c>
    </row>
    <row r="2043">
      <c r="A2043" s="11" t="s">
        <v>32</v>
      </c>
      <c r="B2043" s="12">
        <v>3587.6685</v>
      </c>
      <c r="C2043" s="12">
        <v>0</v>
      </c>
      <c r="D2043" s="13">
        <v>0</v>
      </c>
      <c r="E2043" s="12">
        <v>0</v>
      </c>
      <c r="F2043" s="14">
        <v>0</v>
      </c>
      <c r="G2043" s="13">
        <v>776936.8593</v>
      </c>
      <c r="H2043" s="14">
        <v>2787391896.5995421</v>
      </c>
      <c r="I2043" s="14" t="e">
        <f>=Round(62819.68300000,0)</f>
        <v>#VALUE!</v>
      </c>
      <c r="J2043" s="14" t="e">
        <f>=Round(0.00000000,0)</f>
        <v>#VALUE!</v>
      </c>
    </row>
    <row r="2044">
      <c r="A2044" s="11" t="s">
        <v>33</v>
      </c>
      <c r="B2044" s="12">
        <v>3588.3573</v>
      </c>
      <c r="C2044" s="12">
        <v>0</v>
      </c>
      <c r="D2044" s="13">
        <v>0</v>
      </c>
      <c r="E2044" s="12">
        <v>0</v>
      </c>
      <c r="F2044" s="14">
        <v>0</v>
      </c>
      <c r="G2044" s="13">
        <v>776936.8593</v>
      </c>
      <c r="H2044" s="14">
        <v>2787927050.7082281</v>
      </c>
      <c r="I2044" s="14" t="e">
        <f>=Round(62830.55500000,0)</f>
        <v>#VALUE!</v>
      </c>
      <c r="J2044" s="14" t="e">
        <f>=Round(0.00000000,0)</f>
        <v>#VALUE!</v>
      </c>
    </row>
    <row r="2045">
      <c r="A2045" s="11" t="s">
        <v>34</v>
      </c>
      <c r="B2045" s="12">
        <v>3589.0109</v>
      </c>
      <c r="C2045" s="12">
        <v>0</v>
      </c>
      <c r="D2045" s="13">
        <v>0</v>
      </c>
      <c r="E2045" s="12">
        <v>0</v>
      </c>
      <c r="F2045" s="14">
        <v>0</v>
      </c>
      <c r="G2045" s="13">
        <v>776936.8593</v>
      </c>
      <c r="H2045" s="14">
        <v>2788434856.6394658</v>
      </c>
      <c r="I2045" s="14" t="e">
        <f>=Round(62842.61790000,0)</f>
        <v>#VALUE!</v>
      </c>
      <c r="J2045" s="14" t="e">
        <f>=Round(0.00000000,0)</f>
        <v>#VALUE!</v>
      </c>
    </row>
    <row r="2046">
      <c r="A2046" s="11" t="s">
        <v>35</v>
      </c>
      <c r="B2046" s="12">
        <v>3589.0109</v>
      </c>
      <c r="C2046" s="12">
        <v>0</v>
      </c>
      <c r="D2046" s="13">
        <v>0</v>
      </c>
      <c r="E2046" s="12">
        <v>0</v>
      </c>
      <c r="F2046" s="14">
        <v>0</v>
      </c>
      <c r="G2046" s="13">
        <v>776936.8593</v>
      </c>
      <c r="H2046" s="14">
        <v>2788434856.6394658</v>
      </c>
      <c r="I2046" s="14" t="e">
        <f>=Round(62854.06440000,0)</f>
        <v>#VALUE!</v>
      </c>
      <c r="J2046" s="14" t="e">
        <f>=Round(0.00000000,0)</f>
        <v>#VALUE!</v>
      </c>
    </row>
    <row r="2047">
      <c r="A2047" s="11" t="s">
        <v>36</v>
      </c>
      <c r="B2047" s="12">
        <v>3589.0109</v>
      </c>
      <c r="C2047" s="12">
        <v>0</v>
      </c>
      <c r="D2047" s="13">
        <v>0</v>
      </c>
      <c r="E2047" s="12">
        <v>0</v>
      </c>
      <c r="F2047" s="14">
        <v>0</v>
      </c>
      <c r="G2047" s="13">
        <v>776936.8593</v>
      </c>
      <c r="H2047" s="14">
        <v>2788434856.6394658</v>
      </c>
      <c r="I2047" s="14" t="e">
        <f>=Round(62854.06440000,0)</f>
        <v>#VALUE!</v>
      </c>
      <c r="J2047" s="14" t="e">
        <f>=Round(0.00000000,0)</f>
        <v>#VALUE!</v>
      </c>
    </row>
    <row r="2048">
      <c r="A2048" s="11" t="s">
        <v>37</v>
      </c>
      <c r="B2048" s="12">
        <v>3590.972</v>
      </c>
      <c r="C2048" s="12">
        <v>0</v>
      </c>
      <c r="D2048" s="13">
        <v>0</v>
      </c>
      <c r="E2048" s="12">
        <v>0</v>
      </c>
      <c r="F2048" s="14">
        <v>0</v>
      </c>
      <c r="G2048" s="13">
        <v>776936.8593</v>
      </c>
      <c r="H2048" s="14">
        <v>2789958507.51424</v>
      </c>
      <c r="I2048" s="14" t="e">
        <f>=Round(62854.06440000,0)</f>
        <v>#VALUE!</v>
      </c>
      <c r="J2048" s="14" t="e">
        <f>=Round(0.00000000,0)</f>
        <v>#VALUE!</v>
      </c>
    </row>
    <row r="2049">
      <c r="A2049" s="11" t="s">
        <v>38</v>
      </c>
      <c r="B2049" s="12">
        <v>3591.6235</v>
      </c>
      <c r="C2049" s="12">
        <v>0</v>
      </c>
      <c r="D2049" s="13">
        <v>0</v>
      </c>
      <c r="E2049" s="12">
        <v>0</v>
      </c>
      <c r="F2049" s="14">
        <v>0</v>
      </c>
      <c r="G2049" s="13">
        <v>776936.8593</v>
      </c>
      <c r="H2049" s="14">
        <v>2790464681.8780742</v>
      </c>
      <c r="I2049" s="14" t="e">
        <f>=Round(62888.40900000,0)</f>
        <v>#VALUE!</v>
      </c>
      <c r="J2049" s="14" t="e">
        <f>=Round(0.00000000,0)</f>
        <v>#VALUE!</v>
      </c>
    </row>
    <row r="2050">
      <c r="A2050" s="11" t="s">
        <v>39</v>
      </c>
      <c r="B2050" s="12">
        <v>3592.281</v>
      </c>
      <c r="C2050" s="12">
        <v>0</v>
      </c>
      <c r="D2050" s="13">
        <v>0</v>
      </c>
      <c r="E2050" s="12">
        <v>0</v>
      </c>
      <c r="F2050" s="14">
        <v>0</v>
      </c>
      <c r="G2050" s="13">
        <v>776936.8593</v>
      </c>
      <c r="H2050" s="14">
        <v>2790975517.8630629</v>
      </c>
      <c r="I2050" s="14" t="e">
        <f>=Round(62899.81860000,0)</f>
        <v>#VALUE!</v>
      </c>
      <c r="J2050" s="14" t="e">
        <f>=Round(0.00000000,0)</f>
        <v>#VALUE!</v>
      </c>
    </row>
    <row r="2051">
      <c r="A2051" s="11" t="s">
        <v>40</v>
      </c>
      <c r="B2051" s="12">
        <v>3592.9125</v>
      </c>
      <c r="C2051" s="12">
        <v>0</v>
      </c>
      <c r="D2051" s="13">
        <v>0</v>
      </c>
      <c r="E2051" s="12">
        <v>0</v>
      </c>
      <c r="F2051" s="14">
        <v>0</v>
      </c>
      <c r="G2051" s="13">
        <v>776936.8593</v>
      </c>
      <c r="H2051" s="14">
        <v>2791466153.4897108</v>
      </c>
      <c r="I2051" s="14" t="e">
        <f>=Round(62911.33340000,0)</f>
        <v>#VALUE!</v>
      </c>
      <c r="J2051" s="14" t="e">
        <f>=Round(0.00000000,0)</f>
        <v>#VALUE!</v>
      </c>
    </row>
    <row r="2052">
      <c r="A2052" s="11" t="s">
        <v>41</v>
      </c>
      <c r="B2052" s="12">
        <v>3593.5674</v>
      </c>
      <c r="C2052" s="12">
        <v>0</v>
      </c>
      <c r="D2052" s="13">
        <v>0</v>
      </c>
      <c r="E2052" s="12">
        <v>0</v>
      </c>
      <c r="F2052" s="14">
        <v>0</v>
      </c>
      <c r="G2052" s="13">
        <v>776936.8593</v>
      </c>
      <c r="H2052" s="14">
        <v>2791974969.4388671</v>
      </c>
      <c r="I2052" s="14" t="e">
        <f>=Round(62922.39280000,0)</f>
        <v>#VALUE!</v>
      </c>
      <c r="J2052" s="14" t="e">
        <f>=Round(0.00000000,0)</f>
        <v>#VALUE!</v>
      </c>
    </row>
    <row r="2053">
      <c r="A2053" s="11" t="s">
        <v>42</v>
      </c>
      <c r="B2053" s="12">
        <v>3593.5674</v>
      </c>
      <c r="C2053" s="12">
        <v>0</v>
      </c>
      <c r="D2053" s="13">
        <v>0</v>
      </c>
      <c r="E2053" s="12">
        <v>0</v>
      </c>
      <c r="F2053" s="14">
        <v>0</v>
      </c>
      <c r="G2053" s="13">
        <v>776936.8593</v>
      </c>
      <c r="H2053" s="14">
        <v>2791974969.4388671</v>
      </c>
      <c r="I2053" s="14" t="e">
        <f>=Round(62933.86200000,0)</f>
        <v>#VALUE!</v>
      </c>
      <c r="J2053" s="14" t="e">
        <f>=Round(0.00000000,0)</f>
        <v>#VALUE!</v>
      </c>
    </row>
    <row r="2054">
      <c r="A2054" s="11" t="s">
        <v>43</v>
      </c>
      <c r="B2054" s="12">
        <v>3593.5674</v>
      </c>
      <c r="C2054" s="12">
        <v>0</v>
      </c>
      <c r="D2054" s="13">
        <v>0</v>
      </c>
      <c r="E2054" s="12">
        <v>0</v>
      </c>
      <c r="F2054" s="14">
        <v>0</v>
      </c>
      <c r="G2054" s="13">
        <v>776936.8593</v>
      </c>
      <c r="H2054" s="14">
        <v>2791974969.4388671</v>
      </c>
      <c r="I2054" s="14" t="e">
        <f>=Round(62933.86200000,0)</f>
        <v>#VALUE!</v>
      </c>
      <c r="J2054" s="14" t="e">
        <f>=Round(0.00000000,0)</f>
        <v>#VALUE!</v>
      </c>
    </row>
    <row r="2055">
      <c r="A2055" s="11" t="s">
        <v>44</v>
      </c>
      <c r="B2055" s="12">
        <v>3595.5366</v>
      </c>
      <c r="C2055" s="12">
        <v>0</v>
      </c>
      <c r="D2055" s="13">
        <v>0</v>
      </c>
      <c r="E2055" s="12">
        <v>0</v>
      </c>
      <c r="F2055" s="14">
        <v>0</v>
      </c>
      <c r="G2055" s="13">
        <v>776936.8593</v>
      </c>
      <c r="H2055" s="14">
        <v>2793504913.5022</v>
      </c>
      <c r="I2055" s="14" t="e">
        <f>=Round(62933.86200000,0)</f>
        <v>#VALUE!</v>
      </c>
      <c r="J2055" s="14" t="e">
        <f>=Round(0.00000000,0)</f>
        <v>#VALUE!</v>
      </c>
    </row>
    <row r="2056">
      <c r="A2056" s="11" t="s">
        <v>45</v>
      </c>
      <c r="B2056" s="12">
        <v>3596.1915</v>
      </c>
      <c r="C2056" s="12">
        <v>0</v>
      </c>
      <c r="D2056" s="13">
        <v>0</v>
      </c>
      <c r="E2056" s="12">
        <v>0</v>
      </c>
      <c r="F2056" s="14">
        <v>0</v>
      </c>
      <c r="G2056" s="13">
        <v>776936.8593</v>
      </c>
      <c r="H2056" s="14">
        <v>2794013729.4513559</v>
      </c>
      <c r="I2056" s="14" t="e">
        <f>=Round(62968.34850000,0)</f>
        <v>#VALUE!</v>
      </c>
      <c r="J2056" s="14" t="e">
        <f>=Round(0.00000000,0)</f>
        <v>#VALUE!</v>
      </c>
    </row>
    <row r="2057">
      <c r="A2057" s="11" t="s">
        <v>46</v>
      </c>
      <c r="B2057" s="12">
        <v>3596.8461</v>
      </c>
      <c r="C2057" s="12">
        <v>0</v>
      </c>
      <c r="D2057" s="13">
        <v>0</v>
      </c>
      <c r="E2057" s="12">
        <v>0</v>
      </c>
      <c r="F2057" s="14">
        <v>0</v>
      </c>
      <c r="G2057" s="13">
        <v>776936.8593</v>
      </c>
      <c r="H2057" s="14">
        <v>2794522312.3194542</v>
      </c>
      <c r="I2057" s="14" t="e">
        <f>=Round(62979.81770000,0)</f>
        <v>#VALUE!</v>
      </c>
      <c r="J2057" s="14" t="e">
        <f>=Round(0.00000000,0)</f>
        <v>#VALUE!</v>
      </c>
    </row>
    <row r="2058">
      <c r="A2058" s="11" t="s">
        <v>47</v>
      </c>
      <c r="B2058" s="12">
        <v>3597.4992</v>
      </c>
      <c r="C2058" s="12">
        <v>0</v>
      </c>
      <c r="D2058" s="13">
        <v>0</v>
      </c>
      <c r="E2058" s="12">
        <v>0</v>
      </c>
      <c r="F2058" s="14">
        <v>0</v>
      </c>
      <c r="G2058" s="13">
        <v>776936.8593</v>
      </c>
      <c r="H2058" s="14">
        <v>2795029729.7822628</v>
      </c>
      <c r="I2058" s="14" t="e">
        <f>=Round(62991.28160000,0)</f>
        <v>#VALUE!</v>
      </c>
      <c r="J2058" s="14" t="e">
        <f>=Round(0.00000000,0)</f>
        <v>#VALUE!</v>
      </c>
    </row>
    <row r="2059">
      <c r="A2059" s="11" t="s">
        <v>48</v>
      </c>
      <c r="B2059" s="12">
        <v>3598.1558</v>
      </c>
      <c r="C2059" s="12">
        <v>0</v>
      </c>
      <c r="D2059" s="13">
        <v>0</v>
      </c>
      <c r="E2059" s="12">
        <v>0</v>
      </c>
      <c r="F2059" s="14">
        <v>0</v>
      </c>
      <c r="G2059" s="13">
        <v>776936.8593</v>
      </c>
      <c r="H2059" s="14">
        <v>2795539866.5240788</v>
      </c>
      <c r="I2059" s="14" t="e">
        <f>=Round(63002.71930000,0)</f>
        <v>#VALUE!</v>
      </c>
      <c r="J2059" s="14" t="e">
        <f>=Round(0.00000000,0)</f>
        <v>#VALUE!</v>
      </c>
    </row>
    <row r="2060">
      <c r="A2060" s="11" t="s">
        <v>49</v>
      </c>
      <c r="B2060" s="12">
        <v>3598.1558</v>
      </c>
      <c r="C2060" s="12">
        <v>0</v>
      </c>
      <c r="D2060" s="13">
        <v>0</v>
      </c>
      <c r="E2060" s="12">
        <v>0</v>
      </c>
      <c r="F2060" s="14">
        <v>0</v>
      </c>
      <c r="G2060" s="13">
        <v>776936.8593</v>
      </c>
      <c r="H2060" s="14">
        <v>2795539866.5240788</v>
      </c>
      <c r="I2060" s="14" t="e">
        <f>=Round(63014.21830000,0)</f>
        <v>#VALUE!</v>
      </c>
      <c r="J2060" s="14" t="e">
        <f>=Round(0.00000000,0)</f>
        <v>#VALUE!</v>
      </c>
    </row>
    <row r="2061">
      <c r="A2061" s="11" t="s">
        <v>50</v>
      </c>
      <c r="B2061" s="12">
        <v>3598.1558</v>
      </c>
      <c r="C2061" s="12">
        <v>0</v>
      </c>
      <c r="D2061" s="13">
        <v>0</v>
      </c>
      <c r="E2061" s="12">
        <v>0</v>
      </c>
      <c r="F2061" s="14">
        <v>0</v>
      </c>
      <c r="G2061" s="13">
        <v>776936.8593</v>
      </c>
      <c r="H2061" s="14">
        <v>2795539866.5240788</v>
      </c>
      <c r="I2061" s="14" t="e">
        <f>=Round(63014.21830000,0)</f>
        <v>#VALUE!</v>
      </c>
      <c r="J2061" s="14" t="e">
        <f>=Round(0.00000000,0)</f>
        <v>#VALUE!</v>
      </c>
    </row>
    <row r="2062">
      <c r="A2062" s="11" t="s">
        <v>51</v>
      </c>
      <c r="B2062" s="12">
        <v>3600.124</v>
      </c>
      <c r="C2062" s="12">
        <v>0</v>
      </c>
      <c r="D2062" s="13">
        <v>0</v>
      </c>
      <c r="E2062" s="12">
        <v>0</v>
      </c>
      <c r="F2062" s="14">
        <v>0</v>
      </c>
      <c r="G2062" s="13">
        <v>776936.8593</v>
      </c>
      <c r="H2062" s="14">
        <v>2797069033.6505532</v>
      </c>
      <c r="I2062" s="14" t="e">
        <f>=Round(63014.21830000,0)</f>
        <v>#VALUE!</v>
      </c>
      <c r="J2062" s="14" t="e">
        <f>=Round(0.00000000,0)</f>
        <v>#VALUE!</v>
      </c>
    </row>
    <row r="2063">
      <c r="A2063" s="11" t="s">
        <v>52</v>
      </c>
      <c r="B2063" s="12">
        <v>3600.7905</v>
      </c>
      <c r="C2063" s="12">
        <v>0</v>
      </c>
      <c r="D2063" s="13">
        <v>0</v>
      </c>
      <c r="E2063" s="12">
        <v>0</v>
      </c>
      <c r="F2063" s="14">
        <v>0</v>
      </c>
      <c r="G2063" s="13">
        <v>776936.8593</v>
      </c>
      <c r="H2063" s="14">
        <v>2797586862.067277</v>
      </c>
      <c r="I2063" s="14" t="e">
        <f>=Round(63048.68720000,0)</f>
        <v>#VALUE!</v>
      </c>
      <c r="J2063" s="14" t="e">
        <f>=Round(0.00000000,0)</f>
        <v>#VALUE!</v>
      </c>
    </row>
    <row r="2064">
      <c r="A2064" s="11" t="s">
        <v>53</v>
      </c>
      <c r="B2064" s="12">
        <v>3601.445</v>
      </c>
      <c r="C2064" s="12">
        <v>0</v>
      </c>
      <c r="D2064" s="13">
        <v>0</v>
      </c>
      <c r="E2064" s="12">
        <v>0</v>
      </c>
      <c r="F2064" s="14">
        <v>0</v>
      </c>
      <c r="G2064" s="13">
        <v>776936.8593</v>
      </c>
      <c r="H2064" s="14">
        <v>2798095367.2416892</v>
      </c>
      <c r="I2064" s="14" t="e">
        <f>=Round(63060.35960000,0)</f>
        <v>#VALUE!</v>
      </c>
      <c r="J2064" s="14" t="e">
        <f>=Round(0.00000000,0)</f>
        <v>#VALUE!</v>
      </c>
    </row>
    <row r="2065">
      <c r="A2065" s="11" t="s">
        <v>54</v>
      </c>
      <c r="B2065" s="12">
        <v>3602.0851</v>
      </c>
      <c r="C2065" s="12">
        <v>0</v>
      </c>
      <c r="D2065" s="13">
        <v>0</v>
      </c>
      <c r="E2065" s="12">
        <v>0</v>
      </c>
      <c r="F2065" s="14">
        <v>0</v>
      </c>
      <c r="G2065" s="13">
        <v>776936.8593</v>
      </c>
      <c r="H2065" s="14">
        <v>2798592684.5253258</v>
      </c>
      <c r="I2065" s="14" t="e">
        <f>=Round(63071.82180000,0)</f>
        <v>#VALUE!</v>
      </c>
      <c r="J2065" s="14" t="e">
        <f>=Round(0.00000000,0)</f>
        <v>#VALUE!</v>
      </c>
    </row>
    <row r="2066">
      <c r="A2066" s="11" t="s">
        <v>55</v>
      </c>
      <c r="B2066" s="12">
        <v>3602.7417</v>
      </c>
      <c r="C2066" s="12">
        <v>0</v>
      </c>
      <c r="D2066" s="13">
        <v>0</v>
      </c>
      <c r="E2066" s="12">
        <v>0</v>
      </c>
      <c r="F2066" s="14">
        <v>0</v>
      </c>
      <c r="G2066" s="13">
        <v>776936.8593</v>
      </c>
      <c r="H2066" s="14">
        <v>2799102821.2671428</v>
      </c>
      <c r="I2066" s="14" t="e">
        <f>=Round(63083.03180000,0)</f>
        <v>#VALUE!</v>
      </c>
      <c r="J2066" s="14" t="e">
        <f>=Round(0.00000000,0)</f>
        <v>#VALUE!</v>
      </c>
    </row>
    <row r="2067" ht="-1">
      <c r="A2067" s="15"/>
      <c r="B2067" s="16" t="s">
        <v>56</v>
      </c>
      <c r="C2067" s="15"/>
      <c r="D2067" s="15"/>
      <c r="E2067" s="15"/>
      <c r="F2067" s="15"/>
      <c r="G2067" s="15"/>
      <c r="H2067" s="15"/>
      <c r="I2067" s="17" t="e">
        <f>=Round(SUM(I2041:I2066),0)</f>
        <v>#VALUE!</v>
      </c>
      <c r="J2067" s="17" t="e">
        <f>=Round(SUM(J2041:J2066),0)</f>
        <v>#VALUE!</v>
      </c>
    </row>
    <row r="2068">
      <c r="A2068" s="1" t="s">
        <v>0</v>
      </c>
      <c r="B2068" s="1"/>
      <c r="C2068" s="1"/>
      <c r="D2068" s="1"/>
    </row>
    <row r="2069">
      <c r="A2069" s="0" t="s">
        <v>1</v>
      </c>
      <c r="C2069" s="0" t="s">
        <v>2</v>
      </c>
      <c r="H2069" s="2" t="s">
        <v>3</v>
      </c>
    </row>
    <row r="2070">
      <c r="A2070" s="0" t="s">
        <v>4</v>
      </c>
      <c r="C2070" s="0" t="s">
        <v>109</v>
      </c>
      <c r="H2070" s="3" t="s">
        <v>6</v>
      </c>
    </row>
    <row r="2071">
      <c r="A2071" s="0" t="s">
        <v>7</v>
      </c>
      <c r="C2071" s="4" t="s">
        <v>8</v>
      </c>
      <c r="H2071" s="2" t="s">
        <v>9</v>
      </c>
    </row>
    <row r="2072">
      <c r="A2072" s="0" t="s">
        <v>10</v>
      </c>
      <c r="C2072" s="4" t="s">
        <v>11</v>
      </c>
      <c r="H2072" s="2" t="s">
        <v>12</v>
      </c>
    </row>
    <row r="2073">
      <c r="A2073" s="0" t="s">
        <v>13</v>
      </c>
      <c r="C2073" s="0" t="s">
        <v>14</v>
      </c>
    </row>
    <row r="2074">
      <c r="A2074" s="0" t="s">
        <v>15</v>
      </c>
      <c r="C2074" s="0" t="s">
        <v>16</v>
      </c>
    </row>
    <row r="2075">
      <c r="A2075" s="0" t="s">
        <v>17</v>
      </c>
      <c r="C2075" s="0" t="s">
        <v>18</v>
      </c>
    </row>
    <row r="2078">
      <c r="A2078" s="5" t="s">
        <v>19</v>
      </c>
      <c r="B2078" s="5" t="s">
        <v>20</v>
      </c>
      <c r="C2078" s="7" t="s">
        <v>21</v>
      </c>
      <c r="D2078" s="9"/>
      <c r="E2078" s="7" t="s">
        <v>22</v>
      </c>
      <c r="F2078" s="9"/>
      <c r="G2078" s="5" t="s">
        <v>23</v>
      </c>
      <c r="H2078" s="5" t="s">
        <v>24</v>
      </c>
      <c r="I2078" s="5" t="s">
        <v>25</v>
      </c>
      <c r="J2078" s="5" t="s">
        <v>26</v>
      </c>
    </row>
    <row r="2079">
      <c r="A2079" s="6"/>
      <c r="B2079" s="6"/>
      <c r="C2079" s="8" t="s">
        <v>27</v>
      </c>
      <c r="D2079" s="8" t="s">
        <v>28</v>
      </c>
      <c r="E2079" s="8" t="s">
        <v>27</v>
      </c>
      <c r="F2079" s="8" t="s">
        <v>28</v>
      </c>
      <c r="G2079" s="6"/>
      <c r="H2079" s="6"/>
      <c r="I2079" s="10" t="s">
        <v>29</v>
      </c>
      <c r="J2079" s="6"/>
    </row>
    <row r="2080">
      <c r="A2080" s="11" t="s">
        <v>30</v>
      </c>
      <c r="B2080" s="12">
        <v>3586.4187</v>
      </c>
      <c r="C2080" s="12">
        <v>0</v>
      </c>
      <c r="D2080" s="13">
        <v>0</v>
      </c>
      <c r="E2080" s="12">
        <v>0</v>
      </c>
      <c r="F2080" s="14">
        <v>0</v>
      </c>
      <c r="G2080" s="13">
        <v>2331984.3737</v>
      </c>
      <c r="H2080" s="14">
        <v>8363472365.9454679</v>
      </c>
      <c r="I2080" s="14" t="e">
        <f>=Round(188417.22440000,0)</f>
        <v>#VALUE!</v>
      </c>
      <c r="J2080" s="14" t="e">
        <f>=Round(0.00000000,0)</f>
        <v>#VALUE!</v>
      </c>
    </row>
    <row r="2081">
      <c r="A2081" s="11" t="s">
        <v>31</v>
      </c>
      <c r="B2081" s="12">
        <v>3587.0477</v>
      </c>
      <c r="C2081" s="12">
        <v>0</v>
      </c>
      <c r="D2081" s="13">
        <v>0</v>
      </c>
      <c r="E2081" s="12">
        <v>0</v>
      </c>
      <c r="F2081" s="14">
        <v>0</v>
      </c>
      <c r="G2081" s="13">
        <v>2331984.3737</v>
      </c>
      <c r="H2081" s="14">
        <v>8364939184.1165247</v>
      </c>
      <c r="I2081" s="14" t="e">
        <f>=Round(188520.89350000,0)</f>
        <v>#VALUE!</v>
      </c>
      <c r="J2081" s="14" t="e">
        <f>=Round(0.00000000,0)</f>
        <v>#VALUE!</v>
      </c>
    </row>
    <row r="2082">
      <c r="A2082" s="11" t="s">
        <v>32</v>
      </c>
      <c r="B2082" s="12">
        <v>3587.6685</v>
      </c>
      <c r="C2082" s="12">
        <v>0</v>
      </c>
      <c r="D2082" s="13">
        <v>0</v>
      </c>
      <c r="E2082" s="12">
        <v>0</v>
      </c>
      <c r="F2082" s="14">
        <v>0</v>
      </c>
      <c r="G2082" s="13">
        <v>2331984.3737</v>
      </c>
      <c r="H2082" s="14">
        <v>8366386880.0157185</v>
      </c>
      <c r="I2082" s="14" t="e">
        <f>=Round(188553.95700000,0)</f>
        <v>#VALUE!</v>
      </c>
      <c r="J2082" s="14" t="e">
        <f>=Round(0.00000000,0)</f>
        <v>#VALUE!</v>
      </c>
    </row>
    <row r="2083">
      <c r="A2083" s="11" t="s">
        <v>33</v>
      </c>
      <c r="B2083" s="12">
        <v>3588.3573</v>
      </c>
      <c r="C2083" s="12">
        <v>0</v>
      </c>
      <c r="D2083" s="13">
        <v>0</v>
      </c>
      <c r="E2083" s="12">
        <v>0</v>
      </c>
      <c r="F2083" s="14">
        <v>0</v>
      </c>
      <c r="G2083" s="13">
        <v>2331984.3737</v>
      </c>
      <c r="H2083" s="14">
        <v>8367993150.8523226</v>
      </c>
      <c r="I2083" s="14" t="e">
        <f>=Round(188586.58950000,0)</f>
        <v>#VALUE!</v>
      </c>
      <c r="J2083" s="14" t="e">
        <f>=Round(0.00000000,0)</f>
        <v>#VALUE!</v>
      </c>
    </row>
    <row r="2084">
      <c r="A2084" s="11" t="s">
        <v>34</v>
      </c>
      <c r="B2084" s="12">
        <v>3589.0109</v>
      </c>
      <c r="C2084" s="12">
        <v>0</v>
      </c>
      <c r="D2084" s="13">
        <v>0</v>
      </c>
      <c r="E2084" s="12">
        <v>0</v>
      </c>
      <c r="F2084" s="14">
        <v>0</v>
      </c>
      <c r="G2084" s="13">
        <v>2331984.3737</v>
      </c>
      <c r="H2084" s="14">
        <v>8369517335.838973</v>
      </c>
      <c r="I2084" s="14" t="e">
        <f>=Round(188622.79640000,0)</f>
        <v>#VALUE!</v>
      </c>
      <c r="J2084" s="14" t="e">
        <f>=Round(0.00000000,0)</f>
        <v>#VALUE!</v>
      </c>
    </row>
    <row r="2085">
      <c r="A2085" s="11" t="s">
        <v>35</v>
      </c>
      <c r="B2085" s="12">
        <v>3589.0109</v>
      </c>
      <c r="C2085" s="12">
        <v>0</v>
      </c>
      <c r="D2085" s="13">
        <v>0</v>
      </c>
      <c r="E2085" s="12">
        <v>0</v>
      </c>
      <c r="F2085" s="14">
        <v>0</v>
      </c>
      <c r="G2085" s="13">
        <v>2331984.3737</v>
      </c>
      <c r="H2085" s="14">
        <v>8369517335.838973</v>
      </c>
      <c r="I2085" s="14" t="e">
        <f>=Round(188657.15310000,0)</f>
        <v>#VALUE!</v>
      </c>
      <c r="J2085" s="14" t="e">
        <f>=Round(0.00000000,0)</f>
        <v>#VALUE!</v>
      </c>
    </row>
    <row r="2086">
      <c r="A2086" s="11" t="s">
        <v>36</v>
      </c>
      <c r="B2086" s="12">
        <v>3589.0109</v>
      </c>
      <c r="C2086" s="12">
        <v>0</v>
      </c>
      <c r="D2086" s="13">
        <v>0</v>
      </c>
      <c r="E2086" s="12">
        <v>0</v>
      </c>
      <c r="F2086" s="14">
        <v>0</v>
      </c>
      <c r="G2086" s="13">
        <v>2331984.3737</v>
      </c>
      <c r="H2086" s="14">
        <v>8369517335.838973</v>
      </c>
      <c r="I2086" s="14" t="e">
        <f>=Round(188657.15310000,0)</f>
        <v>#VALUE!</v>
      </c>
      <c r="J2086" s="14" t="e">
        <f>=Round(0.00000000,0)</f>
        <v>#VALUE!</v>
      </c>
    </row>
    <row r="2087">
      <c r="A2087" s="11" t="s">
        <v>37</v>
      </c>
      <c r="B2087" s="12">
        <v>3590.972</v>
      </c>
      <c r="C2087" s="12">
        <v>0</v>
      </c>
      <c r="D2087" s="13">
        <v>0</v>
      </c>
      <c r="E2087" s="12">
        <v>0</v>
      </c>
      <c r="F2087" s="14">
        <v>0</v>
      </c>
      <c r="G2087" s="13">
        <v>2331984.3737</v>
      </c>
      <c r="H2087" s="14">
        <v>8374090590.3942356</v>
      </c>
      <c r="I2087" s="14" t="e">
        <f>=Round(188657.15310000,0)</f>
        <v>#VALUE!</v>
      </c>
      <c r="J2087" s="14" t="e">
        <f>=Round(0.00000000,0)</f>
        <v>#VALUE!</v>
      </c>
    </row>
    <row r="2088">
      <c r="A2088" s="11" t="s">
        <v>38</v>
      </c>
      <c r="B2088" s="12">
        <v>3591.6235</v>
      </c>
      <c r="C2088" s="12">
        <v>0</v>
      </c>
      <c r="D2088" s="13">
        <v>0</v>
      </c>
      <c r="E2088" s="12">
        <v>0</v>
      </c>
      <c r="F2088" s="14">
        <v>0</v>
      </c>
      <c r="G2088" s="13">
        <v>2331984.3737</v>
      </c>
      <c r="H2088" s="14">
        <v>8375609878.2137022</v>
      </c>
      <c r="I2088" s="14" t="e">
        <f>=Round(188760.23870000,0)</f>
        <v>#VALUE!</v>
      </c>
      <c r="J2088" s="14" t="e">
        <f>=Round(0.00000000,0)</f>
        <v>#VALUE!</v>
      </c>
    </row>
    <row r="2089">
      <c r="A2089" s="11" t="s">
        <v>39</v>
      </c>
      <c r="B2089" s="12">
        <v>3592.281</v>
      </c>
      <c r="C2089" s="12">
        <v>0</v>
      </c>
      <c r="D2089" s="13">
        <v>0</v>
      </c>
      <c r="E2089" s="12">
        <v>0</v>
      </c>
      <c r="F2089" s="14">
        <v>0</v>
      </c>
      <c r="G2089" s="13">
        <v>2331984.3737</v>
      </c>
      <c r="H2089" s="14">
        <v>8377143157.93941</v>
      </c>
      <c r="I2089" s="14" t="e">
        <f>=Round(188794.48500000,0)</f>
        <v>#VALUE!</v>
      </c>
      <c r="J2089" s="14" t="e">
        <f>=Round(0.00000000,0)</f>
        <v>#VALUE!</v>
      </c>
    </row>
    <row r="2090">
      <c r="A2090" s="11" t="s">
        <v>40</v>
      </c>
      <c r="B2090" s="12">
        <v>3592.9125</v>
      </c>
      <c r="C2090" s="12">
        <v>0</v>
      </c>
      <c r="D2090" s="13">
        <v>0</v>
      </c>
      <c r="E2090" s="12">
        <v>0</v>
      </c>
      <c r="F2090" s="14">
        <v>0</v>
      </c>
      <c r="G2090" s="13">
        <v>2331984.3737</v>
      </c>
      <c r="H2090" s="14">
        <v>8378615806.0714006</v>
      </c>
      <c r="I2090" s="14" t="e">
        <f>=Round(188829.04660000,0)</f>
        <v>#VALUE!</v>
      </c>
      <c r="J2090" s="14" t="e">
        <f>=Round(0.00000000,0)</f>
        <v>#VALUE!</v>
      </c>
    </row>
    <row r="2091">
      <c r="A2091" s="11" t="s">
        <v>41</v>
      </c>
      <c r="B2091" s="12">
        <v>3593.5674</v>
      </c>
      <c r="C2091" s="12">
        <v>0</v>
      </c>
      <c r="D2091" s="13">
        <v>0</v>
      </c>
      <c r="E2091" s="12">
        <v>0</v>
      </c>
      <c r="F2091" s="14">
        <v>0</v>
      </c>
      <c r="G2091" s="13">
        <v>2331984.3737</v>
      </c>
      <c r="H2091" s="14">
        <v>8380143022.6377373</v>
      </c>
      <c r="I2091" s="14" t="e">
        <f>=Round(188862.24150000,0)</f>
        <v>#VALUE!</v>
      </c>
      <c r="J2091" s="14" t="e">
        <f>=Round(0.00000000,0)</f>
        <v>#VALUE!</v>
      </c>
    </row>
    <row r="2092">
      <c r="A2092" s="11" t="s">
        <v>42</v>
      </c>
      <c r="B2092" s="12">
        <v>3593.5674</v>
      </c>
      <c r="C2092" s="12">
        <v>0</v>
      </c>
      <c r="D2092" s="13">
        <v>0</v>
      </c>
      <c r="E2092" s="12">
        <v>0</v>
      </c>
      <c r="F2092" s="14">
        <v>0</v>
      </c>
      <c r="G2092" s="13">
        <v>2331984.3737</v>
      </c>
      <c r="H2092" s="14">
        <v>8380143022.6377373</v>
      </c>
      <c r="I2092" s="14" t="e">
        <f>=Round(188896.66650000,0)</f>
        <v>#VALUE!</v>
      </c>
      <c r="J2092" s="14" t="e">
        <f>=Round(0.00000000,0)</f>
        <v>#VALUE!</v>
      </c>
    </row>
    <row r="2093">
      <c r="A2093" s="11" t="s">
        <v>43</v>
      </c>
      <c r="B2093" s="12">
        <v>3593.5674</v>
      </c>
      <c r="C2093" s="12">
        <v>0</v>
      </c>
      <c r="D2093" s="13">
        <v>0</v>
      </c>
      <c r="E2093" s="12">
        <v>0</v>
      </c>
      <c r="F2093" s="14">
        <v>0</v>
      </c>
      <c r="G2093" s="13">
        <v>2331984.3737</v>
      </c>
      <c r="H2093" s="14">
        <v>8380143022.6377373</v>
      </c>
      <c r="I2093" s="14" t="e">
        <f>=Round(188896.66650000,0)</f>
        <v>#VALUE!</v>
      </c>
      <c r="J2093" s="14" t="e">
        <f>=Round(0.00000000,0)</f>
        <v>#VALUE!</v>
      </c>
    </row>
    <row r="2094">
      <c r="A2094" s="11" t="s">
        <v>44</v>
      </c>
      <c r="B2094" s="12">
        <v>3595.5366</v>
      </c>
      <c r="C2094" s="12">
        <v>0</v>
      </c>
      <c r="D2094" s="13">
        <v>0</v>
      </c>
      <c r="E2094" s="12">
        <v>0</v>
      </c>
      <c r="F2094" s="14">
        <v>0</v>
      </c>
      <c r="G2094" s="13">
        <v>2331984.3737</v>
      </c>
      <c r="H2094" s="14">
        <v>8384735166.266427</v>
      </c>
      <c r="I2094" s="14" t="e">
        <f>=Round(188896.66650000,0)</f>
        <v>#VALUE!</v>
      </c>
      <c r="J2094" s="14" t="e">
        <f>=Round(0.00000000,0)</f>
        <v>#VALUE!</v>
      </c>
    </row>
    <row r="2095">
      <c r="A2095" s="11" t="s">
        <v>45</v>
      </c>
      <c r="B2095" s="12">
        <v>3596.1915</v>
      </c>
      <c r="C2095" s="12">
        <v>0</v>
      </c>
      <c r="D2095" s="13">
        <v>0</v>
      </c>
      <c r="E2095" s="12">
        <v>0</v>
      </c>
      <c r="F2095" s="14">
        <v>0</v>
      </c>
      <c r="G2095" s="13">
        <v>2331984.3737</v>
      </c>
      <c r="H2095" s="14">
        <v>8386262382.8327637</v>
      </c>
      <c r="I2095" s="14" t="e">
        <f>=Round(189000.17790000,0)</f>
        <v>#VALUE!</v>
      </c>
      <c r="J2095" s="14" t="e">
        <f>=Round(0.00000000,0)</f>
        <v>#VALUE!</v>
      </c>
    </row>
    <row r="2096">
      <c r="A2096" s="11" t="s">
        <v>46</v>
      </c>
      <c r="B2096" s="12">
        <v>3596.8461</v>
      </c>
      <c r="C2096" s="12">
        <v>0</v>
      </c>
      <c r="D2096" s="13">
        <v>0</v>
      </c>
      <c r="E2096" s="12">
        <v>0</v>
      </c>
      <c r="F2096" s="14">
        <v>0</v>
      </c>
      <c r="G2096" s="13">
        <v>2331984.3737</v>
      </c>
      <c r="H2096" s="14">
        <v>8387788899.8037882</v>
      </c>
      <c r="I2096" s="14" t="e">
        <f>=Round(189034.60290000,0)</f>
        <v>#VALUE!</v>
      </c>
      <c r="J2096" s="14" t="e">
        <f>=Round(0.00000000,0)</f>
        <v>#VALUE!</v>
      </c>
    </row>
    <row r="2097">
      <c r="A2097" s="11" t="s">
        <v>47</v>
      </c>
      <c r="B2097" s="12">
        <v>3597.4992</v>
      </c>
      <c r="C2097" s="12">
        <v>0</v>
      </c>
      <c r="D2097" s="13">
        <v>0</v>
      </c>
      <c r="E2097" s="12">
        <v>0</v>
      </c>
      <c r="F2097" s="14">
        <v>0</v>
      </c>
      <c r="G2097" s="13">
        <v>2331984.3737</v>
      </c>
      <c r="H2097" s="14">
        <v>8389311918.7982512</v>
      </c>
      <c r="I2097" s="14" t="e">
        <f>=Round(189069.01210000,0)</f>
        <v>#VALUE!</v>
      </c>
      <c r="J2097" s="14" t="e">
        <f>=Round(0.00000000,0)</f>
        <v>#VALUE!</v>
      </c>
    </row>
    <row r="2098">
      <c r="A2098" s="11" t="s">
        <v>48</v>
      </c>
      <c r="B2098" s="12">
        <v>3598.1558</v>
      </c>
      <c r="C2098" s="12">
        <v>0</v>
      </c>
      <c r="D2098" s="13">
        <v>0</v>
      </c>
      <c r="E2098" s="12">
        <v>0</v>
      </c>
      <c r="F2098" s="14">
        <v>0</v>
      </c>
      <c r="G2098" s="13">
        <v>2331984.3737</v>
      </c>
      <c r="H2098" s="14">
        <v>8390843099.7380219</v>
      </c>
      <c r="I2098" s="14" t="e">
        <f>=Round(189103.34240000,0)</f>
        <v>#VALUE!</v>
      </c>
      <c r="J2098" s="14" t="e">
        <f>=Round(0.00000000,0)</f>
        <v>#VALUE!</v>
      </c>
    </row>
    <row r="2099">
      <c r="A2099" s="11" t="s">
        <v>49</v>
      </c>
      <c r="B2099" s="12">
        <v>3598.1558</v>
      </c>
      <c r="C2099" s="12">
        <v>0</v>
      </c>
      <c r="D2099" s="13">
        <v>0</v>
      </c>
      <c r="E2099" s="12">
        <v>0</v>
      </c>
      <c r="F2099" s="14">
        <v>0</v>
      </c>
      <c r="G2099" s="13">
        <v>2331984.3737</v>
      </c>
      <c r="H2099" s="14">
        <v>8390843099.7380219</v>
      </c>
      <c r="I2099" s="14" t="e">
        <f>=Round(189137.85680000,0)</f>
        <v>#VALUE!</v>
      </c>
      <c r="J2099" s="14" t="e">
        <f>=Round(0.00000000,0)</f>
        <v>#VALUE!</v>
      </c>
    </row>
    <row r="2100">
      <c r="A2100" s="11" t="s">
        <v>50</v>
      </c>
      <c r="B2100" s="12">
        <v>3598.1558</v>
      </c>
      <c r="C2100" s="12">
        <v>0</v>
      </c>
      <c r="D2100" s="13">
        <v>0</v>
      </c>
      <c r="E2100" s="12">
        <v>0</v>
      </c>
      <c r="F2100" s="14">
        <v>0</v>
      </c>
      <c r="G2100" s="13">
        <v>2331984.3737</v>
      </c>
      <c r="H2100" s="14">
        <v>8390843099.7380219</v>
      </c>
      <c r="I2100" s="14" t="e">
        <f>=Round(189137.85680000,0)</f>
        <v>#VALUE!</v>
      </c>
      <c r="J2100" s="14" t="e">
        <f>=Round(0.00000000,0)</f>
        <v>#VALUE!</v>
      </c>
    </row>
    <row r="2101">
      <c r="A2101" s="11" t="s">
        <v>51</v>
      </c>
      <c r="B2101" s="12">
        <v>3600.124</v>
      </c>
      <c r="C2101" s="12">
        <v>0</v>
      </c>
      <c r="D2101" s="13">
        <v>0</v>
      </c>
      <c r="E2101" s="12">
        <v>0</v>
      </c>
      <c r="F2101" s="14">
        <v>0</v>
      </c>
      <c r="G2101" s="13">
        <v>2331984.3737</v>
      </c>
      <c r="H2101" s="14">
        <v>8395432911.3823385</v>
      </c>
      <c r="I2101" s="14" t="e">
        <f>=Round(189137.85680000,0)</f>
        <v>#VALUE!</v>
      </c>
      <c r="J2101" s="14" t="e">
        <f>=Round(0.00000000,0)</f>
        <v>#VALUE!</v>
      </c>
    </row>
    <row r="2102">
      <c r="A2102" s="11" t="s">
        <v>52</v>
      </c>
      <c r="B2102" s="12">
        <v>3600.7905</v>
      </c>
      <c r="C2102" s="12">
        <v>0</v>
      </c>
      <c r="D2102" s="13">
        <v>0</v>
      </c>
      <c r="E2102" s="12">
        <v>0</v>
      </c>
      <c r="F2102" s="14">
        <v>0</v>
      </c>
      <c r="G2102" s="13">
        <v>2331984.3737</v>
      </c>
      <c r="H2102" s="14">
        <v>8396987178.96741</v>
      </c>
      <c r="I2102" s="14" t="e">
        <f>=Round(189241.31560000,0)</f>
        <v>#VALUE!</v>
      </c>
      <c r="J2102" s="14" t="e">
        <f>=Round(0.00000000,0)</f>
        <v>#VALUE!</v>
      </c>
    </row>
    <row r="2103">
      <c r="A2103" s="11" t="s">
        <v>53</v>
      </c>
      <c r="B2103" s="12">
        <v>3601.445</v>
      </c>
      <c r="C2103" s="12">
        <v>0</v>
      </c>
      <c r="D2103" s="13">
        <v>0</v>
      </c>
      <c r="E2103" s="12">
        <v>0</v>
      </c>
      <c r="F2103" s="14">
        <v>0</v>
      </c>
      <c r="G2103" s="13">
        <v>2331984.3737</v>
      </c>
      <c r="H2103" s="14">
        <v>8398513462.7399969</v>
      </c>
      <c r="I2103" s="14" t="e">
        <f>=Round(189276.35030000,0)</f>
        <v>#VALUE!</v>
      </c>
      <c r="J2103" s="14" t="e">
        <f>=Round(0.00000000,0)</f>
        <v>#VALUE!</v>
      </c>
    </row>
    <row r="2104">
      <c r="A2104" s="11" t="s">
        <v>54</v>
      </c>
      <c r="B2104" s="12">
        <v>3602.0851</v>
      </c>
      <c r="C2104" s="12">
        <v>0</v>
      </c>
      <c r="D2104" s="13">
        <v>0</v>
      </c>
      <c r="E2104" s="12">
        <v>0</v>
      </c>
      <c r="F2104" s="14">
        <v>0</v>
      </c>
      <c r="G2104" s="13">
        <v>2331984.3737</v>
      </c>
      <c r="H2104" s="14">
        <v>8400006165.937602</v>
      </c>
      <c r="I2104" s="14" t="e">
        <f>=Round(189310.75430000,0)</f>
        <v>#VALUE!</v>
      </c>
      <c r="J2104" s="14" t="e">
        <f>=Round(0.00000000,0)</f>
        <v>#VALUE!</v>
      </c>
    </row>
    <row r="2105">
      <c r="A2105" s="11" t="s">
        <v>55</v>
      </c>
      <c r="B2105" s="12">
        <v>3602.7417</v>
      </c>
      <c r="C2105" s="12">
        <v>0</v>
      </c>
      <c r="D2105" s="13">
        <v>0</v>
      </c>
      <c r="E2105" s="12">
        <v>0</v>
      </c>
      <c r="F2105" s="14">
        <v>0</v>
      </c>
      <c r="G2105" s="13">
        <v>2331984.3737</v>
      </c>
      <c r="H2105" s="14">
        <v>8401537346.8773727</v>
      </c>
      <c r="I2105" s="14" t="e">
        <f>=Round(189344.40130000,0)</f>
        <v>#VALUE!</v>
      </c>
      <c r="J2105" s="14" t="e">
        <f>=Round(0.00000000,0)</f>
        <v>#VALUE!</v>
      </c>
    </row>
    <row r="2106" ht="-1">
      <c r="A2106" s="15"/>
      <c r="B2106" s="16" t="s">
        <v>56</v>
      </c>
      <c r="C2106" s="15"/>
      <c r="D2106" s="15"/>
      <c r="E2106" s="15"/>
      <c r="F2106" s="15"/>
      <c r="G2106" s="15"/>
      <c r="H2106" s="15"/>
      <c r="I2106" s="17" t="e">
        <f>=Round(SUM(I2080:I2105),0)</f>
        <v>#VALUE!</v>
      </c>
      <c r="J2106" s="17" t="e">
        <f>=Round(SUM(J2080:J2105),0)</f>
        <v>#VALUE!</v>
      </c>
    </row>
    <row r="2107">
      <c r="A2107" s="1" t="s">
        <v>0</v>
      </c>
      <c r="B2107" s="1"/>
      <c r="C2107" s="1"/>
      <c r="D2107" s="1"/>
    </row>
    <row r="2108">
      <c r="A2108" s="0" t="s">
        <v>1</v>
      </c>
      <c r="C2108" s="0" t="s">
        <v>2</v>
      </c>
      <c r="H2108" s="2" t="s">
        <v>3</v>
      </c>
    </row>
    <row r="2109">
      <c r="A2109" s="0" t="s">
        <v>4</v>
      </c>
      <c r="C2109" s="0" t="s">
        <v>110</v>
      </c>
      <c r="H2109" s="3" t="s">
        <v>6</v>
      </c>
    </row>
    <row r="2110">
      <c r="A2110" s="0" t="s">
        <v>7</v>
      </c>
      <c r="C2110" s="4" t="s">
        <v>8</v>
      </c>
      <c r="H2110" s="2" t="s">
        <v>9</v>
      </c>
    </row>
    <row r="2111">
      <c r="A2111" s="0" t="s">
        <v>10</v>
      </c>
      <c r="C2111" s="4" t="s">
        <v>11</v>
      </c>
      <c r="H2111" s="2" t="s">
        <v>12</v>
      </c>
    </row>
    <row r="2112">
      <c r="A2112" s="0" t="s">
        <v>13</v>
      </c>
      <c r="C2112" s="0" t="s">
        <v>14</v>
      </c>
    </row>
    <row r="2113">
      <c r="A2113" s="0" t="s">
        <v>15</v>
      </c>
      <c r="C2113" s="0" t="s">
        <v>16</v>
      </c>
    </row>
    <row r="2114">
      <c r="A2114" s="0" t="s">
        <v>17</v>
      </c>
      <c r="C2114" s="0" t="s">
        <v>18</v>
      </c>
    </row>
    <row r="2117">
      <c r="A2117" s="5" t="s">
        <v>19</v>
      </c>
      <c r="B2117" s="5" t="s">
        <v>20</v>
      </c>
      <c r="C2117" s="7" t="s">
        <v>21</v>
      </c>
      <c r="D2117" s="9"/>
      <c r="E2117" s="7" t="s">
        <v>22</v>
      </c>
      <c r="F2117" s="9"/>
      <c r="G2117" s="5" t="s">
        <v>23</v>
      </c>
      <c r="H2117" s="5" t="s">
        <v>24</v>
      </c>
      <c r="I2117" s="5" t="s">
        <v>25</v>
      </c>
      <c r="J2117" s="5" t="s">
        <v>26</v>
      </c>
    </row>
    <row r="2118">
      <c r="A2118" s="6"/>
      <c r="B2118" s="6"/>
      <c r="C2118" s="8" t="s">
        <v>27</v>
      </c>
      <c r="D2118" s="8" t="s">
        <v>28</v>
      </c>
      <c r="E2118" s="8" t="s">
        <v>27</v>
      </c>
      <c r="F2118" s="8" t="s">
        <v>28</v>
      </c>
      <c r="G2118" s="6"/>
      <c r="H2118" s="6"/>
      <c r="I2118" s="10" t="s">
        <v>29</v>
      </c>
      <c r="J2118" s="6"/>
    </row>
    <row r="2119">
      <c r="A2119" s="11" t="s">
        <v>30</v>
      </c>
      <c r="B2119" s="12">
        <v>3586.4187</v>
      </c>
      <c r="C2119" s="12">
        <v>0</v>
      </c>
      <c r="D2119" s="13">
        <v>0</v>
      </c>
      <c r="E2119" s="12">
        <v>0</v>
      </c>
      <c r="F2119" s="14">
        <v>0</v>
      </c>
      <c r="G2119" s="13">
        <v>2733568.8721</v>
      </c>
      <c r="H2119" s="14">
        <v>9803722520.6373482</v>
      </c>
      <c r="I2119" s="14" t="e">
        <f>=Round(220864.02690000,0)</f>
        <v>#VALUE!</v>
      </c>
      <c r="J2119" s="14" t="e">
        <f>=Round(0.00000000,0)</f>
        <v>#VALUE!</v>
      </c>
    </row>
    <row r="2120">
      <c r="A2120" s="11" t="s">
        <v>31</v>
      </c>
      <c r="B2120" s="12">
        <v>3587.0477</v>
      </c>
      <c r="C2120" s="12">
        <v>0</v>
      </c>
      <c r="D2120" s="13">
        <v>0</v>
      </c>
      <c r="E2120" s="12">
        <v>0</v>
      </c>
      <c r="F2120" s="14">
        <v>0</v>
      </c>
      <c r="G2120" s="13">
        <v>2733568.8721</v>
      </c>
      <c r="H2120" s="14">
        <v>9805441935.4579</v>
      </c>
      <c r="I2120" s="14" t="e">
        <f>=Round(220985.54860000,0)</f>
        <v>#VALUE!</v>
      </c>
      <c r="J2120" s="14" t="e">
        <f>=Round(0.00000000,0)</f>
        <v>#VALUE!</v>
      </c>
    </row>
    <row r="2121">
      <c r="A2121" s="11" t="s">
        <v>32</v>
      </c>
      <c r="B2121" s="12">
        <v>3587.6685</v>
      </c>
      <c r="C2121" s="12">
        <v>0</v>
      </c>
      <c r="D2121" s="13">
        <v>0</v>
      </c>
      <c r="E2121" s="12">
        <v>0</v>
      </c>
      <c r="F2121" s="14">
        <v>0</v>
      </c>
      <c r="G2121" s="13">
        <v>2733568.8721</v>
      </c>
      <c r="H2121" s="14">
        <v>9807138935.0137</v>
      </c>
      <c r="I2121" s="14" t="e">
        <f>=Round(221024.30590000,0)</f>
        <v>#VALUE!</v>
      </c>
      <c r="J2121" s="14" t="e">
        <f>=Round(0.00000000,0)</f>
        <v>#VALUE!</v>
      </c>
    </row>
    <row r="2122">
      <c r="A2122" s="11" t="s">
        <v>33</v>
      </c>
      <c r="B2122" s="12">
        <v>3588.3573</v>
      </c>
      <c r="C2122" s="12">
        <v>0</v>
      </c>
      <c r="D2122" s="13">
        <v>0</v>
      </c>
      <c r="E2122" s="12">
        <v>0</v>
      </c>
      <c r="F2122" s="14">
        <v>0</v>
      </c>
      <c r="G2122" s="13">
        <v>2733568.8721</v>
      </c>
      <c r="H2122" s="14">
        <v>9809021817.2528</v>
      </c>
      <c r="I2122" s="14" t="e">
        <f>=Round(221062.55800000,0)</f>
        <v>#VALUE!</v>
      </c>
      <c r="J2122" s="14" t="e">
        <f>=Round(0.00000000,0)</f>
        <v>#VALUE!</v>
      </c>
    </row>
    <row r="2123">
      <c r="A2123" s="11" t="s">
        <v>34</v>
      </c>
      <c r="B2123" s="12">
        <v>3589.0109</v>
      </c>
      <c r="C2123" s="12">
        <v>0</v>
      </c>
      <c r="D2123" s="13">
        <v>0</v>
      </c>
      <c r="E2123" s="12">
        <v>0</v>
      </c>
      <c r="F2123" s="14">
        <v>0</v>
      </c>
      <c r="G2123" s="13">
        <v>2733568.8721</v>
      </c>
      <c r="H2123" s="14">
        <v>9810808477.8676052</v>
      </c>
      <c r="I2123" s="14" t="e">
        <f>=Round(221105.00000000,0)</f>
        <v>#VALUE!</v>
      </c>
      <c r="J2123" s="14" t="e">
        <f>=Round(0.00000000,0)</f>
        <v>#VALUE!</v>
      </c>
    </row>
    <row r="2124">
      <c r="A2124" s="11" t="s">
        <v>35</v>
      </c>
      <c r="B2124" s="12">
        <v>3589.0109</v>
      </c>
      <c r="C2124" s="12">
        <v>0</v>
      </c>
      <c r="D2124" s="13">
        <v>0</v>
      </c>
      <c r="E2124" s="12">
        <v>0</v>
      </c>
      <c r="F2124" s="14">
        <v>0</v>
      </c>
      <c r="G2124" s="13">
        <v>2733568.8721</v>
      </c>
      <c r="H2124" s="14">
        <v>9810808477.8676052</v>
      </c>
      <c r="I2124" s="14" t="e">
        <f>=Round(221145.27310000,0)</f>
        <v>#VALUE!</v>
      </c>
      <c r="J2124" s="14" t="e">
        <f>=Round(0.00000000,0)</f>
        <v>#VALUE!</v>
      </c>
    </row>
    <row r="2125">
      <c r="A2125" s="11" t="s">
        <v>36</v>
      </c>
      <c r="B2125" s="12">
        <v>3589.0109</v>
      </c>
      <c r="C2125" s="12">
        <v>0</v>
      </c>
      <c r="D2125" s="13">
        <v>0</v>
      </c>
      <c r="E2125" s="12">
        <v>0</v>
      </c>
      <c r="F2125" s="14">
        <v>0</v>
      </c>
      <c r="G2125" s="13">
        <v>2733568.8721</v>
      </c>
      <c r="H2125" s="14">
        <v>9810808477.8676052</v>
      </c>
      <c r="I2125" s="14" t="e">
        <f>=Round(221145.27310000,0)</f>
        <v>#VALUE!</v>
      </c>
      <c r="J2125" s="14" t="e">
        <f>=Round(0.00000000,0)</f>
        <v>#VALUE!</v>
      </c>
    </row>
    <row r="2126">
      <c r="A2126" s="11" t="s">
        <v>37</v>
      </c>
      <c r="B2126" s="12">
        <v>3590.972</v>
      </c>
      <c r="C2126" s="12">
        <v>0</v>
      </c>
      <c r="D2126" s="13">
        <v>0</v>
      </c>
      <c r="E2126" s="12">
        <v>0</v>
      </c>
      <c r="F2126" s="14">
        <v>0</v>
      </c>
      <c r="G2126" s="13">
        <v>2733568.8721</v>
      </c>
      <c r="H2126" s="14">
        <v>9816169279.78268</v>
      </c>
      <c r="I2126" s="14" t="e">
        <f>=Round(221145.27310000,0)</f>
        <v>#VALUE!</v>
      </c>
      <c r="J2126" s="14" t="e">
        <f>=Round(0.00000000,0)</f>
        <v>#VALUE!</v>
      </c>
    </row>
    <row r="2127">
      <c r="A2127" s="11" t="s">
        <v>38</v>
      </c>
      <c r="B2127" s="12">
        <v>3591.6235</v>
      </c>
      <c r="C2127" s="12">
        <v>0</v>
      </c>
      <c r="D2127" s="13">
        <v>0</v>
      </c>
      <c r="E2127" s="12">
        <v>0</v>
      </c>
      <c r="F2127" s="14">
        <v>0</v>
      </c>
      <c r="G2127" s="13">
        <v>2733568.8721</v>
      </c>
      <c r="H2127" s="14">
        <v>9817950199.9028549</v>
      </c>
      <c r="I2127" s="14" t="e">
        <f>=Round(221266.11080000,0)</f>
        <v>#VALUE!</v>
      </c>
      <c r="J2127" s="14" t="e">
        <f>=Round(0.00000000,0)</f>
        <v>#VALUE!</v>
      </c>
    </row>
    <row r="2128">
      <c r="A2128" s="11" t="s">
        <v>39</v>
      </c>
      <c r="B2128" s="12">
        <v>3592.281</v>
      </c>
      <c r="C2128" s="12">
        <v>0</v>
      </c>
      <c r="D2128" s="13">
        <v>0</v>
      </c>
      <c r="E2128" s="12">
        <v>0</v>
      </c>
      <c r="F2128" s="14">
        <v>0</v>
      </c>
      <c r="G2128" s="13">
        <v>2733568.8721</v>
      </c>
      <c r="H2128" s="14">
        <v>9819747521.43626</v>
      </c>
      <c r="I2128" s="14" t="e">
        <f>=Round(221306.25450000,0)</f>
        <v>#VALUE!</v>
      </c>
      <c r="J2128" s="14" t="e">
        <f>=Round(0.00000000,0)</f>
        <v>#VALUE!</v>
      </c>
    </row>
    <row r="2129">
      <c r="A2129" s="11" t="s">
        <v>40</v>
      </c>
      <c r="B2129" s="12">
        <v>3592.9125</v>
      </c>
      <c r="C2129" s="12">
        <v>0</v>
      </c>
      <c r="D2129" s="13">
        <v>0</v>
      </c>
      <c r="E2129" s="12">
        <v>0</v>
      </c>
      <c r="F2129" s="14">
        <v>0</v>
      </c>
      <c r="G2129" s="13">
        <v>2733568.8721</v>
      </c>
      <c r="H2129" s="14">
        <v>9821473770.1789913</v>
      </c>
      <c r="I2129" s="14" t="e">
        <f>=Round(221346.76790000,0)</f>
        <v>#VALUE!</v>
      </c>
      <c r="J2129" s="14" t="e">
        <f>=Round(0.00000000,0)</f>
        <v>#VALUE!</v>
      </c>
    </row>
    <row r="2130">
      <c r="A2130" s="11" t="s">
        <v>41</v>
      </c>
      <c r="B2130" s="12">
        <v>3593.5674</v>
      </c>
      <c r="C2130" s="12">
        <v>0</v>
      </c>
      <c r="D2130" s="13">
        <v>0</v>
      </c>
      <c r="E2130" s="12">
        <v>0</v>
      </c>
      <c r="F2130" s="14">
        <v>0</v>
      </c>
      <c r="G2130" s="13">
        <v>2733568.8721</v>
      </c>
      <c r="H2130" s="14">
        <v>9823263984.43333</v>
      </c>
      <c r="I2130" s="14" t="e">
        <f>=Round(221385.67920000,0)</f>
        <v>#VALUE!</v>
      </c>
      <c r="J2130" s="14" t="e">
        <f>=Round(0.00000000,0)</f>
        <v>#VALUE!</v>
      </c>
    </row>
    <row r="2131">
      <c r="A2131" s="11" t="s">
        <v>42</v>
      </c>
      <c r="B2131" s="12">
        <v>3593.5674</v>
      </c>
      <c r="C2131" s="12">
        <v>0</v>
      </c>
      <c r="D2131" s="13">
        <v>0</v>
      </c>
      <c r="E2131" s="12">
        <v>0</v>
      </c>
      <c r="F2131" s="14">
        <v>0</v>
      </c>
      <c r="G2131" s="13">
        <v>2733568.8721</v>
      </c>
      <c r="H2131" s="14">
        <v>9823263984.43333</v>
      </c>
      <c r="I2131" s="14" t="e">
        <f>=Round(221426.03240000,0)</f>
        <v>#VALUE!</v>
      </c>
      <c r="J2131" s="14" t="e">
        <f>=Round(0.00000000,0)</f>
        <v>#VALUE!</v>
      </c>
    </row>
    <row r="2132">
      <c r="A2132" s="11" t="s">
        <v>43</v>
      </c>
      <c r="B2132" s="12">
        <v>3593.5674</v>
      </c>
      <c r="C2132" s="12">
        <v>0</v>
      </c>
      <c r="D2132" s="13">
        <v>0</v>
      </c>
      <c r="E2132" s="12">
        <v>0</v>
      </c>
      <c r="F2132" s="14">
        <v>0</v>
      </c>
      <c r="G2132" s="13">
        <v>2733568.8721</v>
      </c>
      <c r="H2132" s="14">
        <v>9823263984.43333</v>
      </c>
      <c r="I2132" s="14" t="e">
        <f>=Round(221426.03240000,0)</f>
        <v>#VALUE!</v>
      </c>
      <c r="J2132" s="14" t="e">
        <f>=Round(0.00000000,0)</f>
        <v>#VALUE!</v>
      </c>
    </row>
    <row r="2133">
      <c r="A2133" s="11" t="s">
        <v>44</v>
      </c>
      <c r="B2133" s="12">
        <v>3595.5366</v>
      </c>
      <c r="C2133" s="12">
        <v>0</v>
      </c>
      <c r="D2133" s="13">
        <v>0</v>
      </c>
      <c r="E2133" s="12">
        <v>0</v>
      </c>
      <c r="F2133" s="14">
        <v>0</v>
      </c>
      <c r="G2133" s="13">
        <v>2733568.8721</v>
      </c>
      <c r="H2133" s="14">
        <v>9828646928.2562675</v>
      </c>
      <c r="I2133" s="14" t="e">
        <f>=Round(221426.03240000,0)</f>
        <v>#VALUE!</v>
      </c>
      <c r="J2133" s="14" t="e">
        <f>=Round(0.00000000,0)</f>
        <v>#VALUE!</v>
      </c>
    </row>
    <row r="2134">
      <c r="A2134" s="11" t="s">
        <v>45</v>
      </c>
      <c r="B2134" s="12">
        <v>3596.1915</v>
      </c>
      <c r="C2134" s="12">
        <v>0</v>
      </c>
      <c r="D2134" s="13">
        <v>0</v>
      </c>
      <c r="E2134" s="12">
        <v>0</v>
      </c>
      <c r="F2134" s="14">
        <v>0</v>
      </c>
      <c r="G2134" s="13">
        <v>2733568.8721</v>
      </c>
      <c r="H2134" s="14">
        <v>9830437142.5106087</v>
      </c>
      <c r="I2134" s="14" t="e">
        <f>=Round(221547.36930000,0)</f>
        <v>#VALUE!</v>
      </c>
      <c r="J2134" s="14" t="e">
        <f>=Round(0.00000000,0)</f>
        <v>#VALUE!</v>
      </c>
    </row>
    <row r="2135">
      <c r="A2135" s="11" t="s">
        <v>46</v>
      </c>
      <c r="B2135" s="12">
        <v>3596.8461</v>
      </c>
      <c r="C2135" s="12">
        <v>0</v>
      </c>
      <c r="D2135" s="13">
        <v>0</v>
      </c>
      <c r="E2135" s="12">
        <v>0</v>
      </c>
      <c r="F2135" s="14">
        <v>0</v>
      </c>
      <c r="G2135" s="13">
        <v>2733568.8721</v>
      </c>
      <c r="H2135" s="14">
        <v>9832226536.6942844</v>
      </c>
      <c r="I2135" s="14" t="e">
        <f>=Round(221587.72250000,0)</f>
        <v>#VALUE!</v>
      </c>
      <c r="J2135" s="14" t="e">
        <f>=Round(0.00000000,0)</f>
        <v>#VALUE!</v>
      </c>
    </row>
    <row r="2136">
      <c r="A2136" s="11" t="s">
        <v>47</v>
      </c>
      <c r="B2136" s="12">
        <v>3597.4992</v>
      </c>
      <c r="C2136" s="12">
        <v>0</v>
      </c>
      <c r="D2136" s="13">
        <v>0</v>
      </c>
      <c r="E2136" s="12">
        <v>0</v>
      </c>
      <c r="F2136" s="14">
        <v>0</v>
      </c>
      <c r="G2136" s="13">
        <v>2733568.8721</v>
      </c>
      <c r="H2136" s="14">
        <v>9834011830.5246525</v>
      </c>
      <c r="I2136" s="14" t="e">
        <f>=Round(221628.05720000,0)</f>
        <v>#VALUE!</v>
      </c>
      <c r="J2136" s="14" t="e">
        <f>=Round(0.00000000,0)</f>
        <v>#VALUE!</v>
      </c>
    </row>
    <row r="2137">
      <c r="A2137" s="11" t="s">
        <v>48</v>
      </c>
      <c r="B2137" s="12">
        <v>3598.1558</v>
      </c>
      <c r="C2137" s="12">
        <v>0</v>
      </c>
      <c r="D2137" s="13">
        <v>0</v>
      </c>
      <c r="E2137" s="12">
        <v>0</v>
      </c>
      <c r="F2137" s="14">
        <v>0</v>
      </c>
      <c r="G2137" s="13">
        <v>2733568.8721</v>
      </c>
      <c r="H2137" s="14">
        <v>9835806691.8460712</v>
      </c>
      <c r="I2137" s="14" t="e">
        <f>=Round(221668.29950000,0)</f>
        <v>#VALUE!</v>
      </c>
      <c r="J2137" s="14" t="e">
        <f>=Round(0.00000000,0)</f>
        <v>#VALUE!</v>
      </c>
    </row>
    <row r="2138">
      <c r="A2138" s="11" t="s">
        <v>49</v>
      </c>
      <c r="B2138" s="12">
        <v>3598.1558</v>
      </c>
      <c r="C2138" s="12">
        <v>0</v>
      </c>
      <c r="D2138" s="13">
        <v>0</v>
      </c>
      <c r="E2138" s="12">
        <v>0</v>
      </c>
      <c r="F2138" s="14">
        <v>0</v>
      </c>
      <c r="G2138" s="13">
        <v>2733568.8721</v>
      </c>
      <c r="H2138" s="14">
        <v>9835806691.8460712</v>
      </c>
      <c r="I2138" s="14" t="e">
        <f>=Round(221708.75740000,0)</f>
        <v>#VALUE!</v>
      </c>
      <c r="J2138" s="14" t="e">
        <f>=Round(0.00000000,0)</f>
        <v>#VALUE!</v>
      </c>
    </row>
    <row r="2139">
      <c r="A2139" s="11" t="s">
        <v>50</v>
      </c>
      <c r="B2139" s="12">
        <v>3598.1558</v>
      </c>
      <c r="C2139" s="12">
        <v>0</v>
      </c>
      <c r="D2139" s="13">
        <v>0</v>
      </c>
      <c r="E2139" s="12">
        <v>0</v>
      </c>
      <c r="F2139" s="14">
        <v>0</v>
      </c>
      <c r="G2139" s="13">
        <v>2733568.8721</v>
      </c>
      <c r="H2139" s="14">
        <v>9835806691.8460712</v>
      </c>
      <c r="I2139" s="14" t="e">
        <f>=Round(221708.75740000,0)</f>
        <v>#VALUE!</v>
      </c>
      <c r="J2139" s="14" t="e">
        <f>=Round(0.00000000,0)</f>
        <v>#VALUE!</v>
      </c>
    </row>
    <row r="2140">
      <c r="A2140" s="11" t="s">
        <v>51</v>
      </c>
      <c r="B2140" s="12">
        <v>3600.124</v>
      </c>
      <c r="C2140" s="12">
        <v>0</v>
      </c>
      <c r="D2140" s="13">
        <v>0</v>
      </c>
      <c r="E2140" s="12">
        <v>0</v>
      </c>
      <c r="F2140" s="14">
        <v>0</v>
      </c>
      <c r="G2140" s="13">
        <v>2733568.8721</v>
      </c>
      <c r="H2140" s="14">
        <v>9841186902.10014</v>
      </c>
      <c r="I2140" s="14" t="e">
        <f>=Round(221708.75740000,0)</f>
        <v>#VALUE!</v>
      </c>
      <c r="J2140" s="14" t="e">
        <f>=Round(0.00000000,0)</f>
        <v>#VALUE!</v>
      </c>
    </row>
    <row r="2141">
      <c r="A2141" s="11" t="s">
        <v>52</v>
      </c>
      <c r="B2141" s="12">
        <v>3600.7905</v>
      </c>
      <c r="C2141" s="12">
        <v>0</v>
      </c>
      <c r="D2141" s="13">
        <v>0</v>
      </c>
      <c r="E2141" s="12">
        <v>0</v>
      </c>
      <c r="F2141" s="14">
        <v>0</v>
      </c>
      <c r="G2141" s="13">
        <v>2733568.8721</v>
      </c>
      <c r="H2141" s="14">
        <v>9843008825.7533951</v>
      </c>
      <c r="I2141" s="14" t="e">
        <f>=Round(221830.03260000,0)</f>
        <v>#VALUE!</v>
      </c>
      <c r="J2141" s="14" t="e">
        <f>=Round(0.00000000,0)</f>
        <v>#VALUE!</v>
      </c>
    </row>
    <row r="2142">
      <c r="A2142" s="11" t="s">
        <v>53</v>
      </c>
      <c r="B2142" s="12">
        <v>3601.445</v>
      </c>
      <c r="C2142" s="12">
        <v>0</v>
      </c>
      <c r="D2142" s="13">
        <v>0</v>
      </c>
      <c r="E2142" s="12">
        <v>0</v>
      </c>
      <c r="F2142" s="14">
        <v>0</v>
      </c>
      <c r="G2142" s="13">
        <v>2733568.8721</v>
      </c>
      <c r="H2142" s="14">
        <v>9844797946.5801849</v>
      </c>
      <c r="I2142" s="14" t="e">
        <f>=Round(221871.10060000,0)</f>
        <v>#VALUE!</v>
      </c>
      <c r="J2142" s="14" t="e">
        <f>=Round(0.00000000,0)</f>
        <v>#VALUE!</v>
      </c>
    </row>
    <row r="2143">
      <c r="A2143" s="11" t="s">
        <v>54</v>
      </c>
      <c r="B2143" s="12">
        <v>3602.0851</v>
      </c>
      <c r="C2143" s="12">
        <v>0</v>
      </c>
      <c r="D2143" s="13">
        <v>0</v>
      </c>
      <c r="E2143" s="12">
        <v>0</v>
      </c>
      <c r="F2143" s="14">
        <v>0</v>
      </c>
      <c r="G2143" s="13">
        <v>2733568.8721</v>
      </c>
      <c r="H2143" s="14">
        <v>9846547704.0152168</v>
      </c>
      <c r="I2143" s="14" t="e">
        <f>=Round(221911.42910000,0)</f>
        <v>#VALUE!</v>
      </c>
      <c r="J2143" s="14" t="e">
        <f>=Round(0.00000000,0)</f>
        <v>#VALUE!</v>
      </c>
    </row>
    <row r="2144">
      <c r="A2144" s="11" t="s">
        <v>55</v>
      </c>
      <c r="B2144" s="12">
        <v>3602.7417</v>
      </c>
      <c r="C2144" s="12">
        <v>0</v>
      </c>
      <c r="D2144" s="13">
        <v>0</v>
      </c>
      <c r="E2144" s="12">
        <v>0</v>
      </c>
      <c r="F2144" s="14">
        <v>0</v>
      </c>
      <c r="G2144" s="13">
        <v>2733568.8721</v>
      </c>
      <c r="H2144" s="14">
        <v>9848342565.3366356</v>
      </c>
      <c r="I2144" s="14" t="e">
        <f>=Round(221950.87040000,0)</f>
        <v>#VALUE!</v>
      </c>
      <c r="J2144" s="14" t="e">
        <f>=Round(0.00000000,0)</f>
        <v>#VALUE!</v>
      </c>
    </row>
    <row r="2145" ht="-1">
      <c r="A2145" s="15"/>
      <c r="B2145" s="16" t="s">
        <v>56</v>
      </c>
      <c r="C2145" s="15"/>
      <c r="D2145" s="15"/>
      <c r="E2145" s="15"/>
      <c r="F2145" s="15"/>
      <c r="G2145" s="15"/>
      <c r="H2145" s="15"/>
      <c r="I2145" s="17" t="e">
        <f>=Round(SUM(I2119:I2144),0)</f>
        <v>#VALUE!</v>
      </c>
      <c r="J2145" s="17" t="e">
        <f>=Round(SUM(J2119:J2144),0)</f>
        <v>#VALUE!</v>
      </c>
    </row>
    <row r="2146">
      <c r="A2146" s="1" t="s">
        <v>0</v>
      </c>
      <c r="B2146" s="1"/>
      <c r="C2146" s="1"/>
      <c r="D2146" s="1"/>
    </row>
    <row r="2147">
      <c r="A2147" s="0" t="s">
        <v>1</v>
      </c>
      <c r="C2147" s="0" t="s">
        <v>2</v>
      </c>
      <c r="H2147" s="2" t="s">
        <v>3</v>
      </c>
    </row>
    <row r="2148">
      <c r="A2148" s="0" t="s">
        <v>4</v>
      </c>
      <c r="C2148" s="0" t="s">
        <v>111</v>
      </c>
      <c r="H2148" s="3" t="s">
        <v>6</v>
      </c>
    </row>
    <row r="2149">
      <c r="A2149" s="0" t="s">
        <v>7</v>
      </c>
      <c r="C2149" s="4" t="s">
        <v>8</v>
      </c>
      <c r="H2149" s="2" t="s">
        <v>9</v>
      </c>
    </row>
    <row r="2150">
      <c r="A2150" s="0" t="s">
        <v>10</v>
      </c>
      <c r="C2150" s="4" t="s">
        <v>11</v>
      </c>
      <c r="H2150" s="2" t="s">
        <v>12</v>
      </c>
    </row>
    <row r="2151">
      <c r="A2151" s="0" t="s">
        <v>13</v>
      </c>
      <c r="C2151" s="0" t="s">
        <v>14</v>
      </c>
    </row>
    <row r="2152">
      <c r="A2152" s="0" t="s">
        <v>15</v>
      </c>
      <c r="C2152" s="0" t="s">
        <v>16</v>
      </c>
    </row>
    <row r="2153">
      <c r="A2153" s="0" t="s">
        <v>17</v>
      </c>
      <c r="C2153" s="0" t="s">
        <v>18</v>
      </c>
    </row>
    <row r="2156">
      <c r="A2156" s="5" t="s">
        <v>19</v>
      </c>
      <c r="B2156" s="5" t="s">
        <v>20</v>
      </c>
      <c r="C2156" s="7" t="s">
        <v>21</v>
      </c>
      <c r="D2156" s="9"/>
      <c r="E2156" s="7" t="s">
        <v>22</v>
      </c>
      <c r="F2156" s="9"/>
      <c r="G2156" s="5" t="s">
        <v>23</v>
      </c>
      <c r="H2156" s="5" t="s">
        <v>24</v>
      </c>
      <c r="I2156" s="5" t="s">
        <v>25</v>
      </c>
      <c r="J2156" s="5" t="s">
        <v>26</v>
      </c>
    </row>
    <row r="2157">
      <c r="A2157" s="6"/>
      <c r="B2157" s="6"/>
      <c r="C2157" s="8" t="s">
        <v>27</v>
      </c>
      <c r="D2157" s="8" t="s">
        <v>28</v>
      </c>
      <c r="E2157" s="8" t="s">
        <v>27</v>
      </c>
      <c r="F2157" s="8" t="s">
        <v>28</v>
      </c>
      <c r="G2157" s="6"/>
      <c r="H2157" s="6"/>
      <c r="I2157" s="10" t="s">
        <v>29</v>
      </c>
      <c r="J2157" s="6"/>
    </row>
    <row r="2158">
      <c r="A2158" s="11" t="s">
        <v>30</v>
      </c>
      <c r="B2158" s="12">
        <v>3586.4187</v>
      </c>
      <c r="C2158" s="12">
        <v>0</v>
      </c>
      <c r="D2158" s="13">
        <v>0</v>
      </c>
      <c r="E2158" s="12">
        <v>0</v>
      </c>
      <c r="F2158" s="14">
        <v>0</v>
      </c>
      <c r="G2158" s="13">
        <v>454731.9336</v>
      </c>
      <c r="H2158" s="14">
        <v>1630859110.150198</v>
      </c>
      <c r="I2158" s="14" t="e">
        <f>=Round(36740.95320000,0)</f>
        <v>#VALUE!</v>
      </c>
      <c r="J2158" s="14" t="e">
        <f>=Round(0.00000000,0)</f>
        <v>#VALUE!</v>
      </c>
    </row>
    <row r="2159">
      <c r="A2159" s="11" t="s">
        <v>31</v>
      </c>
      <c r="B2159" s="12">
        <v>3587.0477</v>
      </c>
      <c r="C2159" s="12">
        <v>0</v>
      </c>
      <c r="D2159" s="13">
        <v>0</v>
      </c>
      <c r="E2159" s="12">
        <v>0</v>
      </c>
      <c r="F2159" s="14">
        <v>0</v>
      </c>
      <c r="G2159" s="13">
        <v>454731.9336</v>
      </c>
      <c r="H2159" s="14">
        <v>1631145136.536433</v>
      </c>
      <c r="I2159" s="14" t="e">
        <f>=Round(36761.16850000,0)</f>
        <v>#VALUE!</v>
      </c>
      <c r="J2159" s="14" t="e">
        <f>=Round(0.00000000,0)</f>
        <v>#VALUE!</v>
      </c>
    </row>
    <row r="2160">
      <c r="A2160" s="11" t="s">
        <v>32</v>
      </c>
      <c r="B2160" s="12">
        <v>3587.6685</v>
      </c>
      <c r="C2160" s="12">
        <v>0</v>
      </c>
      <c r="D2160" s="13">
        <v>0</v>
      </c>
      <c r="E2160" s="12">
        <v>0</v>
      </c>
      <c r="F2160" s="14">
        <v>0</v>
      </c>
      <c r="G2160" s="13">
        <v>454731.9336</v>
      </c>
      <c r="H2160" s="14">
        <v>1631427434.1208119</v>
      </c>
      <c r="I2160" s="14" t="e">
        <f>=Round(36767.61580000,0)</f>
        <v>#VALUE!</v>
      </c>
      <c r="J2160" s="14" t="e">
        <f>=Round(0.00000000,0)</f>
        <v>#VALUE!</v>
      </c>
    </row>
    <row r="2161">
      <c r="A2161" s="11" t="s">
        <v>33</v>
      </c>
      <c r="B2161" s="12">
        <v>3588.3573</v>
      </c>
      <c r="C2161" s="12">
        <v>0</v>
      </c>
      <c r="D2161" s="13">
        <v>0</v>
      </c>
      <c r="E2161" s="12">
        <v>0</v>
      </c>
      <c r="F2161" s="14">
        <v>0</v>
      </c>
      <c r="G2161" s="13">
        <v>454731.9336</v>
      </c>
      <c r="H2161" s="14">
        <v>1631740653.476675</v>
      </c>
      <c r="I2161" s="14" t="e">
        <f>=Round(36773.97900000,0)</f>
        <v>#VALUE!</v>
      </c>
      <c r="J2161" s="14" t="e">
        <f>=Round(0.00000000,0)</f>
        <v>#VALUE!</v>
      </c>
    </row>
    <row r="2162">
      <c r="A2162" s="11" t="s">
        <v>34</v>
      </c>
      <c r="B2162" s="12">
        <v>3589.0109</v>
      </c>
      <c r="C2162" s="12">
        <v>0</v>
      </c>
      <c r="D2162" s="13">
        <v>0</v>
      </c>
      <c r="E2162" s="12">
        <v>0</v>
      </c>
      <c r="F2162" s="14">
        <v>0</v>
      </c>
      <c r="G2162" s="13">
        <v>454731.9336</v>
      </c>
      <c r="H2162" s="14">
        <v>1632037866.268476</v>
      </c>
      <c r="I2162" s="14" t="e">
        <f>=Round(36781.03930000,0)</f>
        <v>#VALUE!</v>
      </c>
      <c r="J2162" s="14" t="e">
        <f>=Round(0.00000000,0)</f>
        <v>#VALUE!</v>
      </c>
    </row>
    <row r="2163">
      <c r="A2163" s="11" t="s">
        <v>35</v>
      </c>
      <c r="B2163" s="12">
        <v>3589.0109</v>
      </c>
      <c r="C2163" s="12">
        <v>0</v>
      </c>
      <c r="D2163" s="13">
        <v>0</v>
      </c>
      <c r="E2163" s="12">
        <v>0</v>
      </c>
      <c r="F2163" s="14">
        <v>0</v>
      </c>
      <c r="G2163" s="13">
        <v>454731.9336</v>
      </c>
      <c r="H2163" s="14">
        <v>1632037866.268476</v>
      </c>
      <c r="I2163" s="14" t="e">
        <f>=Round(36787.73880000,0)</f>
        <v>#VALUE!</v>
      </c>
      <c r="J2163" s="14" t="e">
        <f>=Round(0.00000000,0)</f>
        <v>#VALUE!</v>
      </c>
    </row>
    <row r="2164">
      <c r="A2164" s="11" t="s">
        <v>36</v>
      </c>
      <c r="B2164" s="12">
        <v>3589.0109</v>
      </c>
      <c r="C2164" s="12">
        <v>0</v>
      </c>
      <c r="D2164" s="13">
        <v>0</v>
      </c>
      <c r="E2164" s="12">
        <v>0</v>
      </c>
      <c r="F2164" s="14">
        <v>0</v>
      </c>
      <c r="G2164" s="13">
        <v>454731.9336</v>
      </c>
      <c r="H2164" s="14">
        <v>1632037866.268476</v>
      </c>
      <c r="I2164" s="14" t="e">
        <f>=Round(36787.73880000,0)</f>
        <v>#VALUE!</v>
      </c>
      <c r="J2164" s="14" t="e">
        <f>=Round(0.00000000,0)</f>
        <v>#VALUE!</v>
      </c>
    </row>
    <row r="2165">
      <c r="A2165" s="11" t="s">
        <v>37</v>
      </c>
      <c r="B2165" s="12">
        <v>3590.972</v>
      </c>
      <c r="C2165" s="12">
        <v>0</v>
      </c>
      <c r="D2165" s="13">
        <v>0</v>
      </c>
      <c r="E2165" s="12">
        <v>0</v>
      </c>
      <c r="F2165" s="14">
        <v>0</v>
      </c>
      <c r="G2165" s="13">
        <v>454731.9336</v>
      </c>
      <c r="H2165" s="14">
        <v>1632929641.0634589</v>
      </c>
      <c r="I2165" s="14" t="e">
        <f>=Round(36787.73880000,0)</f>
        <v>#VALUE!</v>
      </c>
      <c r="J2165" s="14" t="e">
        <f>=Round(0.00000000,0)</f>
        <v>#VALUE!</v>
      </c>
    </row>
    <row r="2166">
      <c r="A2166" s="11" t="s">
        <v>38</v>
      </c>
      <c r="B2166" s="12">
        <v>3591.6235</v>
      </c>
      <c r="C2166" s="12">
        <v>0</v>
      </c>
      <c r="D2166" s="13">
        <v>0</v>
      </c>
      <c r="E2166" s="12">
        <v>0</v>
      </c>
      <c r="F2166" s="14">
        <v>0</v>
      </c>
      <c r="G2166" s="13">
        <v>454731.9336</v>
      </c>
      <c r="H2166" s="14">
        <v>1633225898.9182</v>
      </c>
      <c r="I2166" s="14" t="e">
        <f>=Round(36807.84030000,0)</f>
        <v>#VALUE!</v>
      </c>
      <c r="J2166" s="14" t="e">
        <f>=Round(0.00000000,0)</f>
        <v>#VALUE!</v>
      </c>
    </row>
    <row r="2167">
      <c r="A2167" s="11" t="s">
        <v>39</v>
      </c>
      <c r="B2167" s="12">
        <v>3592.281</v>
      </c>
      <c r="C2167" s="12">
        <v>0</v>
      </c>
      <c r="D2167" s="13">
        <v>0</v>
      </c>
      <c r="E2167" s="12">
        <v>0</v>
      </c>
      <c r="F2167" s="14">
        <v>0</v>
      </c>
      <c r="G2167" s="13">
        <v>454731.9336</v>
      </c>
      <c r="H2167" s="14">
        <v>1633524885.164542</v>
      </c>
      <c r="I2167" s="14" t="e">
        <f>=Round(36814.51820000,0)</f>
        <v>#VALUE!</v>
      </c>
      <c r="J2167" s="14" t="e">
        <f>=Round(0.00000000,0)</f>
        <v>#VALUE!</v>
      </c>
    </row>
    <row r="2168">
      <c r="A2168" s="11" t="s">
        <v>40</v>
      </c>
      <c r="B2168" s="12">
        <v>3592.9125</v>
      </c>
      <c r="C2168" s="12">
        <v>0</v>
      </c>
      <c r="D2168" s="13">
        <v>0</v>
      </c>
      <c r="E2168" s="12">
        <v>0</v>
      </c>
      <c r="F2168" s="14">
        <v>0</v>
      </c>
      <c r="G2168" s="13">
        <v>454731.9336</v>
      </c>
      <c r="H2168" s="14">
        <v>1633812048.38061</v>
      </c>
      <c r="I2168" s="14" t="e">
        <f>=Round(36821.25770000,0)</f>
        <v>#VALUE!</v>
      </c>
      <c r="J2168" s="14" t="e">
        <f>=Round(0.00000000,0)</f>
        <v>#VALUE!</v>
      </c>
    </row>
    <row r="2169">
      <c r="A2169" s="11" t="s">
        <v>41</v>
      </c>
      <c r="B2169" s="12">
        <v>3593.5674</v>
      </c>
      <c r="C2169" s="12">
        <v>0</v>
      </c>
      <c r="D2169" s="13">
        <v>0</v>
      </c>
      <c r="E2169" s="12">
        <v>0</v>
      </c>
      <c r="F2169" s="14">
        <v>0</v>
      </c>
      <c r="G2169" s="13">
        <v>454731.9336</v>
      </c>
      <c r="H2169" s="14">
        <v>1634109852.323925</v>
      </c>
      <c r="I2169" s="14" t="e">
        <f>=Round(36827.73060000,0)</f>
        <v>#VALUE!</v>
      </c>
      <c r="J2169" s="14" t="e">
        <f>=Round(0.00000000,0)</f>
        <v>#VALUE!</v>
      </c>
    </row>
    <row r="2170">
      <c r="A2170" s="11" t="s">
        <v>42</v>
      </c>
      <c r="B2170" s="12">
        <v>3593.5674</v>
      </c>
      <c r="C2170" s="12">
        <v>0</v>
      </c>
      <c r="D2170" s="13">
        <v>0</v>
      </c>
      <c r="E2170" s="12">
        <v>0</v>
      </c>
      <c r="F2170" s="14">
        <v>0</v>
      </c>
      <c r="G2170" s="13">
        <v>454731.9336</v>
      </c>
      <c r="H2170" s="14">
        <v>1634109852.323925</v>
      </c>
      <c r="I2170" s="14" t="e">
        <f>=Round(36834.44340000,0)</f>
        <v>#VALUE!</v>
      </c>
      <c r="J2170" s="14" t="e">
        <f>=Round(0.00000000,0)</f>
        <v>#VALUE!</v>
      </c>
    </row>
    <row r="2171">
      <c r="A2171" s="11" t="s">
        <v>43</v>
      </c>
      <c r="B2171" s="12">
        <v>3593.5674</v>
      </c>
      <c r="C2171" s="12">
        <v>0</v>
      </c>
      <c r="D2171" s="13">
        <v>0</v>
      </c>
      <c r="E2171" s="12">
        <v>0</v>
      </c>
      <c r="F2171" s="14">
        <v>0</v>
      </c>
      <c r="G2171" s="13">
        <v>454731.9336</v>
      </c>
      <c r="H2171" s="14">
        <v>1634109852.323925</v>
      </c>
      <c r="I2171" s="14" t="e">
        <f>=Round(36834.44340000,0)</f>
        <v>#VALUE!</v>
      </c>
      <c r="J2171" s="14" t="e">
        <f>=Round(0.00000000,0)</f>
        <v>#VALUE!</v>
      </c>
    </row>
    <row r="2172">
      <c r="A2172" s="11" t="s">
        <v>44</v>
      </c>
      <c r="B2172" s="12">
        <v>3595.5366</v>
      </c>
      <c r="C2172" s="12">
        <v>0</v>
      </c>
      <c r="D2172" s="13">
        <v>0</v>
      </c>
      <c r="E2172" s="12">
        <v>0</v>
      </c>
      <c r="F2172" s="14">
        <v>0</v>
      </c>
      <c r="G2172" s="13">
        <v>454731.9336</v>
      </c>
      <c r="H2172" s="14">
        <v>1635005310.44757</v>
      </c>
      <c r="I2172" s="14" t="e">
        <f>=Round(36834.44340000,0)</f>
        <v>#VALUE!</v>
      </c>
      <c r="J2172" s="14" t="e">
        <f>=Round(0.00000000,0)</f>
        <v>#VALUE!</v>
      </c>
    </row>
    <row r="2173">
      <c r="A2173" s="11" t="s">
        <v>45</v>
      </c>
      <c r="B2173" s="12">
        <v>3596.1915</v>
      </c>
      <c r="C2173" s="12">
        <v>0</v>
      </c>
      <c r="D2173" s="13">
        <v>0</v>
      </c>
      <c r="E2173" s="12">
        <v>0</v>
      </c>
      <c r="F2173" s="14">
        <v>0</v>
      </c>
      <c r="G2173" s="13">
        <v>454731.9336</v>
      </c>
      <c r="H2173" s="14">
        <v>1635303114.3908839</v>
      </c>
      <c r="I2173" s="14" t="e">
        <f>=Round(36854.62790000,0)</f>
        <v>#VALUE!</v>
      </c>
      <c r="J2173" s="14" t="e">
        <f>=Round(0.00000000,0)</f>
        <v>#VALUE!</v>
      </c>
    </row>
    <row r="2174">
      <c r="A2174" s="11" t="s">
        <v>46</v>
      </c>
      <c r="B2174" s="12">
        <v>3596.8461</v>
      </c>
      <c r="C2174" s="12">
        <v>0</v>
      </c>
      <c r="D2174" s="13">
        <v>0</v>
      </c>
      <c r="E2174" s="12">
        <v>0</v>
      </c>
      <c r="F2174" s="14">
        <v>0</v>
      </c>
      <c r="G2174" s="13">
        <v>454731.9336</v>
      </c>
      <c r="H2174" s="14">
        <v>1635600781.914619</v>
      </c>
      <c r="I2174" s="14" t="e">
        <f>=Round(36861.34070000,0)</f>
        <v>#VALUE!</v>
      </c>
      <c r="J2174" s="14" t="e">
        <f>=Round(0.00000000,0)</f>
        <v>#VALUE!</v>
      </c>
    </row>
    <row r="2175">
      <c r="A2175" s="11" t="s">
        <v>47</v>
      </c>
      <c r="B2175" s="12">
        <v>3597.4992</v>
      </c>
      <c r="C2175" s="12">
        <v>69492.7187</v>
      </c>
      <c r="D2175" s="13">
        <v>250000000</v>
      </c>
      <c r="E2175" s="12">
        <v>0</v>
      </c>
      <c r="F2175" s="14">
        <v>0</v>
      </c>
      <c r="G2175" s="13">
        <v>454731.9336</v>
      </c>
      <c r="H2175" s="14">
        <v>1635897767.3404529</v>
      </c>
      <c r="I2175" s="14" t="e">
        <f>=Round(36868.05040000,0)</f>
        <v>#VALUE!</v>
      </c>
      <c r="J2175" s="14" t="e">
        <f>=Round(0.00000000,0)</f>
        <v>#VALUE!</v>
      </c>
    </row>
    <row r="2176">
      <c r="A2176" s="11" t="s">
        <v>48</v>
      </c>
      <c r="B2176" s="12">
        <v>3598.1558</v>
      </c>
      <c r="C2176" s="12">
        <v>0</v>
      </c>
      <c r="D2176" s="13">
        <v>0</v>
      </c>
      <c r="E2176" s="12">
        <v>0</v>
      </c>
      <c r="F2176" s="14">
        <v>0</v>
      </c>
      <c r="G2176" s="13">
        <v>524224.6523</v>
      </c>
      <c r="H2176" s="14">
        <v>1886241973.1762281</v>
      </c>
      <c r="I2176" s="14" t="e">
        <f>=Round(36874.74480000,0)</f>
        <v>#VALUE!</v>
      </c>
      <c r="J2176" s="14" t="e">
        <f>=Round(0.00000000,0)</f>
        <v>#VALUE!</v>
      </c>
    </row>
    <row r="2177">
      <c r="A2177" s="11" t="s">
        <v>49</v>
      </c>
      <c r="B2177" s="12">
        <v>3598.1558</v>
      </c>
      <c r="C2177" s="12">
        <v>0</v>
      </c>
      <c r="D2177" s="13">
        <v>0</v>
      </c>
      <c r="E2177" s="12">
        <v>0</v>
      </c>
      <c r="F2177" s="14">
        <v>0</v>
      </c>
      <c r="G2177" s="13">
        <v>524224.6523</v>
      </c>
      <c r="H2177" s="14">
        <v>1886241973.1762281</v>
      </c>
      <c r="I2177" s="14" t="e">
        <f>=Round(42517.74940000,0)</f>
        <v>#VALUE!</v>
      </c>
      <c r="J2177" s="14" t="e">
        <f>=Round(0.00000000,0)</f>
        <v>#VALUE!</v>
      </c>
    </row>
    <row r="2178">
      <c r="A2178" s="11" t="s">
        <v>50</v>
      </c>
      <c r="B2178" s="12">
        <v>3598.1558</v>
      </c>
      <c r="C2178" s="12">
        <v>0</v>
      </c>
      <c r="D2178" s="13">
        <v>0</v>
      </c>
      <c r="E2178" s="12">
        <v>0</v>
      </c>
      <c r="F2178" s="14">
        <v>0</v>
      </c>
      <c r="G2178" s="13">
        <v>524224.6523</v>
      </c>
      <c r="H2178" s="14">
        <v>1886241973.1762281</v>
      </c>
      <c r="I2178" s="14" t="e">
        <f>=Round(42517.74940000,0)</f>
        <v>#VALUE!</v>
      </c>
      <c r="J2178" s="14" t="e">
        <f>=Round(0.00000000,0)</f>
        <v>#VALUE!</v>
      </c>
    </row>
    <row r="2179">
      <c r="A2179" s="11" t="s">
        <v>51</v>
      </c>
      <c r="B2179" s="12">
        <v>3600.124</v>
      </c>
      <c r="C2179" s="12">
        <v>0</v>
      </c>
      <c r="D2179" s="13">
        <v>0</v>
      </c>
      <c r="E2179" s="12">
        <v>0</v>
      </c>
      <c r="F2179" s="14">
        <v>0</v>
      </c>
      <c r="G2179" s="13">
        <v>524224.6523</v>
      </c>
      <c r="H2179" s="14">
        <v>1887273752.1368849</v>
      </c>
      <c r="I2179" s="14" t="e">
        <f>=Round(42517.74940000,0)</f>
        <v>#VALUE!</v>
      </c>
      <c r="J2179" s="14" t="e">
        <f>=Round(0.00000000,0)</f>
        <v>#VALUE!</v>
      </c>
    </row>
    <row r="2180">
      <c r="A2180" s="11" t="s">
        <v>52</v>
      </c>
      <c r="B2180" s="12">
        <v>3600.7905</v>
      </c>
      <c r="C2180" s="12">
        <v>0</v>
      </c>
      <c r="D2180" s="13">
        <v>0</v>
      </c>
      <c r="E2180" s="12">
        <v>0</v>
      </c>
      <c r="F2180" s="14">
        <v>0</v>
      </c>
      <c r="G2180" s="13">
        <v>524224.6523</v>
      </c>
      <c r="H2180" s="14">
        <v>1887623147.8676431</v>
      </c>
      <c r="I2180" s="14" t="e">
        <f>=Round(42541.00670000,0)</f>
        <v>#VALUE!</v>
      </c>
      <c r="J2180" s="14" t="e">
        <f>=Round(0.00000000,0)</f>
        <v>#VALUE!</v>
      </c>
    </row>
    <row r="2181">
      <c r="A2181" s="11" t="s">
        <v>53</v>
      </c>
      <c r="B2181" s="12">
        <v>3601.445</v>
      </c>
      <c r="C2181" s="12">
        <v>55533.2651</v>
      </c>
      <c r="D2181" s="13">
        <v>200000000</v>
      </c>
      <c r="E2181" s="12">
        <v>0</v>
      </c>
      <c r="F2181" s="14">
        <v>0</v>
      </c>
      <c r="G2181" s="13">
        <v>524224.6523</v>
      </c>
      <c r="H2181" s="14">
        <v>1887966252.9025741</v>
      </c>
      <c r="I2181" s="14" t="e">
        <f>=Round(42548.88240000,0)</f>
        <v>#VALUE!</v>
      </c>
      <c r="J2181" s="14" t="e">
        <f>=Round(0.00000000,0)</f>
        <v>#VALUE!</v>
      </c>
    </row>
    <row r="2182">
      <c r="A2182" s="11" t="s">
        <v>54</v>
      </c>
      <c r="B2182" s="12">
        <v>3602.0851</v>
      </c>
      <c r="C2182" s="12">
        <v>0</v>
      </c>
      <c r="D2182" s="13">
        <v>0</v>
      </c>
      <c r="E2182" s="12">
        <v>0</v>
      </c>
      <c r="F2182" s="14">
        <v>0</v>
      </c>
      <c r="G2182" s="13">
        <v>579757.9174</v>
      </c>
      <c r="H2182" s="14">
        <v>2088337355.8735709</v>
      </c>
      <c r="I2182" s="14" t="e">
        <f>=Round(42556.61640000,0)</f>
        <v>#VALUE!</v>
      </c>
      <c r="J2182" s="14" t="e">
        <f>=Round(0.00000000,0)</f>
        <v>#VALUE!</v>
      </c>
    </row>
    <row r="2183">
      <c r="A2183" s="11" t="s">
        <v>55</v>
      </c>
      <c r="B2183" s="12">
        <v>3602.7417</v>
      </c>
      <c r="C2183" s="12">
        <v>0</v>
      </c>
      <c r="D2183" s="13">
        <v>0</v>
      </c>
      <c r="E2183" s="12">
        <v>0</v>
      </c>
      <c r="F2183" s="14">
        <v>0</v>
      </c>
      <c r="G2183" s="13">
        <v>579757.9174</v>
      </c>
      <c r="H2183" s="14">
        <v>2088718024.9221361</v>
      </c>
      <c r="I2183" s="14" t="e">
        <f>=Round(47073.17810000,0)</f>
        <v>#VALUE!</v>
      </c>
      <c r="J2183" s="14" t="e">
        <f>=Round(0.00000000,0)</f>
        <v>#VALUE!</v>
      </c>
    </row>
    <row r="2184" ht="-1">
      <c r="A2184" s="15"/>
      <c r="B2184" s="16" t="s">
        <v>56</v>
      </c>
      <c r="C2184" s="15"/>
      <c r="D2184" s="15"/>
      <c r="E2184" s="15"/>
      <c r="F2184" s="15"/>
      <c r="G2184" s="15"/>
      <c r="H2184" s="15"/>
      <c r="I2184" s="17" t="e">
        <f>=Round(SUM(I2158:I2183),0)</f>
        <v>#VALUE!</v>
      </c>
      <c r="J2184" s="17" t="e">
        <f>=Round(SUM(J2158:J2183),0)</f>
        <v>#VALUE!</v>
      </c>
    </row>
    <row r="2185">
      <c r="A2185" s="1" t="s">
        <v>0</v>
      </c>
      <c r="B2185" s="1"/>
      <c r="C2185" s="1"/>
      <c r="D2185" s="1"/>
    </row>
    <row r="2186">
      <c r="A2186" s="0" t="s">
        <v>1</v>
      </c>
      <c r="C2186" s="0" t="s">
        <v>2</v>
      </c>
      <c r="H2186" s="2" t="s">
        <v>3</v>
      </c>
    </row>
    <row r="2187">
      <c r="A2187" s="0" t="s">
        <v>4</v>
      </c>
      <c r="C2187" s="0" t="s">
        <v>112</v>
      </c>
      <c r="H2187" s="3" t="s">
        <v>6</v>
      </c>
    </row>
    <row r="2188">
      <c r="A2188" s="0" t="s">
        <v>7</v>
      </c>
      <c r="C2188" s="4" t="s">
        <v>8</v>
      </c>
      <c r="H2188" s="2" t="s">
        <v>9</v>
      </c>
    </row>
    <row r="2189">
      <c r="A2189" s="0" t="s">
        <v>10</v>
      </c>
      <c r="C2189" s="4" t="s">
        <v>11</v>
      </c>
      <c r="H2189" s="2" t="s">
        <v>12</v>
      </c>
    </row>
    <row r="2190">
      <c r="A2190" s="0" t="s">
        <v>13</v>
      </c>
      <c r="C2190" s="0" t="s">
        <v>14</v>
      </c>
    </row>
    <row r="2191">
      <c r="A2191" s="0" t="s">
        <v>15</v>
      </c>
      <c r="C2191" s="0" t="s">
        <v>16</v>
      </c>
    </row>
    <row r="2192">
      <c r="A2192" s="0" t="s">
        <v>17</v>
      </c>
      <c r="C2192" s="0" t="s">
        <v>18</v>
      </c>
    </row>
    <row r="2195">
      <c r="A2195" s="5" t="s">
        <v>19</v>
      </c>
      <c r="B2195" s="5" t="s">
        <v>20</v>
      </c>
      <c r="C2195" s="7" t="s">
        <v>21</v>
      </c>
      <c r="D2195" s="9"/>
      <c r="E2195" s="7" t="s">
        <v>22</v>
      </c>
      <c r="F2195" s="9"/>
      <c r="G2195" s="5" t="s">
        <v>23</v>
      </c>
      <c r="H2195" s="5" t="s">
        <v>24</v>
      </c>
      <c r="I2195" s="5" t="s">
        <v>25</v>
      </c>
      <c r="J2195" s="5" t="s">
        <v>26</v>
      </c>
    </row>
    <row r="2196">
      <c r="A2196" s="6"/>
      <c r="B2196" s="6"/>
      <c r="C2196" s="8" t="s">
        <v>27</v>
      </c>
      <c r="D2196" s="8" t="s">
        <v>28</v>
      </c>
      <c r="E2196" s="8" t="s">
        <v>27</v>
      </c>
      <c r="F2196" s="8" t="s">
        <v>28</v>
      </c>
      <c r="G2196" s="6"/>
      <c r="H2196" s="6"/>
      <c r="I2196" s="10" t="s">
        <v>29</v>
      </c>
      <c r="J2196" s="6"/>
    </row>
    <row r="2197">
      <c r="A2197" s="11" t="s">
        <v>30</v>
      </c>
      <c r="B2197" s="12">
        <v>3586.4187</v>
      </c>
      <c r="C2197" s="12">
        <v>0</v>
      </c>
      <c r="D2197" s="13">
        <v>0</v>
      </c>
      <c r="E2197" s="12">
        <v>0</v>
      </c>
      <c r="F2197" s="14">
        <v>0</v>
      </c>
      <c r="G2197" s="13">
        <v>253145.1761</v>
      </c>
      <c r="H2197" s="14">
        <v>907884593.379833</v>
      </c>
      <c r="I2197" s="14" t="e">
        <f>=Round(20453.35810000,0)</f>
        <v>#VALUE!</v>
      </c>
      <c r="J2197" s="14" t="e">
        <f>=Round(0.00000000,0)</f>
        <v>#VALUE!</v>
      </c>
    </row>
    <row r="2198">
      <c r="A2198" s="11" t="s">
        <v>31</v>
      </c>
      <c r="B2198" s="12">
        <v>3587.0477</v>
      </c>
      <c r="C2198" s="12">
        <v>0</v>
      </c>
      <c r="D2198" s="13">
        <v>0</v>
      </c>
      <c r="E2198" s="12">
        <v>0</v>
      </c>
      <c r="F2198" s="14">
        <v>0</v>
      </c>
      <c r="G2198" s="13">
        <v>253145.1761</v>
      </c>
      <c r="H2198" s="14">
        <v>908043821.6956</v>
      </c>
      <c r="I2198" s="14" t="e">
        <f>=Round(20464.61170000,0)</f>
        <v>#VALUE!</v>
      </c>
      <c r="J2198" s="14" t="e">
        <f>=Round(0.00000000,0)</f>
        <v>#VALUE!</v>
      </c>
    </row>
    <row r="2199">
      <c r="A2199" s="11" t="s">
        <v>32</v>
      </c>
      <c r="B2199" s="12">
        <v>3587.6685</v>
      </c>
      <c r="C2199" s="12">
        <v>0</v>
      </c>
      <c r="D2199" s="13">
        <v>0</v>
      </c>
      <c r="E2199" s="12">
        <v>0</v>
      </c>
      <c r="F2199" s="14">
        <v>0</v>
      </c>
      <c r="G2199" s="13">
        <v>253145.1761</v>
      </c>
      <c r="H2199" s="14">
        <v>908200974.220923</v>
      </c>
      <c r="I2199" s="14" t="e">
        <f>=Round(20468.20090000,0)</f>
        <v>#VALUE!</v>
      </c>
      <c r="J2199" s="14" t="e">
        <f>=Round(0.00000000,0)</f>
        <v>#VALUE!</v>
      </c>
    </row>
    <row r="2200">
      <c r="A2200" s="11" t="s">
        <v>33</v>
      </c>
      <c r="B2200" s="12">
        <v>3588.3573</v>
      </c>
      <c r="C2200" s="12">
        <v>0</v>
      </c>
      <c r="D2200" s="13">
        <v>0</v>
      </c>
      <c r="E2200" s="12">
        <v>0</v>
      </c>
      <c r="F2200" s="14">
        <v>0</v>
      </c>
      <c r="G2200" s="13">
        <v>253145.1761</v>
      </c>
      <c r="H2200" s="14">
        <v>908375340.618221</v>
      </c>
      <c r="I2200" s="14" t="e">
        <f>=Round(20471.74330000,0)</f>
        <v>#VALUE!</v>
      </c>
      <c r="J2200" s="14" t="e">
        <f>=Round(0.00000000,0)</f>
        <v>#VALUE!</v>
      </c>
    </row>
    <row r="2201">
      <c r="A2201" s="11" t="s">
        <v>34</v>
      </c>
      <c r="B2201" s="12">
        <v>3589.0109</v>
      </c>
      <c r="C2201" s="12">
        <v>0</v>
      </c>
      <c r="D2201" s="13">
        <v>0</v>
      </c>
      <c r="E2201" s="12">
        <v>0</v>
      </c>
      <c r="F2201" s="14">
        <v>0</v>
      </c>
      <c r="G2201" s="13">
        <v>253145.1761</v>
      </c>
      <c r="H2201" s="14">
        <v>908540796.305319</v>
      </c>
      <c r="I2201" s="14" t="e">
        <f>=Round(20475.67370000,0)</f>
        <v>#VALUE!</v>
      </c>
      <c r="J2201" s="14" t="e">
        <f>=Round(0.00000000,0)</f>
        <v>#VALUE!</v>
      </c>
    </row>
    <row r="2202">
      <c r="A2202" s="11" t="s">
        <v>35</v>
      </c>
      <c r="B2202" s="12">
        <v>3589.0109</v>
      </c>
      <c r="C2202" s="12">
        <v>0</v>
      </c>
      <c r="D2202" s="13">
        <v>0</v>
      </c>
      <c r="E2202" s="12">
        <v>0</v>
      </c>
      <c r="F2202" s="14">
        <v>0</v>
      </c>
      <c r="G2202" s="13">
        <v>253145.1761</v>
      </c>
      <c r="H2202" s="14">
        <v>908540796.305319</v>
      </c>
      <c r="I2202" s="14" t="e">
        <f>=Round(20479.40320000,0)</f>
        <v>#VALUE!</v>
      </c>
      <c r="J2202" s="14" t="e">
        <f>=Round(0.00000000,0)</f>
        <v>#VALUE!</v>
      </c>
    </row>
    <row r="2203">
      <c r="A2203" s="11" t="s">
        <v>36</v>
      </c>
      <c r="B2203" s="12">
        <v>3589.0109</v>
      </c>
      <c r="C2203" s="12">
        <v>0</v>
      </c>
      <c r="D2203" s="13">
        <v>0</v>
      </c>
      <c r="E2203" s="12">
        <v>0</v>
      </c>
      <c r="F2203" s="14">
        <v>0</v>
      </c>
      <c r="G2203" s="13">
        <v>253145.1761</v>
      </c>
      <c r="H2203" s="14">
        <v>908540796.305319</v>
      </c>
      <c r="I2203" s="14" t="e">
        <f>=Round(20479.40320000,0)</f>
        <v>#VALUE!</v>
      </c>
      <c r="J2203" s="14" t="e">
        <f>=Round(0.00000000,0)</f>
        <v>#VALUE!</v>
      </c>
    </row>
    <row r="2204">
      <c r="A2204" s="11" t="s">
        <v>37</v>
      </c>
      <c r="B2204" s="12">
        <v>3590.972</v>
      </c>
      <c r="C2204" s="12">
        <v>0</v>
      </c>
      <c r="D2204" s="13">
        <v>0</v>
      </c>
      <c r="E2204" s="12">
        <v>0</v>
      </c>
      <c r="F2204" s="14">
        <v>0</v>
      </c>
      <c r="G2204" s="13">
        <v>253145.1761</v>
      </c>
      <c r="H2204" s="14">
        <v>909037239.310169</v>
      </c>
      <c r="I2204" s="14" t="e">
        <f>=Round(20479.40320000,0)</f>
        <v>#VALUE!</v>
      </c>
      <c r="J2204" s="14" t="e">
        <f>=Round(0.00000000,0)</f>
        <v>#VALUE!</v>
      </c>
    </row>
    <row r="2205">
      <c r="A2205" s="11" t="s">
        <v>38</v>
      </c>
      <c r="B2205" s="12">
        <v>3591.6235</v>
      </c>
      <c r="C2205" s="12">
        <v>0</v>
      </c>
      <c r="D2205" s="13">
        <v>0</v>
      </c>
      <c r="E2205" s="12">
        <v>0</v>
      </c>
      <c r="F2205" s="14">
        <v>0</v>
      </c>
      <c r="G2205" s="13">
        <v>253145.1761</v>
      </c>
      <c r="H2205" s="14">
        <v>909202163.392398</v>
      </c>
      <c r="I2205" s="14" t="e">
        <f>=Round(20490.59350000,0)</f>
        <v>#VALUE!</v>
      </c>
      <c r="J2205" s="14" t="e">
        <f>=Round(0.00000000,0)</f>
        <v>#VALUE!</v>
      </c>
    </row>
    <row r="2206">
      <c r="A2206" s="11" t="s">
        <v>39</v>
      </c>
      <c r="B2206" s="12">
        <v>3592.281</v>
      </c>
      <c r="C2206" s="12">
        <v>0</v>
      </c>
      <c r="D2206" s="13">
        <v>0</v>
      </c>
      <c r="E2206" s="12">
        <v>0</v>
      </c>
      <c r="F2206" s="14">
        <v>0</v>
      </c>
      <c r="G2206" s="13">
        <v>253145.1761</v>
      </c>
      <c r="H2206" s="14">
        <v>909368606.345684</v>
      </c>
      <c r="I2206" s="14" t="e">
        <f>=Round(20494.31110000,0)</f>
        <v>#VALUE!</v>
      </c>
      <c r="J2206" s="14" t="e">
        <f>=Round(0.00000000,0)</f>
        <v>#VALUE!</v>
      </c>
    </row>
    <row r="2207">
      <c r="A2207" s="11" t="s">
        <v>40</v>
      </c>
      <c r="B2207" s="12">
        <v>3592.9125</v>
      </c>
      <c r="C2207" s="12">
        <v>0</v>
      </c>
      <c r="D2207" s="13">
        <v>0</v>
      </c>
      <c r="E2207" s="12">
        <v>0</v>
      </c>
      <c r="F2207" s="14">
        <v>0</v>
      </c>
      <c r="G2207" s="13">
        <v>253145.1761</v>
      </c>
      <c r="H2207" s="14">
        <v>909528467.524391</v>
      </c>
      <c r="I2207" s="14" t="e">
        <f>=Round(20498.06280000,0)</f>
        <v>#VALUE!</v>
      </c>
      <c r="J2207" s="14" t="e">
        <f>=Round(0.00000000,0)</f>
        <v>#VALUE!</v>
      </c>
    </row>
    <row r="2208">
      <c r="A2208" s="11" t="s">
        <v>41</v>
      </c>
      <c r="B2208" s="12">
        <v>3593.5674</v>
      </c>
      <c r="C2208" s="12">
        <v>0</v>
      </c>
      <c r="D2208" s="13">
        <v>0</v>
      </c>
      <c r="E2208" s="12">
        <v>0</v>
      </c>
      <c r="F2208" s="14">
        <v>0</v>
      </c>
      <c r="G2208" s="13">
        <v>253145.1761</v>
      </c>
      <c r="H2208" s="14">
        <v>909694252.300219</v>
      </c>
      <c r="I2208" s="14" t="e">
        <f>=Round(20501.66630000,0)</f>
        <v>#VALUE!</v>
      </c>
      <c r="J2208" s="14" t="e">
        <f>=Round(0.00000000,0)</f>
        <v>#VALUE!</v>
      </c>
    </row>
    <row r="2209">
      <c r="A2209" s="11" t="s">
        <v>42</v>
      </c>
      <c r="B2209" s="12">
        <v>3593.5674</v>
      </c>
      <c r="C2209" s="12">
        <v>0</v>
      </c>
      <c r="D2209" s="13">
        <v>0</v>
      </c>
      <c r="E2209" s="12">
        <v>0</v>
      </c>
      <c r="F2209" s="14">
        <v>0</v>
      </c>
      <c r="G2209" s="13">
        <v>253145.1761</v>
      </c>
      <c r="H2209" s="14">
        <v>909694252.300219</v>
      </c>
      <c r="I2209" s="14" t="e">
        <f>=Round(20505.40320000,0)</f>
        <v>#VALUE!</v>
      </c>
      <c r="J2209" s="14" t="e">
        <f>=Round(0.00000000,0)</f>
        <v>#VALUE!</v>
      </c>
    </row>
    <row r="2210">
      <c r="A2210" s="11" t="s">
        <v>43</v>
      </c>
      <c r="B2210" s="12">
        <v>3593.5674</v>
      </c>
      <c r="C2210" s="12">
        <v>0</v>
      </c>
      <c r="D2210" s="13">
        <v>0</v>
      </c>
      <c r="E2210" s="12">
        <v>0</v>
      </c>
      <c r="F2210" s="14">
        <v>0</v>
      </c>
      <c r="G2210" s="13">
        <v>253145.1761</v>
      </c>
      <c r="H2210" s="14">
        <v>909694252.300219</v>
      </c>
      <c r="I2210" s="14" t="e">
        <f>=Round(20505.40320000,0)</f>
        <v>#VALUE!</v>
      </c>
      <c r="J2210" s="14" t="e">
        <f>=Round(0.00000000,0)</f>
        <v>#VALUE!</v>
      </c>
    </row>
    <row r="2211">
      <c r="A2211" s="11" t="s">
        <v>44</v>
      </c>
      <c r="B2211" s="12">
        <v>3595.5366</v>
      </c>
      <c r="C2211" s="12">
        <v>0</v>
      </c>
      <c r="D2211" s="13">
        <v>0</v>
      </c>
      <c r="E2211" s="12">
        <v>0</v>
      </c>
      <c r="F2211" s="14">
        <v>0</v>
      </c>
      <c r="G2211" s="13">
        <v>253145.1761</v>
      </c>
      <c r="H2211" s="14">
        <v>910192745.780995</v>
      </c>
      <c r="I2211" s="14" t="e">
        <f>=Round(20505.40320000,0)</f>
        <v>#VALUE!</v>
      </c>
      <c r="J2211" s="14" t="e">
        <f>=Round(0.00000000,0)</f>
        <v>#VALUE!</v>
      </c>
    </row>
    <row r="2212">
      <c r="A2212" s="11" t="s">
        <v>45</v>
      </c>
      <c r="B2212" s="12">
        <v>3596.1915</v>
      </c>
      <c r="C2212" s="12">
        <v>0</v>
      </c>
      <c r="D2212" s="13">
        <v>0</v>
      </c>
      <c r="E2212" s="12">
        <v>0</v>
      </c>
      <c r="F2212" s="14">
        <v>0</v>
      </c>
      <c r="G2212" s="13">
        <v>253145.1761</v>
      </c>
      <c r="H2212" s="14">
        <v>910358530.556823</v>
      </c>
      <c r="I2212" s="14" t="e">
        <f>=Round(20516.63980000,0)</f>
        <v>#VALUE!</v>
      </c>
      <c r="J2212" s="14" t="e">
        <f>=Round(0.00000000,0)</f>
        <v>#VALUE!</v>
      </c>
    </row>
    <row r="2213">
      <c r="A2213" s="11" t="s">
        <v>46</v>
      </c>
      <c r="B2213" s="12">
        <v>3596.8461</v>
      </c>
      <c r="C2213" s="12">
        <v>0</v>
      </c>
      <c r="D2213" s="13">
        <v>0</v>
      </c>
      <c r="E2213" s="12">
        <v>0</v>
      </c>
      <c r="F2213" s="14">
        <v>0</v>
      </c>
      <c r="G2213" s="13">
        <v>253145.1761</v>
      </c>
      <c r="H2213" s="14">
        <v>910524239.389098</v>
      </c>
      <c r="I2213" s="14" t="e">
        <f>=Round(20520.37670000,0)</f>
        <v>#VALUE!</v>
      </c>
      <c r="J2213" s="14" t="e">
        <f>=Round(0.00000000,0)</f>
        <v>#VALUE!</v>
      </c>
    </row>
    <row r="2214">
      <c r="A2214" s="11" t="s">
        <v>47</v>
      </c>
      <c r="B2214" s="12">
        <v>3597.4992</v>
      </c>
      <c r="C2214" s="12">
        <v>55594.175</v>
      </c>
      <c r="D2214" s="13">
        <v>200000000</v>
      </c>
      <c r="E2214" s="12">
        <v>0</v>
      </c>
      <c r="F2214" s="14">
        <v>0</v>
      </c>
      <c r="G2214" s="13">
        <v>253145.1761</v>
      </c>
      <c r="H2214" s="14">
        <v>910689568.503609</v>
      </c>
      <c r="I2214" s="14" t="e">
        <f>=Round(20524.11200000,0)</f>
        <v>#VALUE!</v>
      </c>
      <c r="J2214" s="14" t="e">
        <f>=Round(0.00000000,0)</f>
        <v>#VALUE!</v>
      </c>
    </row>
    <row r="2215">
      <c r="A2215" s="11" t="s">
        <v>48</v>
      </c>
      <c r="B2215" s="12">
        <v>3598.1558</v>
      </c>
      <c r="C2215" s="12">
        <v>0</v>
      </c>
      <c r="D2215" s="13">
        <v>0</v>
      </c>
      <c r="E2215" s="12">
        <v>0</v>
      </c>
      <c r="F2215" s="14">
        <v>0</v>
      </c>
      <c r="G2215" s="13">
        <v>308739.3511</v>
      </c>
      <c r="H2215" s="14">
        <v>1110892286.848701</v>
      </c>
      <c r="I2215" s="14" t="e">
        <f>=Round(20527.83860000,0)</f>
        <v>#VALUE!</v>
      </c>
      <c r="J2215" s="14" t="e">
        <f>=Round(0.00000000,0)</f>
        <v>#VALUE!</v>
      </c>
    </row>
    <row r="2216">
      <c r="A2216" s="11" t="s">
        <v>49</v>
      </c>
      <c r="B2216" s="12">
        <v>3598.1558</v>
      </c>
      <c r="C2216" s="12">
        <v>0</v>
      </c>
      <c r="D2216" s="13">
        <v>0</v>
      </c>
      <c r="E2216" s="12">
        <v>0</v>
      </c>
      <c r="F2216" s="14">
        <v>0</v>
      </c>
      <c r="G2216" s="13">
        <v>308739.3511</v>
      </c>
      <c r="H2216" s="14">
        <v>1110892286.848701</v>
      </c>
      <c r="I2216" s="14" t="e">
        <f>=Round(25040.60480000,0)</f>
        <v>#VALUE!</v>
      </c>
      <c r="J2216" s="14" t="e">
        <f>=Round(0.00000000,0)</f>
        <v>#VALUE!</v>
      </c>
    </row>
    <row r="2217">
      <c r="A2217" s="11" t="s">
        <v>50</v>
      </c>
      <c r="B2217" s="12">
        <v>3598.1558</v>
      </c>
      <c r="C2217" s="12">
        <v>0</v>
      </c>
      <c r="D2217" s="13">
        <v>0</v>
      </c>
      <c r="E2217" s="12">
        <v>0</v>
      </c>
      <c r="F2217" s="14">
        <v>0</v>
      </c>
      <c r="G2217" s="13">
        <v>308739.3511</v>
      </c>
      <c r="H2217" s="14">
        <v>1110892286.848701</v>
      </c>
      <c r="I2217" s="14" t="e">
        <f>=Round(25040.60480000,0)</f>
        <v>#VALUE!</v>
      </c>
      <c r="J2217" s="14" t="e">
        <f>=Round(0.00000000,0)</f>
        <v>#VALUE!</v>
      </c>
    </row>
    <row r="2218">
      <c r="A2218" s="11" t="s">
        <v>51</v>
      </c>
      <c r="B2218" s="12">
        <v>3600.124</v>
      </c>
      <c r="C2218" s="12">
        <v>0</v>
      </c>
      <c r="D2218" s="13">
        <v>0</v>
      </c>
      <c r="E2218" s="12">
        <v>0</v>
      </c>
      <c r="F2218" s="14">
        <v>0</v>
      </c>
      <c r="G2218" s="13">
        <v>308739.3511</v>
      </c>
      <c r="H2218" s="14">
        <v>1111499947.6395359</v>
      </c>
      <c r="I2218" s="14" t="e">
        <f>=Round(25040.60480000,0)</f>
        <v>#VALUE!</v>
      </c>
      <c r="J2218" s="14" t="e">
        <f>=Round(0.00000000,0)</f>
        <v>#VALUE!</v>
      </c>
    </row>
    <row r="2219">
      <c r="A2219" s="11" t="s">
        <v>52</v>
      </c>
      <c r="B2219" s="12">
        <v>3600.7905</v>
      </c>
      <c r="C2219" s="12">
        <v>0</v>
      </c>
      <c r="D2219" s="13">
        <v>0</v>
      </c>
      <c r="E2219" s="12">
        <v>0</v>
      </c>
      <c r="F2219" s="14">
        <v>0</v>
      </c>
      <c r="G2219" s="13">
        <v>308739.3511</v>
      </c>
      <c r="H2219" s="14">
        <v>1111705722.4170451</v>
      </c>
      <c r="I2219" s="14" t="e">
        <f>=Round(25054.30210000,0)</f>
        <v>#VALUE!</v>
      </c>
      <c r="J2219" s="14" t="e">
        <f>=Round(0.00000000,0)</f>
        <v>#VALUE!</v>
      </c>
    </row>
    <row r="2220">
      <c r="A2220" s="11" t="s">
        <v>53</v>
      </c>
      <c r="B2220" s="12">
        <v>3601.445</v>
      </c>
      <c r="C2220" s="12">
        <v>0</v>
      </c>
      <c r="D2220" s="13">
        <v>0</v>
      </c>
      <c r="E2220" s="12">
        <v>0</v>
      </c>
      <c r="F2220" s="14">
        <v>0</v>
      </c>
      <c r="G2220" s="13">
        <v>308739.3511</v>
      </c>
      <c r="H2220" s="14">
        <v>1111907792.32234</v>
      </c>
      <c r="I2220" s="14" t="e">
        <f>=Round(25058.94050000,0)</f>
        <v>#VALUE!</v>
      </c>
      <c r="J2220" s="14" t="e">
        <f>=Round(0.00000000,0)</f>
        <v>#VALUE!</v>
      </c>
    </row>
    <row r="2221">
      <c r="A2221" s="11" t="s">
        <v>54</v>
      </c>
      <c r="B2221" s="12">
        <v>3602.0851</v>
      </c>
      <c r="C2221" s="12">
        <v>0</v>
      </c>
      <c r="D2221" s="13">
        <v>0</v>
      </c>
      <c r="E2221" s="12">
        <v>0</v>
      </c>
      <c r="F2221" s="14">
        <v>0</v>
      </c>
      <c r="G2221" s="13">
        <v>308739.3511</v>
      </c>
      <c r="H2221" s="14">
        <v>1112105416.3809791</v>
      </c>
      <c r="I2221" s="14" t="e">
        <f>=Round(25063.49530000,0)</f>
        <v>#VALUE!</v>
      </c>
      <c r="J2221" s="14" t="e">
        <f>=Round(0.00000000,0)</f>
        <v>#VALUE!</v>
      </c>
    </row>
    <row r="2222">
      <c r="A2222" s="11" t="s">
        <v>55</v>
      </c>
      <c r="B2222" s="12">
        <v>3602.7417</v>
      </c>
      <c r="C2222" s="12">
        <v>0</v>
      </c>
      <c r="D2222" s="13">
        <v>0</v>
      </c>
      <c r="E2222" s="12">
        <v>0</v>
      </c>
      <c r="F2222" s="14">
        <v>0</v>
      </c>
      <c r="G2222" s="13">
        <v>308739.3511</v>
      </c>
      <c r="H2222" s="14">
        <v>1112308134.638911</v>
      </c>
      <c r="I2222" s="14" t="e">
        <f>=Round(25067.95000000,0)</f>
        <v>#VALUE!</v>
      </c>
      <c r="J2222" s="14" t="e">
        <f>=Round(0.00000000,0)</f>
        <v>#VALUE!</v>
      </c>
    </row>
    <row r="2223" ht="-1">
      <c r="A2223" s="15"/>
      <c r="B2223" s="16" t="s">
        <v>56</v>
      </c>
      <c r="C2223" s="15"/>
      <c r="D2223" s="15"/>
      <c r="E2223" s="15"/>
      <c r="F2223" s="15"/>
      <c r="G2223" s="15"/>
      <c r="H2223" s="15"/>
      <c r="I2223" s="17" t="e">
        <f>=Round(SUM(I2197:I2222),0)</f>
        <v>#VALUE!</v>
      </c>
      <c r="J2223" s="17" t="e">
        <f>=Round(SUM(J2197:J2222),0)</f>
        <v>#VALUE!</v>
      </c>
    </row>
    <row r="2224">
      <c r="A2224" s="1" t="s">
        <v>0</v>
      </c>
      <c r="B2224" s="1"/>
      <c r="C2224" s="1"/>
      <c r="D2224" s="1"/>
    </row>
    <row r="2225">
      <c r="A2225" s="0" t="s">
        <v>1</v>
      </c>
      <c r="C2225" s="0" t="s">
        <v>2</v>
      </c>
      <c r="H2225" s="2" t="s">
        <v>3</v>
      </c>
    </row>
    <row r="2226">
      <c r="A2226" s="0" t="s">
        <v>4</v>
      </c>
      <c r="C2226" s="0" t="s">
        <v>113</v>
      </c>
      <c r="H2226" s="3" t="s">
        <v>6</v>
      </c>
    </row>
    <row r="2227">
      <c r="A2227" s="0" t="s">
        <v>7</v>
      </c>
      <c r="C2227" s="4" t="s">
        <v>8</v>
      </c>
      <c r="H2227" s="2" t="s">
        <v>9</v>
      </c>
    </row>
    <row r="2228">
      <c r="A2228" s="0" t="s">
        <v>10</v>
      </c>
      <c r="C2228" s="4" t="s">
        <v>11</v>
      </c>
      <c r="H2228" s="2" t="s">
        <v>12</v>
      </c>
    </row>
    <row r="2229">
      <c r="A2229" s="0" t="s">
        <v>13</v>
      </c>
      <c r="C2229" s="0" t="s">
        <v>14</v>
      </c>
    </row>
    <row r="2230">
      <c r="A2230" s="0" t="s">
        <v>15</v>
      </c>
      <c r="C2230" s="0" t="s">
        <v>16</v>
      </c>
    </row>
    <row r="2231">
      <c r="A2231" s="0" t="s">
        <v>17</v>
      </c>
      <c r="C2231" s="0" t="s">
        <v>18</v>
      </c>
    </row>
    <row r="2234">
      <c r="A2234" s="5" t="s">
        <v>19</v>
      </c>
      <c r="B2234" s="5" t="s">
        <v>20</v>
      </c>
      <c r="C2234" s="7" t="s">
        <v>21</v>
      </c>
      <c r="D2234" s="9"/>
      <c r="E2234" s="7" t="s">
        <v>22</v>
      </c>
      <c r="F2234" s="9"/>
      <c r="G2234" s="5" t="s">
        <v>23</v>
      </c>
      <c r="H2234" s="5" t="s">
        <v>24</v>
      </c>
      <c r="I2234" s="5" t="s">
        <v>25</v>
      </c>
      <c r="J2234" s="5" t="s">
        <v>26</v>
      </c>
    </row>
    <row r="2235">
      <c r="A2235" s="6"/>
      <c r="B2235" s="6"/>
      <c r="C2235" s="8" t="s">
        <v>27</v>
      </c>
      <c r="D2235" s="8" t="s">
        <v>28</v>
      </c>
      <c r="E2235" s="8" t="s">
        <v>27</v>
      </c>
      <c r="F2235" s="8" t="s">
        <v>28</v>
      </c>
      <c r="G2235" s="6"/>
      <c r="H2235" s="6"/>
      <c r="I2235" s="10" t="s">
        <v>29</v>
      </c>
      <c r="J2235" s="6"/>
    </row>
    <row r="2236">
      <c r="A2236" s="11" t="s">
        <v>30</v>
      </c>
      <c r="B2236" s="12">
        <v>3586.4187</v>
      </c>
      <c r="C2236" s="12">
        <v>0</v>
      </c>
      <c r="D2236" s="13">
        <v>0</v>
      </c>
      <c r="E2236" s="12">
        <v>0</v>
      </c>
      <c r="F2236" s="14">
        <v>0</v>
      </c>
      <c r="G2236" s="13">
        <v>2577147.9194</v>
      </c>
      <c r="H2236" s="14">
        <v>9242731490.8022518</v>
      </c>
      <c r="I2236" s="14" t="e">
        <f>=Round(208225.69110000,0)</f>
        <v>#VALUE!</v>
      </c>
      <c r="J2236" s="14" t="e">
        <f>=Round(0.00000000,0)</f>
        <v>#VALUE!</v>
      </c>
    </row>
    <row r="2237">
      <c r="A2237" s="11" t="s">
        <v>31</v>
      </c>
      <c r="B2237" s="12">
        <v>3587.0477</v>
      </c>
      <c r="C2237" s="12">
        <v>0</v>
      </c>
      <c r="D2237" s="13">
        <v>0</v>
      </c>
      <c r="E2237" s="12">
        <v>0</v>
      </c>
      <c r="F2237" s="14">
        <v>0</v>
      </c>
      <c r="G2237" s="13">
        <v>2577147.9194</v>
      </c>
      <c r="H2237" s="14">
        <v>9244352516.8435555</v>
      </c>
      <c r="I2237" s="14" t="e">
        <f>=Round(208340.25900000,0)</f>
        <v>#VALUE!</v>
      </c>
      <c r="J2237" s="14" t="e">
        <f>=Round(0.00000000,0)</f>
        <v>#VALUE!</v>
      </c>
    </row>
    <row r="2238">
      <c r="A2238" s="11" t="s">
        <v>32</v>
      </c>
      <c r="B2238" s="12">
        <v>3587.6685</v>
      </c>
      <c r="C2238" s="12">
        <v>0</v>
      </c>
      <c r="D2238" s="13">
        <v>0</v>
      </c>
      <c r="E2238" s="12">
        <v>0</v>
      </c>
      <c r="F2238" s="14">
        <v>0</v>
      </c>
      <c r="G2238" s="13">
        <v>2577147.9194</v>
      </c>
      <c r="H2238" s="14">
        <v>9245952410.27192</v>
      </c>
      <c r="I2238" s="14" t="e">
        <f>=Round(208376.79850000,0)</f>
        <v>#VALUE!</v>
      </c>
      <c r="J2238" s="14" t="e">
        <f>=Round(0.00000000,0)</f>
        <v>#VALUE!</v>
      </c>
    </row>
    <row r="2239">
      <c r="A2239" s="11" t="s">
        <v>33</v>
      </c>
      <c r="B2239" s="12">
        <v>3588.3573</v>
      </c>
      <c r="C2239" s="12">
        <v>0</v>
      </c>
      <c r="D2239" s="13">
        <v>0</v>
      </c>
      <c r="E2239" s="12">
        <v>0</v>
      </c>
      <c r="F2239" s="14">
        <v>0</v>
      </c>
      <c r="G2239" s="13">
        <v>2577147.9194</v>
      </c>
      <c r="H2239" s="14">
        <v>9247727549.7588024</v>
      </c>
      <c r="I2239" s="14" t="e">
        <f>=Round(208412.86170000,0)</f>
        <v>#VALUE!</v>
      </c>
      <c r="J2239" s="14" t="e">
        <f>=Round(0.00000000,0)</f>
        <v>#VALUE!</v>
      </c>
    </row>
    <row r="2240">
      <c r="A2240" s="11" t="s">
        <v>34</v>
      </c>
      <c r="B2240" s="12">
        <v>3589.0109</v>
      </c>
      <c r="C2240" s="12">
        <v>0</v>
      </c>
      <c r="D2240" s="13">
        <v>0</v>
      </c>
      <c r="E2240" s="12">
        <v>0</v>
      </c>
      <c r="F2240" s="14">
        <v>0</v>
      </c>
      <c r="G2240" s="13">
        <v>2577147.9194</v>
      </c>
      <c r="H2240" s="14">
        <v>9249411973.63892</v>
      </c>
      <c r="I2240" s="14" t="e">
        <f>=Round(208452.87510000,0)</f>
        <v>#VALUE!</v>
      </c>
      <c r="J2240" s="14" t="e">
        <f>=Round(0.00000000,0)</f>
        <v>#VALUE!</v>
      </c>
    </row>
    <row r="2241">
      <c r="A2241" s="11" t="s">
        <v>35</v>
      </c>
      <c r="B2241" s="12">
        <v>3589.0109</v>
      </c>
      <c r="C2241" s="12">
        <v>0</v>
      </c>
      <c r="D2241" s="13">
        <v>0</v>
      </c>
      <c r="E2241" s="12">
        <v>0</v>
      </c>
      <c r="F2241" s="14">
        <v>0</v>
      </c>
      <c r="G2241" s="13">
        <v>2577147.9194</v>
      </c>
      <c r="H2241" s="14">
        <v>9249411973.63892</v>
      </c>
      <c r="I2241" s="14" t="e">
        <f>=Round(208490.84370000,0)</f>
        <v>#VALUE!</v>
      </c>
      <c r="J2241" s="14" t="e">
        <f>=Round(0.00000000,0)</f>
        <v>#VALUE!</v>
      </c>
    </row>
    <row r="2242">
      <c r="A2242" s="11" t="s">
        <v>36</v>
      </c>
      <c r="B2242" s="12">
        <v>3589.0109</v>
      </c>
      <c r="C2242" s="12">
        <v>0</v>
      </c>
      <c r="D2242" s="13">
        <v>0</v>
      </c>
      <c r="E2242" s="12">
        <v>0</v>
      </c>
      <c r="F2242" s="14">
        <v>0</v>
      </c>
      <c r="G2242" s="13">
        <v>2577147.9194</v>
      </c>
      <c r="H2242" s="14">
        <v>9249411973.63892</v>
      </c>
      <c r="I2242" s="14" t="e">
        <f>=Round(208490.84370000,0)</f>
        <v>#VALUE!</v>
      </c>
      <c r="J2242" s="14" t="e">
        <f>=Round(0.00000000,0)</f>
        <v>#VALUE!</v>
      </c>
    </row>
    <row r="2243">
      <c r="A2243" s="11" t="s">
        <v>37</v>
      </c>
      <c r="B2243" s="12">
        <v>3590.972</v>
      </c>
      <c r="C2243" s="12">
        <v>0</v>
      </c>
      <c r="D2243" s="13">
        <v>0</v>
      </c>
      <c r="E2243" s="12">
        <v>0</v>
      </c>
      <c r="F2243" s="14">
        <v>0</v>
      </c>
      <c r="G2243" s="13">
        <v>2577147.9194</v>
      </c>
      <c r="H2243" s="14">
        <v>9254466018.4236565</v>
      </c>
      <c r="I2243" s="14" t="e">
        <f>=Round(208490.84370000,0)</f>
        <v>#VALUE!</v>
      </c>
      <c r="J2243" s="14" t="e">
        <f>=Round(0.00000000,0)</f>
        <v>#VALUE!</v>
      </c>
    </row>
    <row r="2244">
      <c r="A2244" s="11" t="s">
        <v>38</v>
      </c>
      <c r="B2244" s="12">
        <v>3591.6235</v>
      </c>
      <c r="C2244" s="12">
        <v>0</v>
      </c>
      <c r="D2244" s="13">
        <v>0</v>
      </c>
      <c r="E2244" s="12">
        <v>0</v>
      </c>
      <c r="F2244" s="14">
        <v>0</v>
      </c>
      <c r="G2244" s="13">
        <v>2577147.9194</v>
      </c>
      <c r="H2244" s="14">
        <v>9256145030.2931461</v>
      </c>
      <c r="I2244" s="14" t="e">
        <f>=Round(208604.76680000,0)</f>
        <v>#VALUE!</v>
      </c>
      <c r="J2244" s="14" t="e">
        <f>=Round(0.00000000,0)</f>
        <v>#VALUE!</v>
      </c>
    </row>
    <row r="2245">
      <c r="A2245" s="11" t="s">
        <v>39</v>
      </c>
      <c r="B2245" s="12">
        <v>3592.281</v>
      </c>
      <c r="C2245" s="12">
        <v>0</v>
      </c>
      <c r="D2245" s="13">
        <v>0</v>
      </c>
      <c r="E2245" s="12">
        <v>0</v>
      </c>
      <c r="F2245" s="14">
        <v>0</v>
      </c>
      <c r="G2245" s="13">
        <v>2577147.9194</v>
      </c>
      <c r="H2245" s="14">
        <v>9257839505.0501518</v>
      </c>
      <c r="I2245" s="14" t="e">
        <f>=Round(208642.61340000,0)</f>
        <v>#VALUE!</v>
      </c>
      <c r="J2245" s="14" t="e">
        <f>=Round(0.00000000,0)</f>
        <v>#VALUE!</v>
      </c>
    </row>
    <row r="2246">
      <c r="A2246" s="11" t="s">
        <v>40</v>
      </c>
      <c r="B2246" s="12">
        <v>3592.9125</v>
      </c>
      <c r="C2246" s="12">
        <v>0</v>
      </c>
      <c r="D2246" s="13">
        <v>0</v>
      </c>
      <c r="E2246" s="12">
        <v>0</v>
      </c>
      <c r="F2246" s="14">
        <v>0</v>
      </c>
      <c r="G2246" s="13">
        <v>2577147.9194</v>
      </c>
      <c r="H2246" s="14">
        <v>9259466973.9612522</v>
      </c>
      <c r="I2246" s="14" t="e">
        <f>=Round(208680.80850000,0)</f>
        <v>#VALUE!</v>
      </c>
      <c r="J2246" s="14" t="e">
        <f>=Round(0.00000000,0)</f>
        <v>#VALUE!</v>
      </c>
    </row>
    <row r="2247">
      <c r="A2247" s="11" t="s">
        <v>41</v>
      </c>
      <c r="B2247" s="12">
        <v>3593.5674</v>
      </c>
      <c r="C2247" s="12">
        <v>0</v>
      </c>
      <c r="D2247" s="13">
        <v>0</v>
      </c>
      <c r="E2247" s="12">
        <v>0</v>
      </c>
      <c r="F2247" s="14">
        <v>0</v>
      </c>
      <c r="G2247" s="13">
        <v>2577147.9194</v>
      </c>
      <c r="H2247" s="14">
        <v>9261154748.1336689</v>
      </c>
      <c r="I2247" s="14" t="e">
        <f>=Round(208717.49330000,0)</f>
        <v>#VALUE!</v>
      </c>
      <c r="J2247" s="14" t="e">
        <f>=Round(0.00000000,0)</f>
        <v>#VALUE!</v>
      </c>
    </row>
    <row r="2248">
      <c r="A2248" s="11" t="s">
        <v>42</v>
      </c>
      <c r="B2248" s="12">
        <v>3593.5674</v>
      </c>
      <c r="C2248" s="12">
        <v>0</v>
      </c>
      <c r="D2248" s="13">
        <v>0</v>
      </c>
      <c r="E2248" s="12">
        <v>0</v>
      </c>
      <c r="F2248" s="14">
        <v>0</v>
      </c>
      <c r="G2248" s="13">
        <v>2577147.9194</v>
      </c>
      <c r="H2248" s="14">
        <v>9261154748.1336689</v>
      </c>
      <c r="I2248" s="14" t="e">
        <f>=Round(208755.53740000,0)</f>
        <v>#VALUE!</v>
      </c>
      <c r="J2248" s="14" t="e">
        <f>=Round(0.00000000,0)</f>
        <v>#VALUE!</v>
      </c>
    </row>
    <row r="2249">
      <c r="A2249" s="11" t="s">
        <v>43</v>
      </c>
      <c r="B2249" s="12">
        <v>3593.5674</v>
      </c>
      <c r="C2249" s="12">
        <v>0</v>
      </c>
      <c r="D2249" s="13">
        <v>0</v>
      </c>
      <c r="E2249" s="12">
        <v>0</v>
      </c>
      <c r="F2249" s="14">
        <v>0</v>
      </c>
      <c r="G2249" s="13">
        <v>2577147.9194</v>
      </c>
      <c r="H2249" s="14">
        <v>9261154748.1336689</v>
      </c>
      <c r="I2249" s="14" t="e">
        <f>=Round(208755.53740000,0)</f>
        <v>#VALUE!</v>
      </c>
      <c r="J2249" s="14" t="e">
        <f>=Round(0.00000000,0)</f>
        <v>#VALUE!</v>
      </c>
    </row>
    <row r="2250">
      <c r="A2250" s="11" t="s">
        <v>44</v>
      </c>
      <c r="B2250" s="12">
        <v>3595.5366</v>
      </c>
      <c r="C2250" s="12">
        <v>0</v>
      </c>
      <c r="D2250" s="13">
        <v>0</v>
      </c>
      <c r="E2250" s="12">
        <v>0</v>
      </c>
      <c r="F2250" s="14">
        <v>0</v>
      </c>
      <c r="G2250" s="13">
        <v>2577147.9194</v>
      </c>
      <c r="H2250" s="14">
        <v>9266229667.81655</v>
      </c>
      <c r="I2250" s="14" t="e">
        <f>=Round(208755.53740000,0)</f>
        <v>#VALUE!</v>
      </c>
      <c r="J2250" s="14" t="e">
        <f>=Round(0.00000000,0)</f>
        <v>#VALUE!</v>
      </c>
    </row>
    <row r="2251">
      <c r="A2251" s="11" t="s">
        <v>45</v>
      </c>
      <c r="B2251" s="12">
        <v>3596.1915</v>
      </c>
      <c r="C2251" s="12">
        <v>0</v>
      </c>
      <c r="D2251" s="13">
        <v>0</v>
      </c>
      <c r="E2251" s="12">
        <v>0</v>
      </c>
      <c r="F2251" s="14">
        <v>0</v>
      </c>
      <c r="G2251" s="13">
        <v>2577147.9194</v>
      </c>
      <c r="H2251" s="14">
        <v>9267917441.9889641</v>
      </c>
      <c r="I2251" s="14" t="e">
        <f>=Round(208869.93100000,0)</f>
        <v>#VALUE!</v>
      </c>
      <c r="J2251" s="14" t="e">
        <f>=Round(0.00000000,0)</f>
        <v>#VALUE!</v>
      </c>
    </row>
    <row r="2252">
      <c r="A2252" s="11" t="s">
        <v>46</v>
      </c>
      <c r="B2252" s="12">
        <v>3596.8461</v>
      </c>
      <c r="C2252" s="12">
        <v>0</v>
      </c>
      <c r="D2252" s="13">
        <v>0</v>
      </c>
      <c r="E2252" s="12">
        <v>0</v>
      </c>
      <c r="F2252" s="14">
        <v>0</v>
      </c>
      <c r="G2252" s="13">
        <v>2577147.9194</v>
      </c>
      <c r="H2252" s="14">
        <v>9269604443.017004</v>
      </c>
      <c r="I2252" s="14" t="e">
        <f>=Round(208907.97510000,0)</f>
        <v>#VALUE!</v>
      </c>
      <c r="J2252" s="14" t="e">
        <f>=Round(0.00000000,0)</f>
        <v>#VALUE!</v>
      </c>
    </row>
    <row r="2253">
      <c r="A2253" s="11" t="s">
        <v>47</v>
      </c>
      <c r="B2253" s="12">
        <v>3597.4992</v>
      </c>
      <c r="C2253" s="12">
        <v>0</v>
      </c>
      <c r="D2253" s="13">
        <v>0</v>
      </c>
      <c r="E2253" s="12">
        <v>0</v>
      </c>
      <c r="F2253" s="14">
        <v>0</v>
      </c>
      <c r="G2253" s="13">
        <v>2577147.9194</v>
      </c>
      <c r="H2253" s="14">
        <v>9271287578.323164</v>
      </c>
      <c r="I2253" s="14" t="e">
        <f>=Round(208946.00180000,0)</f>
        <v>#VALUE!</v>
      </c>
      <c r="J2253" s="14" t="e">
        <f>=Round(0.00000000,0)</f>
        <v>#VALUE!</v>
      </c>
    </row>
    <row r="2254">
      <c r="A2254" s="11" t="s">
        <v>48</v>
      </c>
      <c r="B2254" s="12">
        <v>3598.1558</v>
      </c>
      <c r="C2254" s="12">
        <v>0</v>
      </c>
      <c r="D2254" s="13">
        <v>0</v>
      </c>
      <c r="E2254" s="12">
        <v>0</v>
      </c>
      <c r="F2254" s="14">
        <v>0</v>
      </c>
      <c r="G2254" s="13">
        <v>2577147.9194</v>
      </c>
      <c r="H2254" s="14">
        <v>9272979733.6470432</v>
      </c>
      <c r="I2254" s="14" t="e">
        <f>=Round(208983.94130000,0)</f>
        <v>#VALUE!</v>
      </c>
      <c r="J2254" s="14" t="e">
        <f>=Round(0.00000000,0)</f>
        <v>#VALUE!</v>
      </c>
    </row>
    <row r="2255">
      <c r="A2255" s="11" t="s">
        <v>49</v>
      </c>
      <c r="B2255" s="12">
        <v>3598.1558</v>
      </c>
      <c r="C2255" s="12">
        <v>0</v>
      </c>
      <c r="D2255" s="13">
        <v>0</v>
      </c>
      <c r="E2255" s="12">
        <v>0</v>
      </c>
      <c r="F2255" s="14">
        <v>0</v>
      </c>
      <c r="G2255" s="13">
        <v>2577147.9194</v>
      </c>
      <c r="H2255" s="14">
        <v>9272979733.6470432</v>
      </c>
      <c r="I2255" s="14" t="e">
        <f>=Round(209022.08420000,0)</f>
        <v>#VALUE!</v>
      </c>
      <c r="J2255" s="14" t="e">
        <f>=Round(0.00000000,0)</f>
        <v>#VALUE!</v>
      </c>
    </row>
    <row r="2256">
      <c r="A2256" s="11" t="s">
        <v>50</v>
      </c>
      <c r="B2256" s="12">
        <v>3598.1558</v>
      </c>
      <c r="C2256" s="12">
        <v>0</v>
      </c>
      <c r="D2256" s="13">
        <v>0</v>
      </c>
      <c r="E2256" s="12">
        <v>0</v>
      </c>
      <c r="F2256" s="14">
        <v>0</v>
      </c>
      <c r="G2256" s="13">
        <v>2577147.9194</v>
      </c>
      <c r="H2256" s="14">
        <v>9272979733.6470432</v>
      </c>
      <c r="I2256" s="14" t="e">
        <f>=Round(209022.08420000,0)</f>
        <v>#VALUE!</v>
      </c>
      <c r="J2256" s="14" t="e">
        <f>=Round(0.00000000,0)</f>
        <v>#VALUE!</v>
      </c>
    </row>
    <row r="2257">
      <c r="A2257" s="11" t="s">
        <v>51</v>
      </c>
      <c r="B2257" s="12">
        <v>3600.124</v>
      </c>
      <c r="C2257" s="12">
        <v>0</v>
      </c>
      <c r="D2257" s="13">
        <v>0</v>
      </c>
      <c r="E2257" s="12">
        <v>0</v>
      </c>
      <c r="F2257" s="14">
        <v>0</v>
      </c>
      <c r="G2257" s="13">
        <v>2577147.9194</v>
      </c>
      <c r="H2257" s="14">
        <v>9278052076.1820068</v>
      </c>
      <c r="I2257" s="14" t="e">
        <f>=Round(209022.08420000,0)</f>
        <v>#VALUE!</v>
      </c>
      <c r="J2257" s="14" t="e">
        <f>=Round(0.00000000,0)</f>
        <v>#VALUE!</v>
      </c>
    </row>
    <row r="2258">
      <c r="A2258" s="11" t="s">
        <v>52</v>
      </c>
      <c r="B2258" s="12">
        <v>3600.7905</v>
      </c>
      <c r="C2258" s="12">
        <v>0</v>
      </c>
      <c r="D2258" s="13">
        <v>0</v>
      </c>
      <c r="E2258" s="12">
        <v>0</v>
      </c>
      <c r="F2258" s="14">
        <v>0</v>
      </c>
      <c r="G2258" s="13">
        <v>2577147.9194</v>
      </c>
      <c r="H2258" s="14">
        <v>9279769745.2702866</v>
      </c>
      <c r="I2258" s="14" t="e">
        <f>=Round(209136.41980000,0)</f>
        <v>#VALUE!</v>
      </c>
      <c r="J2258" s="14" t="e">
        <f>=Round(0.00000000,0)</f>
        <v>#VALUE!</v>
      </c>
    </row>
    <row r="2259">
      <c r="A2259" s="11" t="s">
        <v>53</v>
      </c>
      <c r="B2259" s="12">
        <v>3601.445</v>
      </c>
      <c r="C2259" s="12">
        <v>0</v>
      </c>
      <c r="D2259" s="13">
        <v>0</v>
      </c>
      <c r="E2259" s="12">
        <v>0</v>
      </c>
      <c r="F2259" s="14">
        <v>0</v>
      </c>
      <c r="G2259" s="13">
        <v>2577147.9194</v>
      </c>
      <c r="H2259" s="14">
        <v>9281456488.5835323</v>
      </c>
      <c r="I2259" s="14" t="e">
        <f>=Round(209175.13770000,0)</f>
        <v>#VALUE!</v>
      </c>
      <c r="J2259" s="14" t="e">
        <f>=Round(0.00000000,0)</f>
        <v>#VALUE!</v>
      </c>
    </row>
    <row r="2260">
      <c r="A2260" s="11" t="s">
        <v>54</v>
      </c>
      <c r="B2260" s="12">
        <v>3602.0851</v>
      </c>
      <c r="C2260" s="12">
        <v>0</v>
      </c>
      <c r="D2260" s="13">
        <v>0</v>
      </c>
      <c r="E2260" s="12">
        <v>0</v>
      </c>
      <c r="F2260" s="14">
        <v>0</v>
      </c>
      <c r="G2260" s="13">
        <v>2577147.9194</v>
      </c>
      <c r="H2260" s="14">
        <v>9283106120.96674</v>
      </c>
      <c r="I2260" s="14" t="e">
        <f>=Round(209213.15860000,0)</f>
        <v>#VALUE!</v>
      </c>
      <c r="J2260" s="14" t="e">
        <f>=Round(0.00000000,0)</f>
        <v>#VALUE!</v>
      </c>
    </row>
    <row r="2261">
      <c r="A2261" s="11" t="s">
        <v>55</v>
      </c>
      <c r="B2261" s="12">
        <v>3602.7417</v>
      </c>
      <c r="C2261" s="12">
        <v>0</v>
      </c>
      <c r="D2261" s="13">
        <v>0</v>
      </c>
      <c r="E2261" s="12">
        <v>0</v>
      </c>
      <c r="F2261" s="14">
        <v>0</v>
      </c>
      <c r="G2261" s="13">
        <v>2577147.9194</v>
      </c>
      <c r="H2261" s="14">
        <v>9284798276.29062</v>
      </c>
      <c r="I2261" s="14" t="e">
        <f>=Round(209250.34290000,0)</f>
        <v>#VALUE!</v>
      </c>
      <c r="J2261" s="14" t="e">
        <f>=Round(0.00000000,0)</f>
        <v>#VALUE!</v>
      </c>
    </row>
    <row r="2262" ht="-1">
      <c r="A2262" s="15"/>
      <c r="B2262" s="16" t="s">
        <v>56</v>
      </c>
      <c r="C2262" s="15"/>
      <c r="D2262" s="15"/>
      <c r="E2262" s="15"/>
      <c r="F2262" s="15"/>
      <c r="G2262" s="15"/>
      <c r="H2262" s="15"/>
      <c r="I2262" s="17" t="e">
        <f>=Round(SUM(I2236:I2261),0)</f>
        <v>#VALUE!</v>
      </c>
      <c r="J2262" s="17" t="e">
        <f>=Round(SUM(J2236:J2261),0)</f>
        <v>#VALUE!</v>
      </c>
    </row>
    <row r="2263">
      <c r="A2263" s="1" t="s">
        <v>0</v>
      </c>
      <c r="B2263" s="1"/>
      <c r="C2263" s="1"/>
      <c r="D2263" s="1"/>
    </row>
    <row r="2264">
      <c r="A2264" s="0" t="s">
        <v>1</v>
      </c>
      <c r="C2264" s="0" t="s">
        <v>2</v>
      </c>
      <c r="H2264" s="2" t="s">
        <v>3</v>
      </c>
    </row>
    <row r="2265">
      <c r="A2265" s="0" t="s">
        <v>4</v>
      </c>
      <c r="C2265" s="0" t="s">
        <v>114</v>
      </c>
      <c r="H2265" s="3" t="s">
        <v>6</v>
      </c>
    </row>
    <row r="2266">
      <c r="A2266" s="0" t="s">
        <v>7</v>
      </c>
      <c r="C2266" s="4" t="s">
        <v>8</v>
      </c>
      <c r="H2266" s="2" t="s">
        <v>9</v>
      </c>
    </row>
    <row r="2267">
      <c r="A2267" s="0" t="s">
        <v>10</v>
      </c>
      <c r="C2267" s="4" t="s">
        <v>11</v>
      </c>
      <c r="H2267" s="2" t="s">
        <v>12</v>
      </c>
    </row>
    <row r="2268">
      <c r="A2268" s="0" t="s">
        <v>13</v>
      </c>
      <c r="C2268" s="0" t="s">
        <v>14</v>
      </c>
    </row>
    <row r="2269">
      <c r="A2269" s="0" t="s">
        <v>15</v>
      </c>
      <c r="C2269" s="0" t="s">
        <v>16</v>
      </c>
    </row>
    <row r="2270">
      <c r="A2270" s="0" t="s">
        <v>17</v>
      </c>
      <c r="C2270" s="0" t="s">
        <v>18</v>
      </c>
    </row>
    <row r="2273">
      <c r="A2273" s="5" t="s">
        <v>19</v>
      </c>
      <c r="B2273" s="5" t="s">
        <v>20</v>
      </c>
      <c r="C2273" s="7" t="s">
        <v>21</v>
      </c>
      <c r="D2273" s="9"/>
      <c r="E2273" s="7" t="s">
        <v>22</v>
      </c>
      <c r="F2273" s="9"/>
      <c r="G2273" s="5" t="s">
        <v>23</v>
      </c>
      <c r="H2273" s="5" t="s">
        <v>24</v>
      </c>
      <c r="I2273" s="5" t="s">
        <v>25</v>
      </c>
      <c r="J2273" s="5" t="s">
        <v>26</v>
      </c>
    </row>
    <row r="2274">
      <c r="A2274" s="6"/>
      <c r="B2274" s="6"/>
      <c r="C2274" s="8" t="s">
        <v>27</v>
      </c>
      <c r="D2274" s="8" t="s">
        <v>28</v>
      </c>
      <c r="E2274" s="8" t="s">
        <v>27</v>
      </c>
      <c r="F2274" s="8" t="s">
        <v>28</v>
      </c>
      <c r="G2274" s="6"/>
      <c r="H2274" s="6"/>
      <c r="I2274" s="10" t="s">
        <v>29</v>
      </c>
      <c r="J2274" s="6"/>
    </row>
    <row r="2275">
      <c r="A2275" s="11" t="s">
        <v>30</v>
      </c>
      <c r="B2275" s="12">
        <v>3586.4187</v>
      </c>
      <c r="C2275" s="12">
        <v>0</v>
      </c>
      <c r="D2275" s="13">
        <v>0</v>
      </c>
      <c r="E2275" s="12">
        <v>0</v>
      </c>
      <c r="F2275" s="14">
        <v>0</v>
      </c>
      <c r="G2275" s="13">
        <v>880846.3791</v>
      </c>
      <c r="H2275" s="14">
        <v>3159083925.8315291</v>
      </c>
      <c r="I2275" s="14" t="e">
        <f>=Round(71169.70070000,0)</f>
        <v>#VALUE!</v>
      </c>
      <c r="J2275" s="14" t="e">
        <f>=Round(0.00000000,0)</f>
        <v>#VALUE!</v>
      </c>
    </row>
    <row r="2276">
      <c r="A2276" s="11" t="s">
        <v>31</v>
      </c>
      <c r="B2276" s="12">
        <v>3587.0477</v>
      </c>
      <c r="C2276" s="12">
        <v>0</v>
      </c>
      <c r="D2276" s="13">
        <v>0</v>
      </c>
      <c r="E2276" s="12">
        <v>0</v>
      </c>
      <c r="F2276" s="14">
        <v>0</v>
      </c>
      <c r="G2276" s="13">
        <v>880846.3791</v>
      </c>
      <c r="H2276" s="14">
        <v>3159637978.2039828</v>
      </c>
      <c r="I2276" s="14" t="e">
        <f>=Round(71208.85900000,0)</f>
        <v>#VALUE!</v>
      </c>
      <c r="J2276" s="14" t="e">
        <f>=Round(0.00000000,0)</f>
        <v>#VALUE!</v>
      </c>
    </row>
    <row r="2277">
      <c r="A2277" s="11" t="s">
        <v>32</v>
      </c>
      <c r="B2277" s="12">
        <v>3587.6685</v>
      </c>
      <c r="C2277" s="12">
        <v>0</v>
      </c>
      <c r="D2277" s="13">
        <v>0</v>
      </c>
      <c r="E2277" s="12">
        <v>0</v>
      </c>
      <c r="F2277" s="14">
        <v>0</v>
      </c>
      <c r="G2277" s="13">
        <v>880846.3791</v>
      </c>
      <c r="H2277" s="14">
        <v>3160184807.6361279</v>
      </c>
      <c r="I2277" s="14" t="e">
        <f>=Round(71221.34790000,0)</f>
        <v>#VALUE!</v>
      </c>
      <c r="J2277" s="14" t="e">
        <f>=Round(0.00000000,0)</f>
        <v>#VALUE!</v>
      </c>
    </row>
    <row r="2278">
      <c r="A2278" s="11" t="s">
        <v>33</v>
      </c>
      <c r="B2278" s="12">
        <v>3588.3573</v>
      </c>
      <c r="C2278" s="12">
        <v>0</v>
      </c>
      <c r="D2278" s="13">
        <v>0</v>
      </c>
      <c r="E2278" s="12">
        <v>0</v>
      </c>
      <c r="F2278" s="14">
        <v>0</v>
      </c>
      <c r="G2278" s="13">
        <v>880846.3791</v>
      </c>
      <c r="H2278" s="14">
        <v>3160791534.6220522</v>
      </c>
      <c r="I2278" s="14" t="e">
        <f>=Round(71233.67390000,0)</f>
        <v>#VALUE!</v>
      </c>
      <c r="J2278" s="14" t="e">
        <f>=Round(0.00000000,0)</f>
        <v>#VALUE!</v>
      </c>
    </row>
    <row r="2279">
      <c r="A2279" s="11" t="s">
        <v>34</v>
      </c>
      <c r="B2279" s="12">
        <v>3589.0109</v>
      </c>
      <c r="C2279" s="12">
        <v>0</v>
      </c>
      <c r="D2279" s="13">
        <v>0</v>
      </c>
      <c r="E2279" s="12">
        <v>0</v>
      </c>
      <c r="F2279" s="14">
        <v>0</v>
      </c>
      <c r="G2279" s="13">
        <v>880846.3791</v>
      </c>
      <c r="H2279" s="14">
        <v>3161367255.8154321</v>
      </c>
      <c r="I2279" s="14" t="e">
        <f>=Round(71247.35020000,0)</f>
        <v>#VALUE!</v>
      </c>
      <c r="J2279" s="14" t="e">
        <f>=Round(0.00000000,0)</f>
        <v>#VALUE!</v>
      </c>
    </row>
    <row r="2280">
      <c r="A2280" s="11" t="s">
        <v>35</v>
      </c>
      <c r="B2280" s="12">
        <v>3589.0109</v>
      </c>
      <c r="C2280" s="12">
        <v>0</v>
      </c>
      <c r="D2280" s="13">
        <v>0</v>
      </c>
      <c r="E2280" s="12">
        <v>0</v>
      </c>
      <c r="F2280" s="14">
        <v>0</v>
      </c>
      <c r="G2280" s="13">
        <v>880846.3791</v>
      </c>
      <c r="H2280" s="14">
        <v>3161367255.8154321</v>
      </c>
      <c r="I2280" s="14" t="e">
        <f>=Round(71260.32750000,0)</f>
        <v>#VALUE!</v>
      </c>
      <c r="J2280" s="14" t="e">
        <f>=Round(0.00000000,0)</f>
        <v>#VALUE!</v>
      </c>
    </row>
    <row r="2281">
      <c r="A2281" s="11" t="s">
        <v>36</v>
      </c>
      <c r="B2281" s="12">
        <v>3589.0109</v>
      </c>
      <c r="C2281" s="12">
        <v>0</v>
      </c>
      <c r="D2281" s="13">
        <v>0</v>
      </c>
      <c r="E2281" s="12">
        <v>0</v>
      </c>
      <c r="F2281" s="14">
        <v>0</v>
      </c>
      <c r="G2281" s="13">
        <v>880846.3791</v>
      </c>
      <c r="H2281" s="14">
        <v>3161367255.8154321</v>
      </c>
      <c r="I2281" s="14" t="e">
        <f>=Round(71260.32750000,0)</f>
        <v>#VALUE!</v>
      </c>
      <c r="J2281" s="14" t="e">
        <f>=Round(0.00000000,0)</f>
        <v>#VALUE!</v>
      </c>
    </row>
    <row r="2282">
      <c r="A2282" s="11" t="s">
        <v>37</v>
      </c>
      <c r="B2282" s="12">
        <v>3590.972</v>
      </c>
      <c r="C2282" s="12">
        <v>0</v>
      </c>
      <c r="D2282" s="13">
        <v>0</v>
      </c>
      <c r="E2282" s="12">
        <v>0</v>
      </c>
      <c r="F2282" s="14">
        <v>0</v>
      </c>
      <c r="G2282" s="13">
        <v>880846.3791</v>
      </c>
      <c r="H2282" s="14">
        <v>3163094683.6494851</v>
      </c>
      <c r="I2282" s="14" t="e">
        <f>=Round(71260.32750000,0)</f>
        <v>#VALUE!</v>
      </c>
      <c r="J2282" s="14" t="e">
        <f>=Round(0.00000000,0)</f>
        <v>#VALUE!</v>
      </c>
    </row>
    <row r="2283">
      <c r="A2283" s="11" t="s">
        <v>38</v>
      </c>
      <c r="B2283" s="12">
        <v>3591.6235</v>
      </c>
      <c r="C2283" s="12">
        <v>0</v>
      </c>
      <c r="D2283" s="13">
        <v>0</v>
      </c>
      <c r="E2283" s="12">
        <v>0</v>
      </c>
      <c r="F2283" s="14">
        <v>0</v>
      </c>
      <c r="G2283" s="13">
        <v>880846.3791</v>
      </c>
      <c r="H2283" s="14">
        <v>3163668555.0654688</v>
      </c>
      <c r="I2283" s="14" t="e">
        <f>=Round(71299.26540000,0)</f>
        <v>#VALUE!</v>
      </c>
      <c r="J2283" s="14" t="e">
        <f>=Round(0.00000000,0)</f>
        <v>#VALUE!</v>
      </c>
    </row>
    <row r="2284">
      <c r="A2284" s="11" t="s">
        <v>39</v>
      </c>
      <c r="B2284" s="12">
        <v>3592.281</v>
      </c>
      <c r="C2284" s="12">
        <v>0</v>
      </c>
      <c r="D2284" s="13">
        <v>0</v>
      </c>
      <c r="E2284" s="12">
        <v>0</v>
      </c>
      <c r="F2284" s="14">
        <v>0</v>
      </c>
      <c r="G2284" s="13">
        <v>880846.3791</v>
      </c>
      <c r="H2284" s="14">
        <v>3164247711.5597272</v>
      </c>
      <c r="I2284" s="14" t="e">
        <f>=Round(71312.20100000,0)</f>
        <v>#VALUE!</v>
      </c>
      <c r="J2284" s="14" t="e">
        <f>=Round(0.00000000,0)</f>
        <v>#VALUE!</v>
      </c>
    </row>
    <row r="2285">
      <c r="A2285" s="11" t="s">
        <v>40</v>
      </c>
      <c r="B2285" s="12">
        <v>3592.9125</v>
      </c>
      <c r="C2285" s="12">
        <v>0</v>
      </c>
      <c r="D2285" s="13">
        <v>0</v>
      </c>
      <c r="E2285" s="12">
        <v>0</v>
      </c>
      <c r="F2285" s="14">
        <v>0</v>
      </c>
      <c r="G2285" s="13">
        <v>880846.3791</v>
      </c>
      <c r="H2285" s="14">
        <v>3164803966.0481291</v>
      </c>
      <c r="I2285" s="14" t="e">
        <f>=Round(71325.25580000,0)</f>
        <v>#VALUE!</v>
      </c>
      <c r="J2285" s="14" t="e">
        <f>=Round(0.00000000,0)</f>
        <v>#VALUE!</v>
      </c>
    </row>
    <row r="2286">
      <c r="A2286" s="11" t="s">
        <v>41</v>
      </c>
      <c r="B2286" s="12">
        <v>3593.5674</v>
      </c>
      <c r="C2286" s="12">
        <v>0</v>
      </c>
      <c r="D2286" s="13">
        <v>0</v>
      </c>
      <c r="E2286" s="12">
        <v>0</v>
      </c>
      <c r="F2286" s="14">
        <v>0</v>
      </c>
      <c r="G2286" s="13">
        <v>880846.3791</v>
      </c>
      <c r="H2286" s="14">
        <v>3165380832.3418012</v>
      </c>
      <c r="I2286" s="14" t="e">
        <f>=Round(71337.79430000,0)</f>
        <v>#VALUE!</v>
      </c>
      <c r="J2286" s="14" t="e">
        <f>=Round(0.00000000,0)</f>
        <v>#VALUE!</v>
      </c>
    </row>
    <row r="2287">
      <c r="A2287" s="11" t="s">
        <v>42</v>
      </c>
      <c r="B2287" s="12">
        <v>3593.5674</v>
      </c>
      <c r="C2287" s="12">
        <v>0</v>
      </c>
      <c r="D2287" s="13">
        <v>0</v>
      </c>
      <c r="E2287" s="12">
        <v>0</v>
      </c>
      <c r="F2287" s="14">
        <v>0</v>
      </c>
      <c r="G2287" s="13">
        <v>880846.3791</v>
      </c>
      <c r="H2287" s="14">
        <v>3165380832.3418012</v>
      </c>
      <c r="I2287" s="14" t="e">
        <f>=Round(71350.79750000,0)</f>
        <v>#VALUE!</v>
      </c>
      <c r="J2287" s="14" t="e">
        <f>=Round(0.00000000,0)</f>
        <v>#VALUE!</v>
      </c>
    </row>
    <row r="2288">
      <c r="A2288" s="11" t="s">
        <v>43</v>
      </c>
      <c r="B2288" s="12">
        <v>3593.5674</v>
      </c>
      <c r="C2288" s="12">
        <v>0</v>
      </c>
      <c r="D2288" s="13">
        <v>0</v>
      </c>
      <c r="E2288" s="12">
        <v>0</v>
      </c>
      <c r="F2288" s="14">
        <v>0</v>
      </c>
      <c r="G2288" s="13">
        <v>880846.3791</v>
      </c>
      <c r="H2288" s="14">
        <v>3165380832.3418012</v>
      </c>
      <c r="I2288" s="14" t="e">
        <f>=Round(71350.79750000,0)</f>
        <v>#VALUE!</v>
      </c>
      <c r="J2288" s="14" t="e">
        <f>=Round(0.00000000,0)</f>
        <v>#VALUE!</v>
      </c>
    </row>
    <row r="2289">
      <c r="A2289" s="11" t="s">
        <v>44</v>
      </c>
      <c r="B2289" s="12">
        <v>3595.5366</v>
      </c>
      <c r="C2289" s="12">
        <v>0</v>
      </c>
      <c r="D2289" s="13">
        <v>0</v>
      </c>
      <c r="E2289" s="12">
        <v>0</v>
      </c>
      <c r="F2289" s="14">
        <v>0</v>
      </c>
      <c r="G2289" s="13">
        <v>880846.3791</v>
      </c>
      <c r="H2289" s="14">
        <v>3167115395.0315251</v>
      </c>
      <c r="I2289" s="14" t="e">
        <f>=Round(71350.79750000,0)</f>
        <v>#VALUE!</v>
      </c>
      <c r="J2289" s="14" t="e">
        <f>=Round(0.00000000,0)</f>
        <v>#VALUE!</v>
      </c>
    </row>
    <row r="2290">
      <c r="A2290" s="11" t="s">
        <v>45</v>
      </c>
      <c r="B2290" s="12">
        <v>3596.1915</v>
      </c>
      <c r="C2290" s="12">
        <v>0</v>
      </c>
      <c r="D2290" s="13">
        <v>0</v>
      </c>
      <c r="E2290" s="12">
        <v>0</v>
      </c>
      <c r="F2290" s="14">
        <v>0</v>
      </c>
      <c r="G2290" s="13">
        <v>880846.3791</v>
      </c>
      <c r="H2290" s="14">
        <v>3167692261.3251982</v>
      </c>
      <c r="I2290" s="14" t="e">
        <f>=Round(71389.89620000,0)</f>
        <v>#VALUE!</v>
      </c>
      <c r="J2290" s="14" t="e">
        <f>=Round(0.00000000,0)</f>
        <v>#VALUE!</v>
      </c>
    </row>
    <row r="2291">
      <c r="A2291" s="11" t="s">
        <v>46</v>
      </c>
      <c r="B2291" s="12">
        <v>3596.8461</v>
      </c>
      <c r="C2291" s="12">
        <v>0</v>
      </c>
      <c r="D2291" s="13">
        <v>0</v>
      </c>
      <c r="E2291" s="12">
        <v>0</v>
      </c>
      <c r="F2291" s="14">
        <v>0</v>
      </c>
      <c r="G2291" s="13">
        <v>880846.3791</v>
      </c>
      <c r="H2291" s="14">
        <v>3168268863.3649569</v>
      </c>
      <c r="I2291" s="14" t="e">
        <f>=Round(71402.89930000,0)</f>
        <v>#VALUE!</v>
      </c>
      <c r="J2291" s="14" t="e">
        <f>=Round(0.00000000,0)</f>
        <v>#VALUE!</v>
      </c>
    </row>
    <row r="2292">
      <c r="A2292" s="11" t="s">
        <v>47</v>
      </c>
      <c r="B2292" s="12">
        <v>3597.4992</v>
      </c>
      <c r="C2292" s="12">
        <v>0</v>
      </c>
      <c r="D2292" s="13">
        <v>0</v>
      </c>
      <c r="E2292" s="12">
        <v>0</v>
      </c>
      <c r="F2292" s="14">
        <v>0</v>
      </c>
      <c r="G2292" s="13">
        <v>880846.3791</v>
      </c>
      <c r="H2292" s="14">
        <v>3168844144.1351471</v>
      </c>
      <c r="I2292" s="14" t="e">
        <f>=Round(71415.89650000,0)</f>
        <v>#VALUE!</v>
      </c>
      <c r="J2292" s="14" t="e">
        <f>=Round(0.00000000,0)</f>
        <v>#VALUE!</v>
      </c>
    </row>
    <row r="2293">
      <c r="A2293" s="11" t="s">
        <v>48</v>
      </c>
      <c r="B2293" s="12">
        <v>3598.1558</v>
      </c>
      <c r="C2293" s="12">
        <v>0</v>
      </c>
      <c r="D2293" s="13">
        <v>0</v>
      </c>
      <c r="E2293" s="12">
        <v>0</v>
      </c>
      <c r="F2293" s="14">
        <v>0</v>
      </c>
      <c r="G2293" s="13">
        <v>880846.3791</v>
      </c>
      <c r="H2293" s="14">
        <v>3169422507.8676639</v>
      </c>
      <c r="I2293" s="14" t="e">
        <f>=Round(71428.86390000,0)</f>
        <v>#VALUE!</v>
      </c>
      <c r="J2293" s="14" t="e">
        <f>=Round(0.00000000,0)</f>
        <v>#VALUE!</v>
      </c>
    </row>
    <row r="2294">
      <c r="A2294" s="11" t="s">
        <v>49</v>
      </c>
      <c r="B2294" s="12">
        <v>3598.1558</v>
      </c>
      <c r="C2294" s="12">
        <v>0</v>
      </c>
      <c r="D2294" s="13">
        <v>0</v>
      </c>
      <c r="E2294" s="12">
        <v>0</v>
      </c>
      <c r="F2294" s="14">
        <v>0</v>
      </c>
      <c r="G2294" s="13">
        <v>880846.3791</v>
      </c>
      <c r="H2294" s="14">
        <v>3169422507.8676639</v>
      </c>
      <c r="I2294" s="14" t="e">
        <f>=Round(71441.90080000,0)</f>
        <v>#VALUE!</v>
      </c>
      <c r="J2294" s="14" t="e">
        <f>=Round(0.00000000,0)</f>
        <v>#VALUE!</v>
      </c>
    </row>
    <row r="2295">
      <c r="A2295" s="11" t="s">
        <v>50</v>
      </c>
      <c r="B2295" s="12">
        <v>3598.1558</v>
      </c>
      <c r="C2295" s="12">
        <v>0</v>
      </c>
      <c r="D2295" s="13">
        <v>0</v>
      </c>
      <c r="E2295" s="12">
        <v>0</v>
      </c>
      <c r="F2295" s="14">
        <v>0</v>
      </c>
      <c r="G2295" s="13">
        <v>880846.3791</v>
      </c>
      <c r="H2295" s="14">
        <v>3169422507.8676639</v>
      </c>
      <c r="I2295" s="14" t="e">
        <f>=Round(71441.90080000,0)</f>
        <v>#VALUE!</v>
      </c>
      <c r="J2295" s="14" t="e">
        <f>=Round(0.00000000,0)</f>
        <v>#VALUE!</v>
      </c>
    </row>
    <row r="2296">
      <c r="A2296" s="11" t="s">
        <v>51</v>
      </c>
      <c r="B2296" s="12">
        <v>3600.124</v>
      </c>
      <c r="C2296" s="12">
        <v>0</v>
      </c>
      <c r="D2296" s="13">
        <v>0</v>
      </c>
      <c r="E2296" s="12">
        <v>0</v>
      </c>
      <c r="F2296" s="14">
        <v>0</v>
      </c>
      <c r="G2296" s="13">
        <v>880846.3791</v>
      </c>
      <c r="H2296" s="14">
        <v>3171156189.7110081</v>
      </c>
      <c r="I2296" s="14" t="e">
        <f>=Round(71441.90080000,0)</f>
        <v>#VALUE!</v>
      </c>
      <c r="J2296" s="14" t="e">
        <f>=Round(0.00000000,0)</f>
        <v>#VALUE!</v>
      </c>
    </row>
    <row r="2297">
      <c r="A2297" s="11" t="s">
        <v>52</v>
      </c>
      <c r="B2297" s="12">
        <v>3600.7905</v>
      </c>
      <c r="C2297" s="12">
        <v>0</v>
      </c>
      <c r="D2297" s="13">
        <v>0</v>
      </c>
      <c r="E2297" s="12">
        <v>0</v>
      </c>
      <c r="F2297" s="14">
        <v>0</v>
      </c>
      <c r="G2297" s="13">
        <v>880846.3791</v>
      </c>
      <c r="H2297" s="14">
        <v>3171743273.822679</v>
      </c>
      <c r="I2297" s="14" t="e">
        <f>=Round(71480.97970000,0)</f>
        <v>#VALUE!</v>
      </c>
      <c r="J2297" s="14" t="e">
        <f>=Round(0.00000000,0)</f>
        <v>#VALUE!</v>
      </c>
    </row>
    <row r="2298">
      <c r="A2298" s="11" t="s">
        <v>53</v>
      </c>
      <c r="B2298" s="12">
        <v>3601.445</v>
      </c>
      <c r="C2298" s="12">
        <v>0</v>
      </c>
      <c r="D2298" s="13">
        <v>0</v>
      </c>
      <c r="E2298" s="12">
        <v>0</v>
      </c>
      <c r="F2298" s="14">
        <v>0</v>
      </c>
      <c r="G2298" s="13">
        <v>880846.3791</v>
      </c>
      <c r="H2298" s="14">
        <v>3172319787.7778</v>
      </c>
      <c r="I2298" s="14" t="e">
        <f>=Round(71494.21310000,0)</f>
        <v>#VALUE!</v>
      </c>
      <c r="J2298" s="14" t="e">
        <f>=Round(0.00000000,0)</f>
        <v>#VALUE!</v>
      </c>
    </row>
    <row r="2299">
      <c r="A2299" s="11" t="s">
        <v>54</v>
      </c>
      <c r="B2299" s="12">
        <v>3602.0851</v>
      </c>
      <c r="C2299" s="12">
        <v>0</v>
      </c>
      <c r="D2299" s="13">
        <v>0</v>
      </c>
      <c r="E2299" s="12">
        <v>0</v>
      </c>
      <c r="F2299" s="14">
        <v>0</v>
      </c>
      <c r="G2299" s="13">
        <v>880846.3791</v>
      </c>
      <c r="H2299" s="14">
        <v>3172883617.5450611</v>
      </c>
      <c r="I2299" s="14" t="e">
        <f>=Round(71507.20830000,0)</f>
        <v>#VALUE!</v>
      </c>
      <c r="J2299" s="14" t="e">
        <f>=Round(0.00000000,0)</f>
        <v>#VALUE!</v>
      </c>
    </row>
    <row r="2300">
      <c r="A2300" s="11" t="s">
        <v>55</v>
      </c>
      <c r="B2300" s="12">
        <v>3602.7417</v>
      </c>
      <c r="C2300" s="12">
        <v>0</v>
      </c>
      <c r="D2300" s="13">
        <v>0</v>
      </c>
      <c r="E2300" s="12">
        <v>0</v>
      </c>
      <c r="F2300" s="14">
        <v>0</v>
      </c>
      <c r="G2300" s="13">
        <v>880846.3791</v>
      </c>
      <c r="H2300" s="14">
        <v>3173461981.2775779</v>
      </c>
      <c r="I2300" s="14" t="e">
        <f>=Round(71519.91760000,0)</f>
        <v>#VALUE!</v>
      </c>
      <c r="J2300" s="14" t="e">
        <f>=Round(0.00000000,0)</f>
        <v>#VALUE!</v>
      </c>
    </row>
    <row r="2301" ht="-1">
      <c r="A2301" s="15"/>
      <c r="B2301" s="16" t="s">
        <v>56</v>
      </c>
      <c r="C2301" s="15"/>
      <c r="D2301" s="15"/>
      <c r="E2301" s="15"/>
      <c r="F2301" s="15"/>
      <c r="G2301" s="15"/>
      <c r="H2301" s="15"/>
      <c r="I2301" s="17" t="e">
        <f>=Round(SUM(I2275:I2300),0)</f>
        <v>#VALUE!</v>
      </c>
      <c r="J2301" s="17" t="e">
        <f>=Round(SUM(J2275:J2300),0)</f>
        <v>#VALUE!</v>
      </c>
    </row>
    <row r="2302">
      <c r="A2302" s="1" t="s">
        <v>0</v>
      </c>
      <c r="B2302" s="1"/>
      <c r="C2302" s="1"/>
      <c r="D2302" s="1"/>
    </row>
    <row r="2303">
      <c r="A2303" s="0" t="s">
        <v>1</v>
      </c>
      <c r="C2303" s="0" t="s">
        <v>2</v>
      </c>
      <c r="H2303" s="2" t="s">
        <v>3</v>
      </c>
    </row>
    <row r="2304">
      <c r="A2304" s="0" t="s">
        <v>4</v>
      </c>
      <c r="C2304" s="0" t="s">
        <v>115</v>
      </c>
      <c r="H2304" s="3" t="s">
        <v>6</v>
      </c>
    </row>
    <row r="2305">
      <c r="A2305" s="0" t="s">
        <v>7</v>
      </c>
      <c r="C2305" s="4" t="s">
        <v>8</v>
      </c>
      <c r="H2305" s="2" t="s">
        <v>9</v>
      </c>
    </row>
    <row r="2306">
      <c r="A2306" s="0" t="s">
        <v>10</v>
      </c>
      <c r="C2306" s="4" t="s">
        <v>11</v>
      </c>
      <c r="H2306" s="2" t="s">
        <v>12</v>
      </c>
    </row>
    <row r="2307">
      <c r="A2307" s="0" t="s">
        <v>13</v>
      </c>
      <c r="C2307" s="0" t="s">
        <v>14</v>
      </c>
    </row>
    <row r="2308">
      <c r="A2308" s="0" t="s">
        <v>15</v>
      </c>
      <c r="C2308" s="0" t="s">
        <v>16</v>
      </c>
    </row>
    <row r="2309">
      <c r="A2309" s="0" t="s">
        <v>17</v>
      </c>
      <c r="C2309" s="0" t="s">
        <v>18</v>
      </c>
    </row>
    <row r="2312">
      <c r="A2312" s="5" t="s">
        <v>19</v>
      </c>
      <c r="B2312" s="5" t="s">
        <v>20</v>
      </c>
      <c r="C2312" s="7" t="s">
        <v>21</v>
      </c>
      <c r="D2312" s="9"/>
      <c r="E2312" s="7" t="s">
        <v>22</v>
      </c>
      <c r="F2312" s="9"/>
      <c r="G2312" s="5" t="s">
        <v>23</v>
      </c>
      <c r="H2312" s="5" t="s">
        <v>24</v>
      </c>
      <c r="I2312" s="5" t="s">
        <v>25</v>
      </c>
      <c r="J2312" s="5" t="s">
        <v>26</v>
      </c>
    </row>
    <row r="2313">
      <c r="A2313" s="6"/>
      <c r="B2313" s="6"/>
      <c r="C2313" s="8" t="s">
        <v>27</v>
      </c>
      <c r="D2313" s="8" t="s">
        <v>28</v>
      </c>
      <c r="E2313" s="8" t="s">
        <v>27</v>
      </c>
      <c r="F2313" s="8" t="s">
        <v>28</v>
      </c>
      <c r="G2313" s="6"/>
      <c r="H2313" s="6"/>
      <c r="I2313" s="10" t="s">
        <v>29</v>
      </c>
      <c r="J2313" s="6"/>
    </row>
    <row r="2314">
      <c r="A2314" s="11" t="s">
        <v>30</v>
      </c>
      <c r="B2314" s="12">
        <v>3586.4187</v>
      </c>
      <c r="C2314" s="12">
        <v>0</v>
      </c>
      <c r="D2314" s="13">
        <v>0</v>
      </c>
      <c r="E2314" s="12">
        <v>0</v>
      </c>
      <c r="F2314" s="14">
        <v>0</v>
      </c>
      <c r="G2314" s="13">
        <v>869824.5007</v>
      </c>
      <c r="H2314" s="14">
        <v>3119554855.0286431</v>
      </c>
      <c r="I2314" s="14" t="e">
        <f>=Round(70279.16650000,0)</f>
        <v>#VALUE!</v>
      </c>
      <c r="J2314" s="14" t="e">
        <f>=Round(0.00000000,0)</f>
        <v>#VALUE!</v>
      </c>
    </row>
    <row r="2315">
      <c r="A2315" s="11" t="s">
        <v>31</v>
      </c>
      <c r="B2315" s="12">
        <v>3587.0477</v>
      </c>
      <c r="C2315" s="12">
        <v>0</v>
      </c>
      <c r="D2315" s="13">
        <v>0</v>
      </c>
      <c r="E2315" s="12">
        <v>0</v>
      </c>
      <c r="F2315" s="14">
        <v>0</v>
      </c>
      <c r="G2315" s="13">
        <v>869824.5007</v>
      </c>
      <c r="H2315" s="14">
        <v>3120101974.6395831</v>
      </c>
      <c r="I2315" s="14" t="e">
        <f>=Round(70317.83480000,0)</f>
        <v>#VALUE!</v>
      </c>
      <c r="J2315" s="14" t="e">
        <f>=Round(0.00000000,0)</f>
        <v>#VALUE!</v>
      </c>
    </row>
    <row r="2316">
      <c r="A2316" s="11" t="s">
        <v>32</v>
      </c>
      <c r="B2316" s="12">
        <v>3587.6685</v>
      </c>
      <c r="C2316" s="12">
        <v>0</v>
      </c>
      <c r="D2316" s="13">
        <v>0</v>
      </c>
      <c r="E2316" s="12">
        <v>0</v>
      </c>
      <c r="F2316" s="14">
        <v>0</v>
      </c>
      <c r="G2316" s="13">
        <v>869824.5007</v>
      </c>
      <c r="H2316" s="14">
        <v>3120641961.6896181</v>
      </c>
      <c r="I2316" s="14" t="e">
        <f>=Round(70330.16750000,0)</f>
        <v>#VALUE!</v>
      </c>
      <c r="J2316" s="14" t="e">
        <f>=Round(0.00000000,0)</f>
        <v>#VALUE!</v>
      </c>
    </row>
    <row r="2317">
      <c r="A2317" s="11" t="s">
        <v>33</v>
      </c>
      <c r="B2317" s="12">
        <v>3588.3573</v>
      </c>
      <c r="C2317" s="12">
        <v>0</v>
      </c>
      <c r="D2317" s="13">
        <v>0</v>
      </c>
      <c r="E2317" s="12">
        <v>0</v>
      </c>
      <c r="F2317" s="14">
        <v>0</v>
      </c>
      <c r="G2317" s="13">
        <v>869824.5007</v>
      </c>
      <c r="H2317" s="14">
        <v>3121241096.8057</v>
      </c>
      <c r="I2317" s="14" t="e">
        <f>=Round(70342.33930000,0)</f>
        <v>#VALUE!</v>
      </c>
      <c r="J2317" s="14" t="e">
        <f>=Round(0.00000000,0)</f>
        <v>#VALUE!</v>
      </c>
    </row>
    <row r="2318">
      <c r="A2318" s="11" t="s">
        <v>34</v>
      </c>
      <c r="B2318" s="12">
        <v>3589.0109</v>
      </c>
      <c r="C2318" s="12">
        <v>0</v>
      </c>
      <c r="D2318" s="13">
        <v>0</v>
      </c>
      <c r="E2318" s="12">
        <v>0</v>
      </c>
      <c r="F2318" s="14">
        <v>0</v>
      </c>
      <c r="G2318" s="13">
        <v>869824.5007</v>
      </c>
      <c r="H2318" s="14">
        <v>3121809614.0993581</v>
      </c>
      <c r="I2318" s="14" t="e">
        <f>=Round(70355.84440000,0)</f>
        <v>#VALUE!</v>
      </c>
      <c r="J2318" s="14" t="e">
        <f>=Round(0.00000000,0)</f>
        <v>#VALUE!</v>
      </c>
    </row>
    <row r="2319">
      <c r="A2319" s="11" t="s">
        <v>35</v>
      </c>
      <c r="B2319" s="12">
        <v>3589.0109</v>
      </c>
      <c r="C2319" s="12">
        <v>0</v>
      </c>
      <c r="D2319" s="13">
        <v>0</v>
      </c>
      <c r="E2319" s="12">
        <v>0</v>
      </c>
      <c r="F2319" s="14">
        <v>0</v>
      </c>
      <c r="G2319" s="13">
        <v>869824.5007</v>
      </c>
      <c r="H2319" s="14">
        <v>3121809614.0993581</v>
      </c>
      <c r="I2319" s="14" t="e">
        <f>=Round(70368.65930000,0)</f>
        <v>#VALUE!</v>
      </c>
      <c r="J2319" s="14" t="e">
        <f>=Round(0.00000000,0)</f>
        <v>#VALUE!</v>
      </c>
    </row>
    <row r="2320">
      <c r="A2320" s="11" t="s">
        <v>36</v>
      </c>
      <c r="B2320" s="12">
        <v>3589.0109</v>
      </c>
      <c r="C2320" s="12">
        <v>0</v>
      </c>
      <c r="D2320" s="13">
        <v>0</v>
      </c>
      <c r="E2320" s="12">
        <v>0</v>
      </c>
      <c r="F2320" s="14">
        <v>0</v>
      </c>
      <c r="G2320" s="13">
        <v>869824.5007</v>
      </c>
      <c r="H2320" s="14">
        <v>3121809614.0993581</v>
      </c>
      <c r="I2320" s="14" t="e">
        <f>=Round(70368.65930000,0)</f>
        <v>#VALUE!</v>
      </c>
      <c r="J2320" s="14" t="e">
        <f>=Round(0.00000000,0)</f>
        <v>#VALUE!</v>
      </c>
    </row>
    <row r="2321">
      <c r="A2321" s="11" t="s">
        <v>37</v>
      </c>
      <c r="B2321" s="12">
        <v>3590.972</v>
      </c>
      <c r="C2321" s="12">
        <v>0</v>
      </c>
      <c r="D2321" s="13">
        <v>0</v>
      </c>
      <c r="E2321" s="12">
        <v>0</v>
      </c>
      <c r="F2321" s="14">
        <v>0</v>
      </c>
      <c r="G2321" s="13">
        <v>869824.5007</v>
      </c>
      <c r="H2321" s="14">
        <v>3123515426.92768</v>
      </c>
      <c r="I2321" s="14" t="e">
        <f>=Round(70368.65930000,0)</f>
        <v>#VALUE!</v>
      </c>
      <c r="J2321" s="14" t="e">
        <f>=Round(0.00000000,0)</f>
        <v>#VALUE!</v>
      </c>
    </row>
    <row r="2322">
      <c r="A2322" s="11" t="s">
        <v>38</v>
      </c>
      <c r="B2322" s="12">
        <v>3591.6235</v>
      </c>
      <c r="C2322" s="12">
        <v>0</v>
      </c>
      <c r="D2322" s="13">
        <v>0</v>
      </c>
      <c r="E2322" s="12">
        <v>0</v>
      </c>
      <c r="F2322" s="14">
        <v>0</v>
      </c>
      <c r="G2322" s="13">
        <v>869824.5007</v>
      </c>
      <c r="H2322" s="14">
        <v>3124082117.5898862</v>
      </c>
      <c r="I2322" s="14" t="e">
        <f>=Round(70407.11000000,0)</f>
        <v>#VALUE!</v>
      </c>
      <c r="J2322" s="14" t="e">
        <f>=Round(0.00000000,0)</f>
        <v>#VALUE!</v>
      </c>
    </row>
    <row r="2323">
      <c r="A2323" s="11" t="s">
        <v>39</v>
      </c>
      <c r="B2323" s="12">
        <v>3592.281</v>
      </c>
      <c r="C2323" s="12">
        <v>0</v>
      </c>
      <c r="D2323" s="13">
        <v>0</v>
      </c>
      <c r="E2323" s="12">
        <v>0</v>
      </c>
      <c r="F2323" s="14">
        <v>0</v>
      </c>
      <c r="G2323" s="13">
        <v>869824.5007</v>
      </c>
      <c r="H2323" s="14">
        <v>3124654027.1990972</v>
      </c>
      <c r="I2323" s="14" t="e">
        <f>=Round(70419.88380000,0)</f>
        <v>#VALUE!</v>
      </c>
      <c r="J2323" s="14" t="e">
        <f>=Round(0.00000000,0)</f>
        <v>#VALUE!</v>
      </c>
    </row>
    <row r="2324">
      <c r="A2324" s="11" t="s">
        <v>40</v>
      </c>
      <c r="B2324" s="12">
        <v>3592.9125</v>
      </c>
      <c r="C2324" s="12">
        <v>0</v>
      </c>
      <c r="D2324" s="13">
        <v>0</v>
      </c>
      <c r="E2324" s="12">
        <v>0</v>
      </c>
      <c r="F2324" s="14">
        <v>0</v>
      </c>
      <c r="G2324" s="13">
        <v>869824.5007</v>
      </c>
      <c r="H2324" s="14">
        <v>3125203321.3712888</v>
      </c>
      <c r="I2324" s="14" t="e">
        <f>=Round(70432.77520000,0)</f>
        <v>#VALUE!</v>
      </c>
      <c r="J2324" s="14" t="e">
        <f>=Round(0.00000000,0)</f>
        <v>#VALUE!</v>
      </c>
    </row>
    <row r="2325">
      <c r="A2325" s="11" t="s">
        <v>41</v>
      </c>
      <c r="B2325" s="12">
        <v>3593.5674</v>
      </c>
      <c r="C2325" s="12">
        <v>0</v>
      </c>
      <c r="D2325" s="13">
        <v>0</v>
      </c>
      <c r="E2325" s="12">
        <v>0</v>
      </c>
      <c r="F2325" s="14">
        <v>0</v>
      </c>
      <c r="G2325" s="13">
        <v>869824.5007</v>
      </c>
      <c r="H2325" s="14">
        <v>3125772969.4367971</v>
      </c>
      <c r="I2325" s="14" t="e">
        <f>=Round(70445.15680000,0)</f>
        <v>#VALUE!</v>
      </c>
      <c r="J2325" s="14" t="e">
        <f>=Round(0.00000000,0)</f>
        <v>#VALUE!</v>
      </c>
    </row>
    <row r="2326">
      <c r="A2326" s="11" t="s">
        <v>42</v>
      </c>
      <c r="B2326" s="12">
        <v>3593.5674</v>
      </c>
      <c r="C2326" s="12">
        <v>0</v>
      </c>
      <c r="D2326" s="13">
        <v>0</v>
      </c>
      <c r="E2326" s="12">
        <v>0</v>
      </c>
      <c r="F2326" s="14">
        <v>0</v>
      </c>
      <c r="G2326" s="13">
        <v>869824.5007</v>
      </c>
      <c r="H2326" s="14">
        <v>3125772969.4367971</v>
      </c>
      <c r="I2326" s="14" t="e">
        <f>=Round(70457.99730000,0)</f>
        <v>#VALUE!</v>
      </c>
      <c r="J2326" s="14" t="e">
        <f>=Round(0.00000000,0)</f>
        <v>#VALUE!</v>
      </c>
    </row>
    <row r="2327">
      <c r="A2327" s="11" t="s">
        <v>43</v>
      </c>
      <c r="B2327" s="12">
        <v>3593.5674</v>
      </c>
      <c r="C2327" s="12">
        <v>0</v>
      </c>
      <c r="D2327" s="13">
        <v>0</v>
      </c>
      <c r="E2327" s="12">
        <v>0</v>
      </c>
      <c r="F2327" s="14">
        <v>0</v>
      </c>
      <c r="G2327" s="13">
        <v>869824.5007</v>
      </c>
      <c r="H2327" s="14">
        <v>3125772969.4367971</v>
      </c>
      <c r="I2327" s="14" t="e">
        <f>=Round(70457.99730000,0)</f>
        <v>#VALUE!</v>
      </c>
      <c r="J2327" s="14" t="e">
        <f>=Round(0.00000000,0)</f>
        <v>#VALUE!</v>
      </c>
    </row>
    <row r="2328">
      <c r="A2328" s="11" t="s">
        <v>44</v>
      </c>
      <c r="B2328" s="12">
        <v>3595.5366</v>
      </c>
      <c r="C2328" s="12">
        <v>0</v>
      </c>
      <c r="D2328" s="13">
        <v>0</v>
      </c>
      <c r="E2328" s="12">
        <v>0</v>
      </c>
      <c r="F2328" s="14">
        <v>0</v>
      </c>
      <c r="G2328" s="13">
        <v>869824.5007</v>
      </c>
      <c r="H2328" s="14">
        <v>3127485827.843576</v>
      </c>
      <c r="I2328" s="14" t="e">
        <f>=Round(70457.99730000,0)</f>
        <v>#VALUE!</v>
      </c>
      <c r="J2328" s="14" t="e">
        <f>=Round(0.00000000,0)</f>
        <v>#VALUE!</v>
      </c>
    </row>
    <row r="2329">
      <c r="A2329" s="11" t="s">
        <v>45</v>
      </c>
      <c r="B2329" s="12">
        <v>3596.1915</v>
      </c>
      <c r="C2329" s="12">
        <v>0</v>
      </c>
      <c r="D2329" s="13">
        <v>0</v>
      </c>
      <c r="E2329" s="12">
        <v>0</v>
      </c>
      <c r="F2329" s="14">
        <v>0</v>
      </c>
      <c r="G2329" s="13">
        <v>869824.5007</v>
      </c>
      <c r="H2329" s="14">
        <v>3128055475.9090838</v>
      </c>
      <c r="I2329" s="14" t="e">
        <f>=Round(70496.60680000,0)</f>
        <v>#VALUE!</v>
      </c>
      <c r="J2329" s="14" t="e">
        <f>=Round(0.00000000,0)</f>
        <v>#VALUE!</v>
      </c>
    </row>
    <row r="2330">
      <c r="A2330" s="11" t="s">
        <v>46</v>
      </c>
      <c r="B2330" s="12">
        <v>3596.8461</v>
      </c>
      <c r="C2330" s="12">
        <v>0</v>
      </c>
      <c r="D2330" s="13">
        <v>0</v>
      </c>
      <c r="E2330" s="12">
        <v>0</v>
      </c>
      <c r="F2330" s="14">
        <v>0</v>
      </c>
      <c r="G2330" s="13">
        <v>869824.5007</v>
      </c>
      <c r="H2330" s="14">
        <v>3128624863.0272422</v>
      </c>
      <c r="I2330" s="14" t="e">
        <f>=Round(70509.44720000,0)</f>
        <v>#VALUE!</v>
      </c>
      <c r="J2330" s="14" t="e">
        <f>=Round(0.00000000,0)</f>
        <v>#VALUE!</v>
      </c>
    </row>
    <row r="2331">
      <c r="A2331" s="11" t="s">
        <v>47</v>
      </c>
      <c r="B2331" s="12">
        <v>3597.4992</v>
      </c>
      <c r="C2331" s="12">
        <v>0</v>
      </c>
      <c r="D2331" s="13">
        <v>0</v>
      </c>
      <c r="E2331" s="12">
        <v>0</v>
      </c>
      <c r="F2331" s="14">
        <v>0</v>
      </c>
      <c r="G2331" s="13">
        <v>869824.5007</v>
      </c>
      <c r="H2331" s="14">
        <v>3129192945.408649</v>
      </c>
      <c r="I2331" s="14" t="e">
        <f>=Round(70522.28170000,0)</f>
        <v>#VALUE!</v>
      </c>
      <c r="J2331" s="14" t="e">
        <f>=Round(0.00000000,0)</f>
        <v>#VALUE!</v>
      </c>
    </row>
    <row r="2332">
      <c r="A2332" s="11" t="s">
        <v>48</v>
      </c>
      <c r="B2332" s="12">
        <v>3598.1558</v>
      </c>
      <c r="C2332" s="12">
        <v>0</v>
      </c>
      <c r="D2332" s="13">
        <v>0</v>
      </c>
      <c r="E2332" s="12">
        <v>0</v>
      </c>
      <c r="F2332" s="14">
        <v>0</v>
      </c>
      <c r="G2332" s="13">
        <v>869824.5007</v>
      </c>
      <c r="H2332" s="14">
        <v>3129764072.1758089</v>
      </c>
      <c r="I2332" s="14" t="e">
        <f>=Round(70535.08690000,0)</f>
        <v>#VALUE!</v>
      </c>
      <c r="J2332" s="14" t="e">
        <f>=Round(0.00000000,0)</f>
        <v>#VALUE!</v>
      </c>
    </row>
    <row r="2333">
      <c r="A2333" s="11" t="s">
        <v>49</v>
      </c>
      <c r="B2333" s="12">
        <v>3598.1558</v>
      </c>
      <c r="C2333" s="12">
        <v>0</v>
      </c>
      <c r="D2333" s="13">
        <v>0</v>
      </c>
      <c r="E2333" s="12">
        <v>0</v>
      </c>
      <c r="F2333" s="14">
        <v>0</v>
      </c>
      <c r="G2333" s="13">
        <v>869824.5007</v>
      </c>
      <c r="H2333" s="14">
        <v>3129764072.1758089</v>
      </c>
      <c r="I2333" s="14" t="e">
        <f>=Round(70547.96060000,0)</f>
        <v>#VALUE!</v>
      </c>
      <c r="J2333" s="14" t="e">
        <f>=Round(0.00000000,0)</f>
        <v>#VALUE!</v>
      </c>
    </row>
    <row r="2334">
      <c r="A2334" s="11" t="s">
        <v>50</v>
      </c>
      <c r="B2334" s="12">
        <v>3598.1558</v>
      </c>
      <c r="C2334" s="12">
        <v>0</v>
      </c>
      <c r="D2334" s="13">
        <v>0</v>
      </c>
      <c r="E2334" s="12">
        <v>0</v>
      </c>
      <c r="F2334" s="14">
        <v>0</v>
      </c>
      <c r="G2334" s="13">
        <v>869824.5007</v>
      </c>
      <c r="H2334" s="14">
        <v>3129764072.1758089</v>
      </c>
      <c r="I2334" s="14" t="e">
        <f>=Round(70547.96060000,0)</f>
        <v>#VALUE!</v>
      </c>
      <c r="J2334" s="14" t="e">
        <f>=Round(0.00000000,0)</f>
        <v>#VALUE!</v>
      </c>
    </row>
    <row r="2335">
      <c r="A2335" s="11" t="s">
        <v>51</v>
      </c>
      <c r="B2335" s="12">
        <v>3600.124</v>
      </c>
      <c r="C2335" s="12">
        <v>0</v>
      </c>
      <c r="D2335" s="13">
        <v>0</v>
      </c>
      <c r="E2335" s="12">
        <v>0</v>
      </c>
      <c r="F2335" s="14">
        <v>0</v>
      </c>
      <c r="G2335" s="13">
        <v>869824.5007</v>
      </c>
      <c r="H2335" s="14">
        <v>3131476060.7580872</v>
      </c>
      <c r="I2335" s="14" t="e">
        <f>=Round(70547.96060000,0)</f>
        <v>#VALUE!</v>
      </c>
      <c r="J2335" s="14" t="e">
        <f>=Round(0.00000000,0)</f>
        <v>#VALUE!</v>
      </c>
    </row>
    <row r="2336">
      <c r="A2336" s="11" t="s">
        <v>52</v>
      </c>
      <c r="B2336" s="12">
        <v>3600.7905</v>
      </c>
      <c r="C2336" s="12">
        <v>0</v>
      </c>
      <c r="D2336" s="13">
        <v>0</v>
      </c>
      <c r="E2336" s="12">
        <v>0</v>
      </c>
      <c r="F2336" s="14">
        <v>0</v>
      </c>
      <c r="G2336" s="13">
        <v>869824.5007</v>
      </c>
      <c r="H2336" s="14">
        <v>3132055798.7878032</v>
      </c>
      <c r="I2336" s="14" t="e">
        <f>=Round(70586.55050000,0)</f>
        <v>#VALUE!</v>
      </c>
      <c r="J2336" s="14" t="e">
        <f>=Round(0.00000000,0)</f>
        <v>#VALUE!</v>
      </c>
    </row>
    <row r="2337">
      <c r="A2337" s="11" t="s">
        <v>53</v>
      </c>
      <c r="B2337" s="12">
        <v>3601.445</v>
      </c>
      <c r="C2337" s="12">
        <v>0</v>
      </c>
      <c r="D2337" s="13">
        <v>0</v>
      </c>
      <c r="E2337" s="12">
        <v>0</v>
      </c>
      <c r="F2337" s="14">
        <v>0</v>
      </c>
      <c r="G2337" s="13">
        <v>869824.5007</v>
      </c>
      <c r="H2337" s="14">
        <v>3132625098.923512</v>
      </c>
      <c r="I2337" s="14" t="e">
        <f>=Round(70599.61840000,0)</f>
        <v>#VALUE!</v>
      </c>
      <c r="J2337" s="14" t="e">
        <f>=Round(0.00000000,0)</f>
        <v>#VALUE!</v>
      </c>
    </row>
    <row r="2338">
      <c r="A2338" s="11" t="s">
        <v>54</v>
      </c>
      <c r="B2338" s="12">
        <v>3602.0851</v>
      </c>
      <c r="C2338" s="12">
        <v>0</v>
      </c>
      <c r="D2338" s="13">
        <v>0</v>
      </c>
      <c r="E2338" s="12">
        <v>0</v>
      </c>
      <c r="F2338" s="14">
        <v>0</v>
      </c>
      <c r="G2338" s="13">
        <v>869824.5007</v>
      </c>
      <c r="H2338" s="14">
        <v>3133181873.58641</v>
      </c>
      <c r="I2338" s="14" t="e">
        <f>=Round(70612.45100000,0)</f>
        <v>#VALUE!</v>
      </c>
      <c r="J2338" s="14" t="e">
        <f>=Round(0.00000000,0)</f>
        <v>#VALUE!</v>
      </c>
    </row>
    <row r="2339">
      <c r="A2339" s="11" t="s">
        <v>55</v>
      </c>
      <c r="B2339" s="12">
        <v>3602.7417</v>
      </c>
      <c r="C2339" s="12">
        <v>0</v>
      </c>
      <c r="D2339" s="13">
        <v>0</v>
      </c>
      <c r="E2339" s="12">
        <v>0</v>
      </c>
      <c r="F2339" s="14">
        <v>0</v>
      </c>
      <c r="G2339" s="13">
        <v>869824.5007</v>
      </c>
      <c r="H2339" s="14">
        <v>3133753000.353569</v>
      </c>
      <c r="I2339" s="14" t="e">
        <f>=Round(70625.00120000,0)</f>
        <v>#VALUE!</v>
      </c>
      <c r="J2339" s="14" t="e">
        <f>=Round(0.00000000,0)</f>
        <v>#VALUE!</v>
      </c>
    </row>
    <row r="2340" ht="-1">
      <c r="A2340" s="15"/>
      <c r="B2340" s="16" t="s">
        <v>56</v>
      </c>
      <c r="C2340" s="15"/>
      <c r="D2340" s="15"/>
      <c r="E2340" s="15"/>
      <c r="F2340" s="15"/>
      <c r="G2340" s="15"/>
      <c r="H2340" s="15"/>
      <c r="I2340" s="17" t="e">
        <f>=Round(SUM(I2314:I2339),0)</f>
        <v>#VALUE!</v>
      </c>
      <c r="J2340" s="17" t="e">
        <f>=Round(SUM(J2314:J2339),0)</f>
        <v>#VALUE!</v>
      </c>
    </row>
    <row r="2341">
      <c r="A2341" s="1" t="s">
        <v>0</v>
      </c>
      <c r="B2341" s="1"/>
      <c r="C2341" s="1"/>
      <c r="D2341" s="1"/>
    </row>
    <row r="2342">
      <c r="A2342" s="0" t="s">
        <v>1</v>
      </c>
      <c r="C2342" s="0" t="s">
        <v>2</v>
      </c>
      <c r="H2342" s="2" t="s">
        <v>3</v>
      </c>
    </row>
    <row r="2343">
      <c r="A2343" s="0" t="s">
        <v>4</v>
      </c>
      <c r="C2343" s="0" t="s">
        <v>116</v>
      </c>
      <c r="H2343" s="3" t="s">
        <v>6</v>
      </c>
    </row>
    <row r="2344">
      <c r="A2344" s="0" t="s">
        <v>7</v>
      </c>
      <c r="C2344" s="4" t="s">
        <v>8</v>
      </c>
      <c r="H2344" s="2" t="s">
        <v>9</v>
      </c>
    </row>
    <row r="2345">
      <c r="A2345" s="0" t="s">
        <v>10</v>
      </c>
      <c r="C2345" s="4" t="s">
        <v>11</v>
      </c>
      <c r="H2345" s="2" t="s">
        <v>12</v>
      </c>
    </row>
    <row r="2346">
      <c r="A2346" s="0" t="s">
        <v>13</v>
      </c>
      <c r="C2346" s="0" t="s">
        <v>14</v>
      </c>
    </row>
    <row r="2347">
      <c r="A2347" s="0" t="s">
        <v>15</v>
      </c>
      <c r="C2347" s="0" t="s">
        <v>16</v>
      </c>
    </row>
    <row r="2348">
      <c r="A2348" s="0" t="s">
        <v>17</v>
      </c>
      <c r="C2348" s="0" t="s">
        <v>18</v>
      </c>
    </row>
    <row r="2351">
      <c r="A2351" s="5" t="s">
        <v>19</v>
      </c>
      <c r="B2351" s="5" t="s">
        <v>20</v>
      </c>
      <c r="C2351" s="7" t="s">
        <v>21</v>
      </c>
      <c r="D2351" s="9"/>
      <c r="E2351" s="7" t="s">
        <v>22</v>
      </c>
      <c r="F2351" s="9"/>
      <c r="G2351" s="5" t="s">
        <v>23</v>
      </c>
      <c r="H2351" s="5" t="s">
        <v>24</v>
      </c>
      <c r="I2351" s="5" t="s">
        <v>25</v>
      </c>
      <c r="J2351" s="5" t="s">
        <v>26</v>
      </c>
    </row>
    <row r="2352">
      <c r="A2352" s="6"/>
      <c r="B2352" s="6"/>
      <c r="C2352" s="8" t="s">
        <v>27</v>
      </c>
      <c r="D2352" s="8" t="s">
        <v>28</v>
      </c>
      <c r="E2352" s="8" t="s">
        <v>27</v>
      </c>
      <c r="F2352" s="8" t="s">
        <v>28</v>
      </c>
      <c r="G2352" s="6"/>
      <c r="H2352" s="6"/>
      <c r="I2352" s="10" t="s">
        <v>29</v>
      </c>
      <c r="J2352" s="6"/>
    </row>
    <row r="2353">
      <c r="A2353" s="11" t="s">
        <v>30</v>
      </c>
      <c r="B2353" s="12">
        <v>3586.4187</v>
      </c>
      <c r="C2353" s="12">
        <v>0</v>
      </c>
      <c r="D2353" s="13">
        <v>0</v>
      </c>
      <c r="E2353" s="12">
        <v>0</v>
      </c>
      <c r="F2353" s="14">
        <v>0</v>
      </c>
      <c r="G2353" s="13">
        <v>2059051.2645</v>
      </c>
      <c r="H2353" s="14">
        <v>7384619959.261446</v>
      </c>
      <c r="I2353" s="14" t="e">
        <f>=Round(166365.06160000,0)</f>
        <v>#VALUE!</v>
      </c>
      <c r="J2353" s="14" t="e">
        <f>=Round(0.00000000,0)</f>
        <v>#VALUE!</v>
      </c>
    </row>
    <row r="2354">
      <c r="A2354" s="11" t="s">
        <v>31</v>
      </c>
      <c r="B2354" s="12">
        <v>3587.0477</v>
      </c>
      <c r="C2354" s="12">
        <v>0</v>
      </c>
      <c r="D2354" s="13">
        <v>0</v>
      </c>
      <c r="E2354" s="12">
        <v>0</v>
      </c>
      <c r="F2354" s="14">
        <v>0</v>
      </c>
      <c r="G2354" s="13">
        <v>2059051.2645</v>
      </c>
      <c r="H2354" s="14">
        <v>7385915102.5068169</v>
      </c>
      <c r="I2354" s="14" t="e">
        <f>=Round(166456.59740000,0)</f>
        <v>#VALUE!</v>
      </c>
      <c r="J2354" s="14" t="e">
        <f>=Round(0.00000000,0)</f>
        <v>#VALUE!</v>
      </c>
    </row>
    <row r="2355">
      <c r="A2355" s="11" t="s">
        <v>32</v>
      </c>
      <c r="B2355" s="12">
        <v>3587.6685</v>
      </c>
      <c r="C2355" s="12">
        <v>0</v>
      </c>
      <c r="D2355" s="13">
        <v>0</v>
      </c>
      <c r="E2355" s="12">
        <v>0</v>
      </c>
      <c r="F2355" s="14">
        <v>0</v>
      </c>
      <c r="G2355" s="13">
        <v>2059051.2645</v>
      </c>
      <c r="H2355" s="14">
        <v>7387193361.5318184</v>
      </c>
      <c r="I2355" s="14" t="e">
        <f>=Round(166485.79120000,0)</f>
        <v>#VALUE!</v>
      </c>
      <c r="J2355" s="14" t="e">
        <f>=Round(0.00000000,0)</f>
        <v>#VALUE!</v>
      </c>
    </row>
    <row r="2356">
      <c r="A2356" s="11" t="s">
        <v>33</v>
      </c>
      <c r="B2356" s="12">
        <v>3588.3573</v>
      </c>
      <c r="C2356" s="12">
        <v>0</v>
      </c>
      <c r="D2356" s="13">
        <v>0</v>
      </c>
      <c r="E2356" s="12">
        <v>0</v>
      </c>
      <c r="F2356" s="14">
        <v>0</v>
      </c>
      <c r="G2356" s="13">
        <v>2059051.2645</v>
      </c>
      <c r="H2356" s="14">
        <v>7388611636.0428057</v>
      </c>
      <c r="I2356" s="14" t="e">
        <f>=Round(166514.60450000,0)</f>
        <v>#VALUE!</v>
      </c>
      <c r="J2356" s="14" t="e">
        <f>=Round(0.00000000,0)</f>
        <v>#VALUE!</v>
      </c>
    </row>
    <row r="2357">
      <c r="A2357" s="11" t="s">
        <v>34</v>
      </c>
      <c r="B2357" s="12">
        <v>3589.0109</v>
      </c>
      <c r="C2357" s="12">
        <v>0</v>
      </c>
      <c r="D2357" s="13">
        <v>0</v>
      </c>
      <c r="E2357" s="12">
        <v>0</v>
      </c>
      <c r="F2357" s="14">
        <v>0</v>
      </c>
      <c r="G2357" s="13">
        <v>2059051.2645</v>
      </c>
      <c r="H2357" s="14">
        <v>7389957431.9492826</v>
      </c>
      <c r="I2357" s="14" t="e">
        <f>=Round(166546.57380000,0)</f>
        <v>#VALUE!</v>
      </c>
      <c r="J2357" s="14" t="e">
        <f>=Round(0.00000000,0)</f>
        <v>#VALUE!</v>
      </c>
    </row>
    <row r="2358">
      <c r="A2358" s="11" t="s">
        <v>35</v>
      </c>
      <c r="B2358" s="12">
        <v>3589.0109</v>
      </c>
      <c r="C2358" s="12">
        <v>0</v>
      </c>
      <c r="D2358" s="13">
        <v>0</v>
      </c>
      <c r="E2358" s="12">
        <v>0</v>
      </c>
      <c r="F2358" s="14">
        <v>0</v>
      </c>
      <c r="G2358" s="13">
        <v>2059051.2645</v>
      </c>
      <c r="H2358" s="14">
        <v>7389957431.9492826</v>
      </c>
      <c r="I2358" s="14" t="e">
        <f>=Round(166576.90930000,0)</f>
        <v>#VALUE!</v>
      </c>
      <c r="J2358" s="14" t="e">
        <f>=Round(0.00000000,0)</f>
        <v>#VALUE!</v>
      </c>
    </row>
    <row r="2359">
      <c r="A2359" s="11" t="s">
        <v>36</v>
      </c>
      <c r="B2359" s="12">
        <v>3589.0109</v>
      </c>
      <c r="C2359" s="12">
        <v>0</v>
      </c>
      <c r="D2359" s="13">
        <v>0</v>
      </c>
      <c r="E2359" s="12">
        <v>0</v>
      </c>
      <c r="F2359" s="14">
        <v>0</v>
      </c>
      <c r="G2359" s="13">
        <v>2059051.2645</v>
      </c>
      <c r="H2359" s="14">
        <v>7389957431.9492826</v>
      </c>
      <c r="I2359" s="14" t="e">
        <f>=Round(166576.90930000,0)</f>
        <v>#VALUE!</v>
      </c>
      <c r="J2359" s="14" t="e">
        <f>=Round(0.00000000,0)</f>
        <v>#VALUE!</v>
      </c>
    </row>
    <row r="2360">
      <c r="A2360" s="11" t="s">
        <v>37</v>
      </c>
      <c r="B2360" s="12">
        <v>3590.972</v>
      </c>
      <c r="C2360" s="12">
        <v>0</v>
      </c>
      <c r="D2360" s="13">
        <v>0</v>
      </c>
      <c r="E2360" s="12">
        <v>0</v>
      </c>
      <c r="F2360" s="14">
        <v>0</v>
      </c>
      <c r="G2360" s="13">
        <v>2059051.2645</v>
      </c>
      <c r="H2360" s="14">
        <v>7393995437.3840942</v>
      </c>
      <c r="I2360" s="14" t="e">
        <f>=Round(166576.90930000,0)</f>
        <v>#VALUE!</v>
      </c>
      <c r="J2360" s="14" t="e">
        <f>=Round(0.00000000,0)</f>
        <v>#VALUE!</v>
      </c>
    </row>
    <row r="2361">
      <c r="A2361" s="11" t="s">
        <v>38</v>
      </c>
      <c r="B2361" s="12">
        <v>3591.6235</v>
      </c>
      <c r="C2361" s="12">
        <v>0</v>
      </c>
      <c r="D2361" s="13">
        <v>0</v>
      </c>
      <c r="E2361" s="12">
        <v>0</v>
      </c>
      <c r="F2361" s="14">
        <v>0</v>
      </c>
      <c r="G2361" s="13">
        <v>2059051.2645</v>
      </c>
      <c r="H2361" s="14">
        <v>7395336909.2829161</v>
      </c>
      <c r="I2361" s="14" t="e">
        <f>=Round(166667.92990000,0)</f>
        <v>#VALUE!</v>
      </c>
      <c r="J2361" s="14" t="e">
        <f>=Round(0.00000000,0)</f>
        <v>#VALUE!</v>
      </c>
    </row>
    <row r="2362">
      <c r="A2362" s="11" t="s">
        <v>39</v>
      </c>
      <c r="B2362" s="12">
        <v>3592.281</v>
      </c>
      <c r="C2362" s="12">
        <v>0</v>
      </c>
      <c r="D2362" s="13">
        <v>0</v>
      </c>
      <c r="E2362" s="12">
        <v>0</v>
      </c>
      <c r="F2362" s="14">
        <v>0</v>
      </c>
      <c r="G2362" s="13">
        <v>2059051.2645</v>
      </c>
      <c r="H2362" s="14">
        <v>7396690735.4893246</v>
      </c>
      <c r="I2362" s="14" t="e">
        <f>=Round(166698.16800000,0)</f>
        <v>#VALUE!</v>
      </c>
      <c r="J2362" s="14" t="e">
        <f>=Round(0.00000000,0)</f>
        <v>#VALUE!</v>
      </c>
    </row>
    <row r="2363">
      <c r="A2363" s="11" t="s">
        <v>40</v>
      </c>
      <c r="B2363" s="12">
        <v>3592.9125</v>
      </c>
      <c r="C2363" s="12">
        <v>0</v>
      </c>
      <c r="D2363" s="13">
        <v>0</v>
      </c>
      <c r="E2363" s="12">
        <v>0</v>
      </c>
      <c r="F2363" s="14">
        <v>0</v>
      </c>
      <c r="G2363" s="13">
        <v>2059051.2645</v>
      </c>
      <c r="H2363" s="14">
        <v>7397991026.3628559</v>
      </c>
      <c r="I2363" s="14" t="e">
        <f>=Round(166728.68460000,0)</f>
        <v>#VALUE!</v>
      </c>
      <c r="J2363" s="14" t="e">
        <f>=Round(0.00000000,0)</f>
        <v>#VALUE!</v>
      </c>
    </row>
    <row r="2364">
      <c r="A2364" s="11" t="s">
        <v>41</v>
      </c>
      <c r="B2364" s="12">
        <v>3593.5674</v>
      </c>
      <c r="C2364" s="12">
        <v>0</v>
      </c>
      <c r="D2364" s="13">
        <v>0</v>
      </c>
      <c r="E2364" s="12">
        <v>0</v>
      </c>
      <c r="F2364" s="14">
        <v>0</v>
      </c>
      <c r="G2364" s="13">
        <v>2059051.2645</v>
      </c>
      <c r="H2364" s="14">
        <v>7399339499.0359774</v>
      </c>
      <c r="I2364" s="14" t="e">
        <f>=Round(166757.99440000,0)</f>
        <v>#VALUE!</v>
      </c>
      <c r="J2364" s="14" t="e">
        <f>=Round(0.00000000,0)</f>
        <v>#VALUE!</v>
      </c>
    </row>
    <row r="2365">
      <c r="A2365" s="11" t="s">
        <v>42</v>
      </c>
      <c r="B2365" s="12">
        <v>3593.5674</v>
      </c>
      <c r="C2365" s="12">
        <v>0</v>
      </c>
      <c r="D2365" s="13">
        <v>0</v>
      </c>
      <c r="E2365" s="12">
        <v>0</v>
      </c>
      <c r="F2365" s="14">
        <v>0</v>
      </c>
      <c r="G2365" s="13">
        <v>2059051.2645</v>
      </c>
      <c r="H2365" s="14">
        <v>7399339499.0359774</v>
      </c>
      <c r="I2365" s="14" t="e">
        <f>=Round(166788.39030000,0)</f>
        <v>#VALUE!</v>
      </c>
      <c r="J2365" s="14" t="e">
        <f>=Round(0.00000000,0)</f>
        <v>#VALUE!</v>
      </c>
    </row>
    <row r="2366">
      <c r="A2366" s="11" t="s">
        <v>43</v>
      </c>
      <c r="B2366" s="12">
        <v>3593.5674</v>
      </c>
      <c r="C2366" s="12">
        <v>0</v>
      </c>
      <c r="D2366" s="13">
        <v>0</v>
      </c>
      <c r="E2366" s="12">
        <v>0</v>
      </c>
      <c r="F2366" s="14">
        <v>0</v>
      </c>
      <c r="G2366" s="13">
        <v>2059051.2645</v>
      </c>
      <c r="H2366" s="14">
        <v>7399339499.0359774</v>
      </c>
      <c r="I2366" s="14" t="e">
        <f>=Round(166788.39030000,0)</f>
        <v>#VALUE!</v>
      </c>
      <c r="J2366" s="14" t="e">
        <f>=Round(0.00000000,0)</f>
        <v>#VALUE!</v>
      </c>
    </row>
    <row r="2367">
      <c r="A2367" s="11" t="s">
        <v>44</v>
      </c>
      <c r="B2367" s="12">
        <v>3595.5366</v>
      </c>
      <c r="C2367" s="12">
        <v>0</v>
      </c>
      <c r="D2367" s="13">
        <v>0</v>
      </c>
      <c r="E2367" s="12">
        <v>0</v>
      </c>
      <c r="F2367" s="14">
        <v>0</v>
      </c>
      <c r="G2367" s="13">
        <v>2059051.2645</v>
      </c>
      <c r="H2367" s="14">
        <v>7403394182.7860308</v>
      </c>
      <c r="I2367" s="14" t="e">
        <f>=Round(166788.39030000,0)</f>
        <v>#VALUE!</v>
      </c>
      <c r="J2367" s="14" t="e">
        <f>=Round(0.00000000,0)</f>
        <v>#VALUE!</v>
      </c>
    </row>
    <row r="2368">
      <c r="A2368" s="11" t="s">
        <v>45</v>
      </c>
      <c r="B2368" s="12">
        <v>3596.1915</v>
      </c>
      <c r="C2368" s="12">
        <v>0</v>
      </c>
      <c r="D2368" s="13">
        <v>0</v>
      </c>
      <c r="E2368" s="12">
        <v>0</v>
      </c>
      <c r="F2368" s="14">
        <v>0</v>
      </c>
      <c r="G2368" s="13">
        <v>2059051.2645</v>
      </c>
      <c r="H2368" s="14">
        <v>7404742655.4591522</v>
      </c>
      <c r="I2368" s="14" t="e">
        <f>=Round(166879.78690000,0)</f>
        <v>#VALUE!</v>
      </c>
      <c r="J2368" s="14" t="e">
        <f>=Round(0.00000000,0)</f>
        <v>#VALUE!</v>
      </c>
    </row>
    <row r="2369">
      <c r="A2369" s="11" t="s">
        <v>46</v>
      </c>
      <c r="B2369" s="12">
        <v>3596.8461</v>
      </c>
      <c r="C2369" s="12">
        <v>0</v>
      </c>
      <c r="D2369" s="13">
        <v>0</v>
      </c>
      <c r="E2369" s="12">
        <v>0</v>
      </c>
      <c r="F2369" s="14">
        <v>0</v>
      </c>
      <c r="G2369" s="13">
        <v>2059051.2645</v>
      </c>
      <c r="H2369" s="14">
        <v>7406090510.416893</v>
      </c>
      <c r="I2369" s="14" t="e">
        <f>=Round(166910.18280000,0)</f>
        <v>#VALUE!</v>
      </c>
      <c r="J2369" s="14" t="e">
        <f>=Round(0.00000000,0)</f>
        <v>#VALUE!</v>
      </c>
    </row>
    <row r="2370">
      <c r="A2370" s="11" t="s">
        <v>47</v>
      </c>
      <c r="B2370" s="12">
        <v>3597.4992</v>
      </c>
      <c r="C2370" s="12">
        <v>0</v>
      </c>
      <c r="D2370" s="13">
        <v>0</v>
      </c>
      <c r="E2370" s="12">
        <v>0</v>
      </c>
      <c r="F2370" s="14">
        <v>0</v>
      </c>
      <c r="G2370" s="13">
        <v>2059051.2645</v>
      </c>
      <c r="H2370" s="14">
        <v>7407435276.7977381</v>
      </c>
      <c r="I2370" s="14" t="e">
        <f>=Round(166940.56480000,0)</f>
        <v>#VALUE!</v>
      </c>
      <c r="J2370" s="14" t="e">
        <f>=Round(0.00000000,0)</f>
        <v>#VALUE!</v>
      </c>
    </row>
    <row r="2371">
      <c r="A2371" s="11" t="s">
        <v>48</v>
      </c>
      <c r="B2371" s="12">
        <v>3598.1558</v>
      </c>
      <c r="C2371" s="12">
        <v>0</v>
      </c>
      <c r="D2371" s="13">
        <v>0</v>
      </c>
      <c r="E2371" s="12">
        <v>0</v>
      </c>
      <c r="F2371" s="14">
        <v>0</v>
      </c>
      <c r="G2371" s="13">
        <v>2059051.2645</v>
      </c>
      <c r="H2371" s="14">
        <v>7408787249.8580093</v>
      </c>
      <c r="I2371" s="14" t="e">
        <f>=Round(166970.87710000,0)</f>
        <v>#VALUE!</v>
      </c>
      <c r="J2371" s="14" t="e">
        <f>=Round(0.00000000,0)</f>
        <v>#VALUE!</v>
      </c>
    </row>
    <row r="2372">
      <c r="A2372" s="11" t="s">
        <v>49</v>
      </c>
      <c r="B2372" s="12">
        <v>3598.1558</v>
      </c>
      <c r="C2372" s="12">
        <v>0</v>
      </c>
      <c r="D2372" s="13">
        <v>0</v>
      </c>
      <c r="E2372" s="12">
        <v>0</v>
      </c>
      <c r="F2372" s="14">
        <v>0</v>
      </c>
      <c r="G2372" s="13">
        <v>2059051.2645</v>
      </c>
      <c r="H2372" s="14">
        <v>7408787249.8580093</v>
      </c>
      <c r="I2372" s="14" t="e">
        <f>=Round(167001.35190000,0)</f>
        <v>#VALUE!</v>
      </c>
      <c r="J2372" s="14" t="e">
        <f>=Round(0.00000000,0)</f>
        <v>#VALUE!</v>
      </c>
    </row>
    <row r="2373">
      <c r="A2373" s="11" t="s">
        <v>50</v>
      </c>
      <c r="B2373" s="12">
        <v>3598.1558</v>
      </c>
      <c r="C2373" s="12">
        <v>0</v>
      </c>
      <c r="D2373" s="13">
        <v>0</v>
      </c>
      <c r="E2373" s="12">
        <v>0</v>
      </c>
      <c r="F2373" s="14">
        <v>0</v>
      </c>
      <c r="G2373" s="13">
        <v>2059051.2645</v>
      </c>
      <c r="H2373" s="14">
        <v>7408787249.8580093</v>
      </c>
      <c r="I2373" s="14" t="e">
        <f>=Round(167001.35190000,0)</f>
        <v>#VALUE!</v>
      </c>
      <c r="J2373" s="14" t="e">
        <f>=Round(0.00000000,0)</f>
        <v>#VALUE!</v>
      </c>
    </row>
    <row r="2374">
      <c r="A2374" s="11" t="s">
        <v>51</v>
      </c>
      <c r="B2374" s="12">
        <v>3600.124</v>
      </c>
      <c r="C2374" s="12">
        <v>0</v>
      </c>
      <c r="D2374" s="13">
        <v>0</v>
      </c>
      <c r="E2374" s="12">
        <v>0</v>
      </c>
      <c r="F2374" s="14">
        <v>0</v>
      </c>
      <c r="G2374" s="13">
        <v>2059051.2645</v>
      </c>
      <c r="H2374" s="14">
        <v>7412839874.556798</v>
      </c>
      <c r="I2374" s="14" t="e">
        <f>=Round(167001.35190000,0)</f>
        <v>#VALUE!</v>
      </c>
      <c r="J2374" s="14" t="e">
        <f>=Round(0.00000000,0)</f>
        <v>#VALUE!</v>
      </c>
    </row>
    <row r="2375">
      <c r="A2375" s="11" t="s">
        <v>52</v>
      </c>
      <c r="B2375" s="12">
        <v>3600.7905</v>
      </c>
      <c r="C2375" s="12">
        <v>0</v>
      </c>
      <c r="D2375" s="13">
        <v>0</v>
      </c>
      <c r="E2375" s="12">
        <v>0</v>
      </c>
      <c r="F2375" s="14">
        <v>0</v>
      </c>
      <c r="G2375" s="13">
        <v>2059051.2645</v>
      </c>
      <c r="H2375" s="14">
        <v>7414212232.2245874</v>
      </c>
      <c r="I2375" s="14" t="e">
        <f>=Round(167092.70210000,0)</f>
        <v>#VALUE!</v>
      </c>
      <c r="J2375" s="14" t="e">
        <f>=Round(0.00000000,0)</f>
        <v>#VALUE!</v>
      </c>
    </row>
    <row r="2376">
      <c r="A2376" s="11" t="s">
        <v>53</v>
      </c>
      <c r="B2376" s="12">
        <v>3601.445</v>
      </c>
      <c r="C2376" s="12">
        <v>0</v>
      </c>
      <c r="D2376" s="13">
        <v>0</v>
      </c>
      <c r="E2376" s="12">
        <v>0</v>
      </c>
      <c r="F2376" s="14">
        <v>0</v>
      </c>
      <c r="G2376" s="13">
        <v>2059051.2645</v>
      </c>
      <c r="H2376" s="14">
        <v>7415559881.2772026</v>
      </c>
      <c r="I2376" s="14" t="e">
        <f>=Round(167123.63640000,0)</f>
        <v>#VALUE!</v>
      </c>
      <c r="J2376" s="14" t="e">
        <f>=Round(0.00000000,0)</f>
        <v>#VALUE!</v>
      </c>
    </row>
    <row r="2377">
      <c r="A2377" s="11" t="s">
        <v>54</v>
      </c>
      <c r="B2377" s="12">
        <v>3602.0851</v>
      </c>
      <c r="C2377" s="12">
        <v>0</v>
      </c>
      <c r="D2377" s="13">
        <v>0</v>
      </c>
      <c r="E2377" s="12">
        <v>0</v>
      </c>
      <c r="F2377" s="14">
        <v>0</v>
      </c>
      <c r="G2377" s="13">
        <v>2059051.2645</v>
      </c>
      <c r="H2377" s="14">
        <v>7416877879.9916086</v>
      </c>
      <c r="I2377" s="14" t="e">
        <f>=Round(167154.01370000,0)</f>
        <v>#VALUE!</v>
      </c>
      <c r="J2377" s="14" t="e">
        <f>=Round(0.00000000,0)</f>
        <v>#VALUE!</v>
      </c>
    </row>
    <row r="2378">
      <c r="A2378" s="11" t="s">
        <v>55</v>
      </c>
      <c r="B2378" s="12">
        <v>3602.7417</v>
      </c>
      <c r="C2378" s="12">
        <v>0</v>
      </c>
      <c r="D2378" s="13">
        <v>0</v>
      </c>
      <c r="E2378" s="12">
        <v>0</v>
      </c>
      <c r="F2378" s="14">
        <v>0</v>
      </c>
      <c r="G2378" s="13">
        <v>2059051.2645</v>
      </c>
      <c r="H2378" s="14">
        <v>7418229853.05188</v>
      </c>
      <c r="I2378" s="14" t="e">
        <f>=Round(167183.72270000,0)</f>
        <v>#VALUE!</v>
      </c>
      <c r="J2378" s="14" t="e">
        <f>=Round(0.00000000,0)</f>
        <v>#VALUE!</v>
      </c>
    </row>
    <row r="2379" ht="-1">
      <c r="A2379" s="15"/>
      <c r="B2379" s="16" t="s">
        <v>56</v>
      </c>
      <c r="C2379" s="15"/>
      <c r="D2379" s="15"/>
      <c r="E2379" s="15"/>
      <c r="F2379" s="15"/>
      <c r="G2379" s="15"/>
      <c r="H2379" s="15"/>
      <c r="I2379" s="17" t="e">
        <f>=Round(SUM(I2353:I2378),0)</f>
        <v>#VALUE!</v>
      </c>
      <c r="J2379" s="17" t="e">
        <f>=Round(SUM(J2353:J2378),0)</f>
        <v>#VALUE!</v>
      </c>
    </row>
    <row r="2380">
      <c r="A2380" s="1" t="s">
        <v>0</v>
      </c>
      <c r="B2380" s="1"/>
      <c r="C2380" s="1"/>
      <c r="D2380" s="1"/>
    </row>
    <row r="2381">
      <c r="A2381" s="0" t="s">
        <v>1</v>
      </c>
      <c r="C2381" s="0" t="s">
        <v>2</v>
      </c>
      <c r="H2381" s="2" t="s">
        <v>3</v>
      </c>
    </row>
    <row r="2382">
      <c r="A2382" s="0" t="s">
        <v>4</v>
      </c>
      <c r="C2382" s="0" t="s">
        <v>117</v>
      </c>
      <c r="H2382" s="3" t="s">
        <v>6</v>
      </c>
    </row>
    <row r="2383">
      <c r="A2383" s="0" t="s">
        <v>7</v>
      </c>
      <c r="C2383" s="4" t="s">
        <v>8</v>
      </c>
      <c r="H2383" s="2" t="s">
        <v>9</v>
      </c>
    </row>
    <row r="2384">
      <c r="A2384" s="0" t="s">
        <v>10</v>
      </c>
      <c r="C2384" s="4" t="s">
        <v>11</v>
      </c>
      <c r="H2384" s="2" t="s">
        <v>12</v>
      </c>
    </row>
    <row r="2385">
      <c r="A2385" s="0" t="s">
        <v>13</v>
      </c>
      <c r="C2385" s="0" t="s">
        <v>14</v>
      </c>
    </row>
    <row r="2386">
      <c r="A2386" s="0" t="s">
        <v>15</v>
      </c>
      <c r="C2386" s="0" t="s">
        <v>16</v>
      </c>
    </row>
    <row r="2387">
      <c r="A2387" s="0" t="s">
        <v>17</v>
      </c>
      <c r="C2387" s="0" t="s">
        <v>18</v>
      </c>
    </row>
    <row r="2390">
      <c r="A2390" s="5" t="s">
        <v>19</v>
      </c>
      <c r="B2390" s="5" t="s">
        <v>20</v>
      </c>
      <c r="C2390" s="7" t="s">
        <v>21</v>
      </c>
      <c r="D2390" s="9"/>
      <c r="E2390" s="7" t="s">
        <v>22</v>
      </c>
      <c r="F2390" s="9"/>
      <c r="G2390" s="5" t="s">
        <v>23</v>
      </c>
      <c r="H2390" s="5" t="s">
        <v>24</v>
      </c>
      <c r="I2390" s="5" t="s">
        <v>25</v>
      </c>
      <c r="J2390" s="5" t="s">
        <v>26</v>
      </c>
    </row>
    <row r="2391">
      <c r="A2391" s="6"/>
      <c r="B2391" s="6"/>
      <c r="C2391" s="8" t="s">
        <v>27</v>
      </c>
      <c r="D2391" s="8" t="s">
        <v>28</v>
      </c>
      <c r="E2391" s="8" t="s">
        <v>27</v>
      </c>
      <c r="F2391" s="8" t="s">
        <v>28</v>
      </c>
      <c r="G2391" s="6"/>
      <c r="H2391" s="6"/>
      <c r="I2391" s="10" t="s">
        <v>29</v>
      </c>
      <c r="J2391" s="6"/>
    </row>
    <row r="2392">
      <c r="A2392" s="11" t="s">
        <v>30</v>
      </c>
      <c r="B2392" s="12">
        <v>3586.4187</v>
      </c>
      <c r="C2392" s="12">
        <v>0</v>
      </c>
      <c r="D2392" s="13">
        <v>0</v>
      </c>
      <c r="E2392" s="12">
        <v>0</v>
      </c>
      <c r="F2392" s="14">
        <v>0</v>
      </c>
      <c r="G2392" s="13">
        <v>1856240.6923</v>
      </c>
      <c r="H2392" s="14">
        <v>6657256330.5656662</v>
      </c>
      <c r="I2392" s="14" t="e">
        <f>=Round(149978.58600000,0)</f>
        <v>#VALUE!</v>
      </c>
      <c r="J2392" s="14" t="e">
        <f>=Round(0.00000000,0)</f>
        <v>#VALUE!</v>
      </c>
    </row>
    <row r="2393">
      <c r="A2393" s="11" t="s">
        <v>31</v>
      </c>
      <c r="B2393" s="12">
        <v>3587.0477</v>
      </c>
      <c r="C2393" s="12">
        <v>0</v>
      </c>
      <c r="D2393" s="13">
        <v>0</v>
      </c>
      <c r="E2393" s="12">
        <v>0</v>
      </c>
      <c r="F2393" s="14">
        <v>0</v>
      </c>
      <c r="G2393" s="13">
        <v>1856240.6923</v>
      </c>
      <c r="H2393" s="14">
        <v>6658423905.9611235</v>
      </c>
      <c r="I2393" s="14" t="e">
        <f>=Round(150061.10580000,0)</f>
        <v>#VALUE!</v>
      </c>
      <c r="J2393" s="14" t="e">
        <f>=Round(0.00000000,0)</f>
        <v>#VALUE!</v>
      </c>
    </row>
    <row r="2394">
      <c r="A2394" s="11" t="s">
        <v>32</v>
      </c>
      <c r="B2394" s="12">
        <v>3587.6685</v>
      </c>
      <c r="C2394" s="12">
        <v>0</v>
      </c>
      <c r="D2394" s="13">
        <v>0</v>
      </c>
      <c r="E2394" s="12">
        <v>0</v>
      </c>
      <c r="F2394" s="14">
        <v>0</v>
      </c>
      <c r="G2394" s="13">
        <v>1856240.6923</v>
      </c>
      <c r="H2394" s="14">
        <v>6659576260.1829033</v>
      </c>
      <c r="I2394" s="14" t="e">
        <f>=Round(150087.42410000,0)</f>
        <v>#VALUE!</v>
      </c>
      <c r="J2394" s="14" t="e">
        <f>=Round(0.00000000,0)</f>
        <v>#VALUE!</v>
      </c>
    </row>
    <row r="2395">
      <c r="A2395" s="11" t="s">
        <v>33</v>
      </c>
      <c r="B2395" s="12">
        <v>3588.3573</v>
      </c>
      <c r="C2395" s="12">
        <v>0</v>
      </c>
      <c r="D2395" s="13">
        <v>0</v>
      </c>
      <c r="E2395" s="12">
        <v>0</v>
      </c>
      <c r="F2395" s="14">
        <v>0</v>
      </c>
      <c r="G2395" s="13">
        <v>1856240.6923</v>
      </c>
      <c r="H2395" s="14">
        <v>6660854838.771759</v>
      </c>
      <c r="I2395" s="14" t="e">
        <f>=Round(150113.39930000,0)</f>
        <v>#VALUE!</v>
      </c>
      <c r="J2395" s="14" t="e">
        <f>=Round(0.00000000,0)</f>
        <v>#VALUE!</v>
      </c>
    </row>
    <row r="2396">
      <c r="A2396" s="11" t="s">
        <v>34</v>
      </c>
      <c r="B2396" s="12">
        <v>3589.0109</v>
      </c>
      <c r="C2396" s="12">
        <v>0</v>
      </c>
      <c r="D2396" s="13">
        <v>0</v>
      </c>
      <c r="E2396" s="12">
        <v>0</v>
      </c>
      <c r="F2396" s="14">
        <v>0</v>
      </c>
      <c r="G2396" s="13">
        <v>1856240.6923</v>
      </c>
      <c r="H2396" s="14">
        <v>6662068077.6882458</v>
      </c>
      <c r="I2396" s="14" t="e">
        <f>=Round(150142.21970000,0)</f>
        <v>#VALUE!</v>
      </c>
      <c r="J2396" s="14" t="e">
        <f>=Round(0.00000000,0)</f>
        <v>#VALUE!</v>
      </c>
    </row>
    <row r="2397">
      <c r="A2397" s="11" t="s">
        <v>35</v>
      </c>
      <c r="B2397" s="12">
        <v>3589.0109</v>
      </c>
      <c r="C2397" s="12">
        <v>0</v>
      </c>
      <c r="D2397" s="13">
        <v>0</v>
      </c>
      <c r="E2397" s="12">
        <v>0</v>
      </c>
      <c r="F2397" s="14">
        <v>0</v>
      </c>
      <c r="G2397" s="13">
        <v>1856240.6923</v>
      </c>
      <c r="H2397" s="14">
        <v>6662068077.6882458</v>
      </c>
      <c r="I2397" s="14" t="e">
        <f>=Round(150169.56730000,0)</f>
        <v>#VALUE!</v>
      </c>
      <c r="J2397" s="14" t="e">
        <f>=Round(0.00000000,0)</f>
        <v>#VALUE!</v>
      </c>
    </row>
    <row r="2398">
      <c r="A2398" s="11" t="s">
        <v>36</v>
      </c>
      <c r="B2398" s="12">
        <v>3589.0109</v>
      </c>
      <c r="C2398" s="12">
        <v>0</v>
      </c>
      <c r="D2398" s="13">
        <v>0</v>
      </c>
      <c r="E2398" s="12">
        <v>0</v>
      </c>
      <c r="F2398" s="14">
        <v>0</v>
      </c>
      <c r="G2398" s="13">
        <v>1856240.6923</v>
      </c>
      <c r="H2398" s="14">
        <v>6662068077.6882458</v>
      </c>
      <c r="I2398" s="14" t="e">
        <f>=Round(150169.56730000,0)</f>
        <v>#VALUE!</v>
      </c>
      <c r="J2398" s="14" t="e">
        <f>=Round(0.00000000,0)</f>
        <v>#VALUE!</v>
      </c>
    </row>
    <row r="2399">
      <c r="A2399" s="11" t="s">
        <v>37</v>
      </c>
      <c r="B2399" s="12">
        <v>3590.972</v>
      </c>
      <c r="C2399" s="12">
        <v>0</v>
      </c>
      <c r="D2399" s="13">
        <v>0</v>
      </c>
      <c r="E2399" s="12">
        <v>0</v>
      </c>
      <c r="F2399" s="14">
        <v>0</v>
      </c>
      <c r="G2399" s="13">
        <v>1856240.6923</v>
      </c>
      <c r="H2399" s="14">
        <v>6665708351.3099155</v>
      </c>
      <c r="I2399" s="14" t="e">
        <f>=Round(150169.56730000,0)</f>
        <v>#VALUE!</v>
      </c>
      <c r="J2399" s="14" t="e">
        <f>=Round(0.00000000,0)</f>
        <v>#VALUE!</v>
      </c>
    </row>
    <row r="2400">
      <c r="A2400" s="11" t="s">
        <v>38</v>
      </c>
      <c r="B2400" s="12">
        <v>3591.6235</v>
      </c>
      <c r="C2400" s="12">
        <v>0</v>
      </c>
      <c r="D2400" s="13">
        <v>0</v>
      </c>
      <c r="E2400" s="12">
        <v>0</v>
      </c>
      <c r="F2400" s="14">
        <v>0</v>
      </c>
      <c r="G2400" s="13">
        <v>1856240.6923</v>
      </c>
      <c r="H2400" s="14">
        <v>6666917692.1209488</v>
      </c>
      <c r="I2400" s="14" t="e">
        <f>=Round(150251.62270000,0)</f>
        <v>#VALUE!</v>
      </c>
      <c r="J2400" s="14" t="e">
        <f>=Round(0.00000000,0)</f>
        <v>#VALUE!</v>
      </c>
    </row>
    <row r="2401">
      <c r="A2401" s="11" t="s">
        <v>39</v>
      </c>
      <c r="B2401" s="12">
        <v>3592.281</v>
      </c>
      <c r="C2401" s="12">
        <v>0</v>
      </c>
      <c r="D2401" s="13">
        <v>0</v>
      </c>
      <c r="E2401" s="12">
        <v>0</v>
      </c>
      <c r="F2401" s="14">
        <v>0</v>
      </c>
      <c r="G2401" s="13">
        <v>1856240.6923</v>
      </c>
      <c r="H2401" s="14">
        <v>6668138170.3761358</v>
      </c>
      <c r="I2401" s="14" t="e">
        <f>=Round(150278.88240000,0)</f>
        <v>#VALUE!</v>
      </c>
      <c r="J2401" s="14" t="e">
        <f>=Round(0.00000000,0)</f>
        <v>#VALUE!</v>
      </c>
    </row>
    <row r="2402">
      <c r="A2402" s="11" t="s">
        <v>40</v>
      </c>
      <c r="B2402" s="12">
        <v>3592.9125</v>
      </c>
      <c r="C2402" s="12">
        <v>0</v>
      </c>
      <c r="D2402" s="13">
        <v>0</v>
      </c>
      <c r="E2402" s="12">
        <v>0</v>
      </c>
      <c r="F2402" s="14">
        <v>0</v>
      </c>
      <c r="G2402" s="13">
        <v>1856240.6923</v>
      </c>
      <c r="H2402" s="14">
        <v>6669310386.3733244</v>
      </c>
      <c r="I2402" s="14" t="e">
        <f>=Round(150306.39320000,0)</f>
        <v>#VALUE!</v>
      </c>
      <c r="J2402" s="14" t="e">
        <f>=Round(0.00000000,0)</f>
        <v>#VALUE!</v>
      </c>
    </row>
    <row r="2403">
      <c r="A2403" s="11" t="s">
        <v>41</v>
      </c>
      <c r="B2403" s="12">
        <v>3593.5674</v>
      </c>
      <c r="C2403" s="12">
        <v>0</v>
      </c>
      <c r="D2403" s="13">
        <v>0</v>
      </c>
      <c r="E2403" s="12">
        <v>0</v>
      </c>
      <c r="F2403" s="14">
        <v>0</v>
      </c>
      <c r="G2403" s="13">
        <v>1856240.6923</v>
      </c>
      <c r="H2403" s="14">
        <v>6670526038.4027109</v>
      </c>
      <c r="I2403" s="14" t="e">
        <f>=Round(150332.81610000,0)</f>
        <v>#VALUE!</v>
      </c>
      <c r="J2403" s="14" t="e">
        <f>=Round(0.00000000,0)</f>
        <v>#VALUE!</v>
      </c>
    </row>
    <row r="2404">
      <c r="A2404" s="11" t="s">
        <v>42</v>
      </c>
      <c r="B2404" s="12">
        <v>3593.5674</v>
      </c>
      <c r="C2404" s="12">
        <v>0</v>
      </c>
      <c r="D2404" s="13">
        <v>0</v>
      </c>
      <c r="E2404" s="12">
        <v>0</v>
      </c>
      <c r="F2404" s="14">
        <v>0</v>
      </c>
      <c r="G2404" s="13">
        <v>1856240.6923</v>
      </c>
      <c r="H2404" s="14">
        <v>6670526038.4027109</v>
      </c>
      <c r="I2404" s="14" t="e">
        <f>=Round(150360.21810000,0)</f>
        <v>#VALUE!</v>
      </c>
      <c r="J2404" s="14" t="e">
        <f>=Round(0.00000000,0)</f>
        <v>#VALUE!</v>
      </c>
    </row>
    <row r="2405">
      <c r="A2405" s="11" t="s">
        <v>43</v>
      </c>
      <c r="B2405" s="12">
        <v>3593.5674</v>
      </c>
      <c r="C2405" s="12">
        <v>0</v>
      </c>
      <c r="D2405" s="13">
        <v>0</v>
      </c>
      <c r="E2405" s="12">
        <v>0</v>
      </c>
      <c r="F2405" s="14">
        <v>0</v>
      </c>
      <c r="G2405" s="13">
        <v>1856240.6923</v>
      </c>
      <c r="H2405" s="14">
        <v>6670526038.4027109</v>
      </c>
      <c r="I2405" s="14" t="e">
        <f>=Round(150360.21810000,0)</f>
        <v>#VALUE!</v>
      </c>
      <c r="J2405" s="14" t="e">
        <f>=Round(0.00000000,0)</f>
        <v>#VALUE!</v>
      </c>
    </row>
    <row r="2406">
      <c r="A2406" s="11" t="s">
        <v>44</v>
      </c>
      <c r="B2406" s="12">
        <v>3595.5366</v>
      </c>
      <c r="C2406" s="12">
        <v>0</v>
      </c>
      <c r="D2406" s="13">
        <v>0</v>
      </c>
      <c r="E2406" s="12">
        <v>0</v>
      </c>
      <c r="F2406" s="14">
        <v>0</v>
      </c>
      <c r="G2406" s="13">
        <v>1856240.6923</v>
      </c>
      <c r="H2406" s="14">
        <v>6674181347.573988</v>
      </c>
      <c r="I2406" s="14" t="e">
        <f>=Round(150360.21810000,0)</f>
        <v>#VALUE!</v>
      </c>
      <c r="J2406" s="14" t="e">
        <f>=Round(0.00000000,0)</f>
        <v>#VALUE!</v>
      </c>
    </row>
    <row r="2407">
      <c r="A2407" s="11" t="s">
        <v>45</v>
      </c>
      <c r="B2407" s="12">
        <v>3596.1915</v>
      </c>
      <c r="C2407" s="12">
        <v>0</v>
      </c>
      <c r="D2407" s="13">
        <v>0</v>
      </c>
      <c r="E2407" s="12">
        <v>0</v>
      </c>
      <c r="F2407" s="14">
        <v>0</v>
      </c>
      <c r="G2407" s="13">
        <v>1856240.6923</v>
      </c>
      <c r="H2407" s="14">
        <v>6675396999.6033754</v>
      </c>
      <c r="I2407" s="14" t="e">
        <f>=Round(150442.61230000,0)</f>
        <v>#VALUE!</v>
      </c>
      <c r="J2407" s="14" t="e">
        <f>=Round(0.00000000,0)</f>
        <v>#VALUE!</v>
      </c>
    </row>
    <row r="2408">
      <c r="A2408" s="11" t="s">
        <v>46</v>
      </c>
      <c r="B2408" s="12">
        <v>3596.8461</v>
      </c>
      <c r="C2408" s="12">
        <v>0</v>
      </c>
      <c r="D2408" s="13">
        <v>0</v>
      </c>
      <c r="E2408" s="12">
        <v>0</v>
      </c>
      <c r="F2408" s="14">
        <v>0</v>
      </c>
      <c r="G2408" s="13">
        <v>1856240.6923</v>
      </c>
      <c r="H2408" s="14">
        <v>6676612094.7605553</v>
      </c>
      <c r="I2408" s="14" t="e">
        <f>=Round(150470.01430000,0)</f>
        <v>#VALUE!</v>
      </c>
      <c r="J2408" s="14" t="e">
        <f>=Round(0.00000000,0)</f>
        <v>#VALUE!</v>
      </c>
    </row>
    <row r="2409">
      <c r="A2409" s="11" t="s">
        <v>47</v>
      </c>
      <c r="B2409" s="12">
        <v>3597.4992</v>
      </c>
      <c r="C2409" s="12">
        <v>0</v>
      </c>
      <c r="D2409" s="13">
        <v>0</v>
      </c>
      <c r="E2409" s="12">
        <v>0</v>
      </c>
      <c r="F2409" s="14">
        <v>0</v>
      </c>
      <c r="G2409" s="13">
        <v>1856240.6923</v>
      </c>
      <c r="H2409" s="14">
        <v>6677824405.5566959</v>
      </c>
      <c r="I2409" s="14" t="e">
        <f>=Round(150497.40380000,0)</f>
        <v>#VALUE!</v>
      </c>
      <c r="J2409" s="14" t="e">
        <f>=Round(0.00000000,0)</f>
        <v>#VALUE!</v>
      </c>
    </row>
    <row r="2410">
      <c r="A2410" s="11" t="s">
        <v>48</v>
      </c>
      <c r="B2410" s="12">
        <v>3598.1558</v>
      </c>
      <c r="C2410" s="12">
        <v>0</v>
      </c>
      <c r="D2410" s="13">
        <v>0</v>
      </c>
      <c r="E2410" s="12">
        <v>0</v>
      </c>
      <c r="F2410" s="14">
        <v>0</v>
      </c>
      <c r="G2410" s="13">
        <v>1856240.6923</v>
      </c>
      <c r="H2410" s="14">
        <v>6679043213.19526</v>
      </c>
      <c r="I2410" s="14" t="e">
        <f>=Round(150524.73050000,0)</f>
        <v>#VALUE!</v>
      </c>
      <c r="J2410" s="14" t="e">
        <f>=Round(0.00000000,0)</f>
        <v>#VALUE!</v>
      </c>
    </row>
    <row r="2411">
      <c r="A2411" s="11" t="s">
        <v>49</v>
      </c>
      <c r="B2411" s="12">
        <v>3598.1558</v>
      </c>
      <c r="C2411" s="12">
        <v>0</v>
      </c>
      <c r="D2411" s="13">
        <v>0</v>
      </c>
      <c r="E2411" s="12">
        <v>0</v>
      </c>
      <c r="F2411" s="14">
        <v>0</v>
      </c>
      <c r="G2411" s="13">
        <v>1856240.6923</v>
      </c>
      <c r="H2411" s="14">
        <v>6679043213.19526</v>
      </c>
      <c r="I2411" s="14" t="e">
        <f>=Round(150552.20360000,0)</f>
        <v>#VALUE!</v>
      </c>
      <c r="J2411" s="14" t="e">
        <f>=Round(0.00000000,0)</f>
        <v>#VALUE!</v>
      </c>
    </row>
    <row r="2412">
      <c r="A2412" s="11" t="s">
        <v>50</v>
      </c>
      <c r="B2412" s="12">
        <v>3598.1558</v>
      </c>
      <c r="C2412" s="12">
        <v>0</v>
      </c>
      <c r="D2412" s="13">
        <v>0</v>
      </c>
      <c r="E2412" s="12">
        <v>0</v>
      </c>
      <c r="F2412" s="14">
        <v>0</v>
      </c>
      <c r="G2412" s="13">
        <v>1856240.6923</v>
      </c>
      <c r="H2412" s="14">
        <v>6679043213.19526</v>
      </c>
      <c r="I2412" s="14" t="e">
        <f>=Round(150552.20360000,0)</f>
        <v>#VALUE!</v>
      </c>
      <c r="J2412" s="14" t="e">
        <f>=Round(0.00000000,0)</f>
        <v>#VALUE!</v>
      </c>
    </row>
    <row r="2413">
      <c r="A2413" s="11" t="s">
        <v>51</v>
      </c>
      <c r="B2413" s="12">
        <v>3600.124</v>
      </c>
      <c r="C2413" s="12">
        <v>0</v>
      </c>
      <c r="D2413" s="13">
        <v>0</v>
      </c>
      <c r="E2413" s="12">
        <v>0</v>
      </c>
      <c r="F2413" s="14">
        <v>0</v>
      </c>
      <c r="G2413" s="13">
        <v>1856240.6923</v>
      </c>
      <c r="H2413" s="14">
        <v>6682696666.125845</v>
      </c>
      <c r="I2413" s="14" t="e">
        <f>=Round(150552.20360000,0)</f>
        <v>#VALUE!</v>
      </c>
      <c r="J2413" s="14" t="e">
        <f>=Round(0.00000000,0)</f>
        <v>#VALUE!</v>
      </c>
    </row>
    <row r="2414">
      <c r="A2414" s="11" t="s">
        <v>52</v>
      </c>
      <c r="B2414" s="12">
        <v>3600.7905</v>
      </c>
      <c r="C2414" s="12">
        <v>0</v>
      </c>
      <c r="D2414" s="13">
        <v>0</v>
      </c>
      <c r="E2414" s="12">
        <v>0</v>
      </c>
      <c r="F2414" s="14">
        <v>0</v>
      </c>
      <c r="G2414" s="13">
        <v>1856240.6923</v>
      </c>
      <c r="H2414" s="14">
        <v>6683933850.5472631</v>
      </c>
      <c r="I2414" s="14" t="e">
        <f>=Round(150634.55600000,0)</f>
        <v>#VALUE!</v>
      </c>
      <c r="J2414" s="14" t="e">
        <f>=Round(0.00000000,0)</f>
        <v>#VALUE!</v>
      </c>
    </row>
    <row r="2415">
      <c r="A2415" s="11" t="s">
        <v>53</v>
      </c>
      <c r="B2415" s="12">
        <v>3601.445</v>
      </c>
      <c r="C2415" s="12">
        <v>0</v>
      </c>
      <c r="D2415" s="13">
        <v>0</v>
      </c>
      <c r="E2415" s="12">
        <v>0</v>
      </c>
      <c r="F2415" s="14">
        <v>0</v>
      </c>
      <c r="G2415" s="13">
        <v>1856240.6923</v>
      </c>
      <c r="H2415" s="14">
        <v>6685148760.0803738</v>
      </c>
      <c r="I2415" s="14" t="e">
        <f>=Round(150662.44340000,0)</f>
        <v>#VALUE!</v>
      </c>
      <c r="J2415" s="14" t="e">
        <f>=Round(0.00000000,0)</f>
        <v>#VALUE!</v>
      </c>
    </row>
    <row r="2416">
      <c r="A2416" s="11" t="s">
        <v>54</v>
      </c>
      <c r="B2416" s="12">
        <v>3602.0851</v>
      </c>
      <c r="C2416" s="12">
        <v>0</v>
      </c>
      <c r="D2416" s="13">
        <v>0</v>
      </c>
      <c r="E2416" s="12">
        <v>0</v>
      </c>
      <c r="F2416" s="14">
        <v>0</v>
      </c>
      <c r="G2416" s="13">
        <v>1856240.6923</v>
      </c>
      <c r="H2416" s="14">
        <v>6686336939.7475147</v>
      </c>
      <c r="I2416" s="14" t="e">
        <f>=Round(150689.82860000,0)</f>
        <v>#VALUE!</v>
      </c>
      <c r="J2416" s="14" t="e">
        <f>=Round(0.00000000,0)</f>
        <v>#VALUE!</v>
      </c>
    </row>
    <row r="2417">
      <c r="A2417" s="11" t="s">
        <v>55</v>
      </c>
      <c r="B2417" s="12">
        <v>3602.7417</v>
      </c>
      <c r="C2417" s="12">
        <v>0</v>
      </c>
      <c r="D2417" s="13">
        <v>0</v>
      </c>
      <c r="E2417" s="12">
        <v>0</v>
      </c>
      <c r="F2417" s="14">
        <v>0</v>
      </c>
      <c r="G2417" s="13">
        <v>1856240.6923</v>
      </c>
      <c r="H2417" s="14">
        <v>6687555747.3860788</v>
      </c>
      <c r="I2417" s="14" t="e">
        <f>=Round(150716.61130000,0)</f>
        <v>#VALUE!</v>
      </c>
      <c r="J2417" s="14" t="e">
        <f>=Round(0.00000000,0)</f>
        <v>#VALUE!</v>
      </c>
    </row>
    <row r="2418" ht="-1">
      <c r="A2418" s="15"/>
      <c r="B2418" s="16" t="s">
        <v>56</v>
      </c>
      <c r="C2418" s="15"/>
      <c r="D2418" s="15"/>
      <c r="E2418" s="15"/>
      <c r="F2418" s="15"/>
      <c r="G2418" s="15"/>
      <c r="H2418" s="15"/>
      <c r="I2418" s="17" t="e">
        <f>=Round(SUM(I2392:I2417),0)</f>
        <v>#VALUE!</v>
      </c>
      <c r="J2418" s="17" t="e">
        <f>=Round(SUM(J2392:J2417),0)</f>
        <v>#VALUE!</v>
      </c>
    </row>
    <row r="2419">
      <c r="A2419" s="1" t="s">
        <v>0</v>
      </c>
      <c r="B2419" s="1"/>
      <c r="C2419" s="1"/>
      <c r="D2419" s="1"/>
    </row>
    <row r="2420">
      <c r="A2420" s="0" t="s">
        <v>1</v>
      </c>
      <c r="C2420" s="0" t="s">
        <v>2</v>
      </c>
      <c r="H2420" s="2" t="s">
        <v>3</v>
      </c>
    </row>
    <row r="2421">
      <c r="A2421" s="0" t="s">
        <v>4</v>
      </c>
      <c r="C2421" s="0" t="s">
        <v>118</v>
      </c>
      <c r="H2421" s="3" t="s">
        <v>6</v>
      </c>
    </row>
    <row r="2422">
      <c r="A2422" s="0" t="s">
        <v>7</v>
      </c>
      <c r="C2422" s="4" t="s">
        <v>8</v>
      </c>
      <c r="H2422" s="2" t="s">
        <v>9</v>
      </c>
    </row>
    <row r="2423">
      <c r="A2423" s="0" t="s">
        <v>10</v>
      </c>
      <c r="C2423" s="4" t="s">
        <v>11</v>
      </c>
      <c r="H2423" s="2" t="s">
        <v>12</v>
      </c>
    </row>
    <row r="2424">
      <c r="A2424" s="0" t="s">
        <v>13</v>
      </c>
      <c r="C2424" s="0" t="s">
        <v>14</v>
      </c>
    </row>
    <row r="2425">
      <c r="A2425" s="0" t="s">
        <v>15</v>
      </c>
      <c r="C2425" s="0" t="s">
        <v>16</v>
      </c>
    </row>
    <row r="2426">
      <c r="A2426" s="0" t="s">
        <v>17</v>
      </c>
      <c r="C2426" s="0" t="s">
        <v>18</v>
      </c>
    </row>
    <row r="2429">
      <c r="A2429" s="5" t="s">
        <v>19</v>
      </c>
      <c r="B2429" s="5" t="s">
        <v>20</v>
      </c>
      <c r="C2429" s="7" t="s">
        <v>21</v>
      </c>
      <c r="D2429" s="9"/>
      <c r="E2429" s="7" t="s">
        <v>22</v>
      </c>
      <c r="F2429" s="9"/>
      <c r="G2429" s="5" t="s">
        <v>23</v>
      </c>
      <c r="H2429" s="5" t="s">
        <v>24</v>
      </c>
      <c r="I2429" s="5" t="s">
        <v>25</v>
      </c>
      <c r="J2429" s="5" t="s">
        <v>26</v>
      </c>
    </row>
    <row r="2430">
      <c r="A2430" s="6"/>
      <c r="B2430" s="6"/>
      <c r="C2430" s="8" t="s">
        <v>27</v>
      </c>
      <c r="D2430" s="8" t="s">
        <v>28</v>
      </c>
      <c r="E2430" s="8" t="s">
        <v>27</v>
      </c>
      <c r="F2430" s="8" t="s">
        <v>28</v>
      </c>
      <c r="G2430" s="6"/>
      <c r="H2430" s="6"/>
      <c r="I2430" s="10" t="s">
        <v>29</v>
      </c>
      <c r="J2430" s="6"/>
    </row>
    <row r="2431">
      <c r="A2431" s="11" t="s">
        <v>30</v>
      </c>
      <c r="B2431" s="12">
        <v>3586.4187</v>
      </c>
      <c r="C2431" s="12">
        <v>0</v>
      </c>
      <c r="D2431" s="13">
        <v>0</v>
      </c>
      <c r="E2431" s="12">
        <v>0</v>
      </c>
      <c r="F2431" s="14">
        <v>0</v>
      </c>
      <c r="G2431" s="13">
        <v>812623.5727</v>
      </c>
      <c r="H2431" s="14">
        <v>2914408377.1920891</v>
      </c>
      <c r="I2431" s="14" t="e">
        <f>=Round(65657.50600000,0)</f>
        <v>#VALUE!</v>
      </c>
      <c r="J2431" s="14" t="e">
        <f>=Round(0.00000000,0)</f>
        <v>#VALUE!</v>
      </c>
    </row>
    <row r="2432">
      <c r="A2432" s="11" t="s">
        <v>31</v>
      </c>
      <c r="B2432" s="12">
        <v>3587.0477</v>
      </c>
      <c r="C2432" s="12">
        <v>0</v>
      </c>
      <c r="D2432" s="13">
        <v>0</v>
      </c>
      <c r="E2432" s="12">
        <v>0</v>
      </c>
      <c r="F2432" s="14">
        <v>0</v>
      </c>
      <c r="G2432" s="13">
        <v>812623.5727</v>
      </c>
      <c r="H2432" s="14">
        <v>2914919517.4193182</v>
      </c>
      <c r="I2432" s="14" t="e">
        <f>=Round(65693.63150000,0)</f>
        <v>#VALUE!</v>
      </c>
      <c r="J2432" s="14" t="e">
        <f>=Round(0.00000000,0)</f>
        <v>#VALUE!</v>
      </c>
    </row>
    <row r="2433">
      <c r="A2433" s="11" t="s">
        <v>32</v>
      </c>
      <c r="B2433" s="12">
        <v>3587.6685</v>
      </c>
      <c r="C2433" s="12">
        <v>0</v>
      </c>
      <c r="D2433" s="13">
        <v>0</v>
      </c>
      <c r="E2433" s="12">
        <v>0</v>
      </c>
      <c r="F2433" s="14">
        <v>0</v>
      </c>
      <c r="G2433" s="13">
        <v>812623.5727</v>
      </c>
      <c r="H2433" s="14">
        <v>2915423994.13325</v>
      </c>
      <c r="I2433" s="14" t="e">
        <f>=Round(65705.15310000,0)</f>
        <v>#VALUE!</v>
      </c>
      <c r="J2433" s="14" t="e">
        <f>=Round(0.00000000,0)</f>
        <v>#VALUE!</v>
      </c>
    </row>
    <row r="2434">
      <c r="A2434" s="11" t="s">
        <v>33</v>
      </c>
      <c r="B2434" s="12">
        <v>3588.3573</v>
      </c>
      <c r="C2434" s="12">
        <v>0</v>
      </c>
      <c r="D2434" s="13">
        <v>0</v>
      </c>
      <c r="E2434" s="12">
        <v>0</v>
      </c>
      <c r="F2434" s="14">
        <v>0</v>
      </c>
      <c r="G2434" s="13">
        <v>812623.5727</v>
      </c>
      <c r="H2434" s="14">
        <v>2915983729.2501259</v>
      </c>
      <c r="I2434" s="14" t="e">
        <f>=Round(65716.52450000,0)</f>
        <v>#VALUE!</v>
      </c>
      <c r="J2434" s="14" t="e">
        <f>=Round(0.00000000,0)</f>
        <v>#VALUE!</v>
      </c>
    </row>
    <row r="2435">
      <c r="A2435" s="11" t="s">
        <v>34</v>
      </c>
      <c r="B2435" s="12">
        <v>3589.0109</v>
      </c>
      <c r="C2435" s="12">
        <v>0</v>
      </c>
      <c r="D2435" s="13">
        <v>0</v>
      </c>
      <c r="E2435" s="12">
        <v>0</v>
      </c>
      <c r="F2435" s="14">
        <v>0</v>
      </c>
      <c r="G2435" s="13">
        <v>812623.5727</v>
      </c>
      <c r="H2435" s="14">
        <v>2916514860.017242</v>
      </c>
      <c r="I2435" s="14" t="e">
        <f>=Round(65729.14140000,0)</f>
        <v>#VALUE!</v>
      </c>
      <c r="J2435" s="14" t="e">
        <f>=Round(0.00000000,0)</f>
        <v>#VALUE!</v>
      </c>
    </row>
    <row r="2436">
      <c r="A2436" s="11" t="s">
        <v>35</v>
      </c>
      <c r="B2436" s="12">
        <v>3589.0109</v>
      </c>
      <c r="C2436" s="12">
        <v>0</v>
      </c>
      <c r="D2436" s="13">
        <v>0</v>
      </c>
      <c r="E2436" s="12">
        <v>0</v>
      </c>
      <c r="F2436" s="14">
        <v>0</v>
      </c>
      <c r="G2436" s="13">
        <v>812623.5727</v>
      </c>
      <c r="H2436" s="14">
        <v>2916514860.017242</v>
      </c>
      <c r="I2436" s="14" t="e">
        <f>=Round(65741.11360000,0)</f>
        <v>#VALUE!</v>
      </c>
      <c r="J2436" s="14" t="e">
        <f>=Round(0.00000000,0)</f>
        <v>#VALUE!</v>
      </c>
    </row>
    <row r="2437">
      <c r="A2437" s="11" t="s">
        <v>36</v>
      </c>
      <c r="B2437" s="12">
        <v>3589.0109</v>
      </c>
      <c r="C2437" s="12">
        <v>0</v>
      </c>
      <c r="D2437" s="13">
        <v>0</v>
      </c>
      <c r="E2437" s="12">
        <v>0</v>
      </c>
      <c r="F2437" s="14">
        <v>0</v>
      </c>
      <c r="G2437" s="13">
        <v>812623.5727</v>
      </c>
      <c r="H2437" s="14">
        <v>2916514860.017242</v>
      </c>
      <c r="I2437" s="14" t="e">
        <f>=Round(65741.11360000,0)</f>
        <v>#VALUE!</v>
      </c>
      <c r="J2437" s="14" t="e">
        <f>=Round(0.00000000,0)</f>
        <v>#VALUE!</v>
      </c>
    </row>
    <row r="2438">
      <c r="A2438" s="11" t="s">
        <v>37</v>
      </c>
      <c r="B2438" s="12">
        <v>3590.972</v>
      </c>
      <c r="C2438" s="12">
        <v>0</v>
      </c>
      <c r="D2438" s="13">
        <v>0</v>
      </c>
      <c r="E2438" s="12">
        <v>0</v>
      </c>
      <c r="F2438" s="14">
        <v>0</v>
      </c>
      <c r="G2438" s="13">
        <v>812623.5727</v>
      </c>
      <c r="H2438" s="14">
        <v>2918108496.1056638</v>
      </c>
      <c r="I2438" s="14" t="e">
        <f>=Round(65741.11360000,0)</f>
        <v>#VALUE!</v>
      </c>
      <c r="J2438" s="14" t="e">
        <f>=Round(0.00000000,0)</f>
        <v>#VALUE!</v>
      </c>
    </row>
    <row r="2439">
      <c r="A2439" s="11" t="s">
        <v>38</v>
      </c>
      <c r="B2439" s="12">
        <v>3591.6235</v>
      </c>
      <c r="C2439" s="12">
        <v>0</v>
      </c>
      <c r="D2439" s="13">
        <v>0</v>
      </c>
      <c r="E2439" s="12">
        <v>0</v>
      </c>
      <c r="F2439" s="14">
        <v>0</v>
      </c>
      <c r="G2439" s="13">
        <v>812623.5727</v>
      </c>
      <c r="H2439" s="14">
        <v>2918637920.3632779</v>
      </c>
      <c r="I2439" s="14" t="e">
        <f>=Round(65777.03580000,0)</f>
        <v>#VALUE!</v>
      </c>
      <c r="J2439" s="14" t="e">
        <f>=Round(0.00000000,0)</f>
        <v>#VALUE!</v>
      </c>
    </row>
    <row r="2440">
      <c r="A2440" s="11" t="s">
        <v>39</v>
      </c>
      <c r="B2440" s="12">
        <v>3592.281</v>
      </c>
      <c r="C2440" s="12">
        <v>0</v>
      </c>
      <c r="D2440" s="13">
        <v>0</v>
      </c>
      <c r="E2440" s="12">
        <v>0</v>
      </c>
      <c r="F2440" s="14">
        <v>0</v>
      </c>
      <c r="G2440" s="13">
        <v>812623.5727</v>
      </c>
      <c r="H2440" s="14">
        <v>2919172220.362329</v>
      </c>
      <c r="I2440" s="14" t="e">
        <f>=Round(65788.96950000,0)</f>
        <v>#VALUE!</v>
      </c>
      <c r="J2440" s="14" t="e">
        <f>=Round(0.00000000,0)</f>
        <v>#VALUE!</v>
      </c>
    </row>
    <row r="2441">
      <c r="A2441" s="11" t="s">
        <v>40</v>
      </c>
      <c r="B2441" s="12">
        <v>3592.9125</v>
      </c>
      <c r="C2441" s="12">
        <v>0</v>
      </c>
      <c r="D2441" s="13">
        <v>0</v>
      </c>
      <c r="E2441" s="12">
        <v>0</v>
      </c>
      <c r="F2441" s="14">
        <v>0</v>
      </c>
      <c r="G2441" s="13">
        <v>812623.5727</v>
      </c>
      <c r="H2441" s="14">
        <v>2919685392.148489</v>
      </c>
      <c r="I2441" s="14" t="e">
        <f>=Round(65801.01320000,0)</f>
        <v>#VALUE!</v>
      </c>
      <c r="J2441" s="14" t="e">
        <f>=Round(0.00000000,0)</f>
        <v>#VALUE!</v>
      </c>
    </row>
    <row r="2442">
      <c r="A2442" s="11" t="s">
        <v>41</v>
      </c>
      <c r="B2442" s="12">
        <v>3593.5674</v>
      </c>
      <c r="C2442" s="12">
        <v>0</v>
      </c>
      <c r="D2442" s="13">
        <v>0</v>
      </c>
      <c r="E2442" s="12">
        <v>0</v>
      </c>
      <c r="F2442" s="14">
        <v>0</v>
      </c>
      <c r="G2442" s="13">
        <v>812623.5727</v>
      </c>
      <c r="H2442" s="14">
        <v>2920217579.32625</v>
      </c>
      <c r="I2442" s="14" t="e">
        <f>=Round(65812.58060000,0)</f>
        <v>#VALUE!</v>
      </c>
      <c r="J2442" s="14" t="e">
        <f>=Round(0.00000000,0)</f>
        <v>#VALUE!</v>
      </c>
    </row>
    <row r="2443">
      <c r="A2443" s="11" t="s">
        <v>42</v>
      </c>
      <c r="B2443" s="12">
        <v>3593.5674</v>
      </c>
      <c r="C2443" s="12">
        <v>0</v>
      </c>
      <c r="D2443" s="13">
        <v>0</v>
      </c>
      <c r="E2443" s="12">
        <v>0</v>
      </c>
      <c r="F2443" s="14">
        <v>0</v>
      </c>
      <c r="G2443" s="13">
        <v>812623.5727</v>
      </c>
      <c r="H2443" s="14">
        <v>2920217579.32625</v>
      </c>
      <c r="I2443" s="14" t="e">
        <f>=Round(65824.57660000,0)</f>
        <v>#VALUE!</v>
      </c>
      <c r="J2443" s="14" t="e">
        <f>=Round(0.00000000,0)</f>
        <v>#VALUE!</v>
      </c>
    </row>
    <row r="2444">
      <c r="A2444" s="11" t="s">
        <v>43</v>
      </c>
      <c r="B2444" s="12">
        <v>3593.5674</v>
      </c>
      <c r="C2444" s="12">
        <v>0</v>
      </c>
      <c r="D2444" s="13">
        <v>0</v>
      </c>
      <c r="E2444" s="12">
        <v>0</v>
      </c>
      <c r="F2444" s="14">
        <v>0</v>
      </c>
      <c r="G2444" s="13">
        <v>812623.5727</v>
      </c>
      <c r="H2444" s="14">
        <v>2920217579.32625</v>
      </c>
      <c r="I2444" s="14" t="e">
        <f>=Round(65824.57660000,0)</f>
        <v>#VALUE!</v>
      </c>
      <c r="J2444" s="14" t="e">
        <f>=Round(0.00000000,0)</f>
        <v>#VALUE!</v>
      </c>
    </row>
    <row r="2445">
      <c r="A2445" s="11" t="s">
        <v>44</v>
      </c>
      <c r="B2445" s="12">
        <v>3595.5366</v>
      </c>
      <c r="C2445" s="12">
        <v>0</v>
      </c>
      <c r="D2445" s="13">
        <v>0</v>
      </c>
      <c r="E2445" s="12">
        <v>0</v>
      </c>
      <c r="F2445" s="14">
        <v>0</v>
      </c>
      <c r="G2445" s="13">
        <v>812623.5727</v>
      </c>
      <c r="H2445" s="14">
        <v>2921817797.6656108</v>
      </c>
      <c r="I2445" s="14" t="e">
        <f>=Round(65824.57660000,0)</f>
        <v>#VALUE!</v>
      </c>
      <c r="J2445" s="14" t="e">
        <f>=Round(0.00000000,0)</f>
        <v>#VALUE!</v>
      </c>
    </row>
    <row r="2446">
      <c r="A2446" s="11" t="s">
        <v>45</v>
      </c>
      <c r="B2446" s="12">
        <v>3596.1915</v>
      </c>
      <c r="C2446" s="12">
        <v>0</v>
      </c>
      <c r="D2446" s="13">
        <v>0</v>
      </c>
      <c r="E2446" s="12">
        <v>0</v>
      </c>
      <c r="F2446" s="14">
        <v>0</v>
      </c>
      <c r="G2446" s="13">
        <v>812623.5727</v>
      </c>
      <c r="H2446" s="14">
        <v>2922349984.8433719</v>
      </c>
      <c r="I2446" s="14" t="e">
        <f>=Round(65860.64710000,0)</f>
        <v>#VALUE!</v>
      </c>
      <c r="J2446" s="14" t="e">
        <f>=Round(0.00000000,0)</f>
        <v>#VALUE!</v>
      </c>
    </row>
    <row r="2447">
      <c r="A2447" s="11" t="s">
        <v>46</v>
      </c>
      <c r="B2447" s="12">
        <v>3596.8461</v>
      </c>
      <c r="C2447" s="12">
        <v>0</v>
      </c>
      <c r="D2447" s="13">
        <v>0</v>
      </c>
      <c r="E2447" s="12">
        <v>0</v>
      </c>
      <c r="F2447" s="14">
        <v>0</v>
      </c>
      <c r="G2447" s="13">
        <v>812623.5727</v>
      </c>
      <c r="H2447" s="14">
        <v>2922881928.2340608</v>
      </c>
      <c r="I2447" s="14" t="e">
        <f>=Round(65872.64310000,0)</f>
        <v>#VALUE!</v>
      </c>
      <c r="J2447" s="14" t="e">
        <f>=Round(0.00000000,0)</f>
        <v>#VALUE!</v>
      </c>
    </row>
    <row r="2448">
      <c r="A2448" s="11" t="s">
        <v>47</v>
      </c>
      <c r="B2448" s="12">
        <v>3597.4992</v>
      </c>
      <c r="C2448" s="12">
        <v>0</v>
      </c>
      <c r="D2448" s="13">
        <v>0</v>
      </c>
      <c r="E2448" s="12">
        <v>0</v>
      </c>
      <c r="F2448" s="14">
        <v>0</v>
      </c>
      <c r="G2448" s="13">
        <v>812623.5727</v>
      </c>
      <c r="H2448" s="14">
        <v>2923412652.6893921</v>
      </c>
      <c r="I2448" s="14" t="e">
        <f>=Round(65884.63360000,0)</f>
        <v>#VALUE!</v>
      </c>
      <c r="J2448" s="14" t="e">
        <f>=Round(0.00000000,0)</f>
        <v>#VALUE!</v>
      </c>
    </row>
    <row r="2449">
      <c r="A2449" s="11" t="s">
        <v>48</v>
      </c>
      <c r="B2449" s="12">
        <v>3598.1558</v>
      </c>
      <c r="C2449" s="12">
        <v>0</v>
      </c>
      <c r="D2449" s="13">
        <v>0</v>
      </c>
      <c r="E2449" s="12">
        <v>0</v>
      </c>
      <c r="F2449" s="14">
        <v>0</v>
      </c>
      <c r="G2449" s="13">
        <v>812623.5727</v>
      </c>
      <c r="H2449" s="14">
        <v>2923946221.3272271</v>
      </c>
      <c r="I2449" s="14" t="e">
        <f>=Round(65896.59670000,0)</f>
        <v>#VALUE!</v>
      </c>
      <c r="J2449" s="14" t="e">
        <f>=Round(0.00000000,0)</f>
        <v>#VALUE!</v>
      </c>
    </row>
    <row r="2450">
      <c r="A2450" s="11" t="s">
        <v>49</v>
      </c>
      <c r="B2450" s="12">
        <v>3598.1558</v>
      </c>
      <c r="C2450" s="12">
        <v>0</v>
      </c>
      <c r="D2450" s="13">
        <v>0</v>
      </c>
      <c r="E2450" s="12">
        <v>0</v>
      </c>
      <c r="F2450" s="14">
        <v>0</v>
      </c>
      <c r="G2450" s="13">
        <v>812623.5727</v>
      </c>
      <c r="H2450" s="14">
        <v>2923946221.3272271</v>
      </c>
      <c r="I2450" s="14" t="e">
        <f>=Round(65908.62380000,0)</f>
        <v>#VALUE!</v>
      </c>
      <c r="J2450" s="14" t="e">
        <f>=Round(0.00000000,0)</f>
        <v>#VALUE!</v>
      </c>
    </row>
    <row r="2451">
      <c r="A2451" s="11" t="s">
        <v>50</v>
      </c>
      <c r="B2451" s="12">
        <v>3598.1558</v>
      </c>
      <c r="C2451" s="12">
        <v>0</v>
      </c>
      <c r="D2451" s="13">
        <v>0</v>
      </c>
      <c r="E2451" s="12">
        <v>0</v>
      </c>
      <c r="F2451" s="14">
        <v>0</v>
      </c>
      <c r="G2451" s="13">
        <v>812623.5727</v>
      </c>
      <c r="H2451" s="14">
        <v>2923946221.3272271</v>
      </c>
      <c r="I2451" s="14" t="e">
        <f>=Round(65908.62380000,0)</f>
        <v>#VALUE!</v>
      </c>
      <c r="J2451" s="14" t="e">
        <f>=Round(0.00000000,0)</f>
        <v>#VALUE!</v>
      </c>
    </row>
    <row r="2452">
      <c r="A2452" s="11" t="s">
        <v>51</v>
      </c>
      <c r="B2452" s="12">
        <v>3600.124</v>
      </c>
      <c r="C2452" s="12">
        <v>0</v>
      </c>
      <c r="D2452" s="13">
        <v>0</v>
      </c>
      <c r="E2452" s="12">
        <v>0</v>
      </c>
      <c r="F2452" s="14">
        <v>0</v>
      </c>
      <c r="G2452" s="13">
        <v>812623.5727</v>
      </c>
      <c r="H2452" s="14">
        <v>2925545627.043015</v>
      </c>
      <c r="I2452" s="14" t="e">
        <f>=Round(65908.62380000,0)</f>
        <v>#VALUE!</v>
      </c>
      <c r="J2452" s="14" t="e">
        <f>=Round(0.00000000,0)</f>
        <v>#VALUE!</v>
      </c>
    </row>
    <row r="2453">
      <c r="A2453" s="11" t="s">
        <v>52</v>
      </c>
      <c r="B2453" s="12">
        <v>3600.7905</v>
      </c>
      <c r="C2453" s="12">
        <v>0</v>
      </c>
      <c r="D2453" s="13">
        <v>0</v>
      </c>
      <c r="E2453" s="12">
        <v>0</v>
      </c>
      <c r="F2453" s="14">
        <v>0</v>
      </c>
      <c r="G2453" s="13">
        <v>812623.5727</v>
      </c>
      <c r="H2453" s="14">
        <v>2926087240.6542192</v>
      </c>
      <c r="I2453" s="14" t="e">
        <f>=Round(65944.67600000,0)</f>
        <v>#VALUE!</v>
      </c>
      <c r="J2453" s="14" t="e">
        <f>=Round(0.00000000,0)</f>
        <v>#VALUE!</v>
      </c>
    </row>
    <row r="2454">
      <c r="A2454" s="11" t="s">
        <v>53</v>
      </c>
      <c r="B2454" s="12">
        <v>3601.445</v>
      </c>
      <c r="C2454" s="12">
        <v>0</v>
      </c>
      <c r="D2454" s="13">
        <v>0</v>
      </c>
      <c r="E2454" s="12">
        <v>0</v>
      </c>
      <c r="F2454" s="14">
        <v>0</v>
      </c>
      <c r="G2454" s="13">
        <v>812623.5727</v>
      </c>
      <c r="H2454" s="14">
        <v>2926619102.7825518</v>
      </c>
      <c r="I2454" s="14" t="e">
        <f>=Round(65956.88450000,0)</f>
        <v>#VALUE!</v>
      </c>
      <c r="J2454" s="14" t="e">
        <f>=Round(0.00000000,0)</f>
        <v>#VALUE!</v>
      </c>
    </row>
    <row r="2455">
      <c r="A2455" s="11" t="s">
        <v>54</v>
      </c>
      <c r="B2455" s="12">
        <v>3602.0851</v>
      </c>
      <c r="C2455" s="12">
        <v>0</v>
      </c>
      <c r="D2455" s="13">
        <v>0</v>
      </c>
      <c r="E2455" s="12">
        <v>0</v>
      </c>
      <c r="F2455" s="14">
        <v>0</v>
      </c>
      <c r="G2455" s="13">
        <v>812623.5727</v>
      </c>
      <c r="H2455" s="14">
        <v>2927139263.1314368</v>
      </c>
      <c r="I2455" s="14" t="e">
        <f>=Round(65968.87320000,0)</f>
        <v>#VALUE!</v>
      </c>
      <c r="J2455" s="14" t="e">
        <f>=Round(0.00000000,0)</f>
        <v>#VALUE!</v>
      </c>
    </row>
    <row r="2456">
      <c r="A2456" s="11" t="s">
        <v>55</v>
      </c>
      <c r="B2456" s="12">
        <v>3602.7417</v>
      </c>
      <c r="C2456" s="12">
        <v>0</v>
      </c>
      <c r="D2456" s="13">
        <v>0</v>
      </c>
      <c r="E2456" s="12">
        <v>0</v>
      </c>
      <c r="F2456" s="14">
        <v>0</v>
      </c>
      <c r="G2456" s="13">
        <v>812623.5727</v>
      </c>
      <c r="H2456" s="14">
        <v>2927672831.7692719</v>
      </c>
      <c r="I2456" s="14" t="e">
        <f>=Round(65980.59810000,0)</f>
        <v>#VALUE!</v>
      </c>
      <c r="J2456" s="14" t="e">
        <f>=Round(0.00000000,0)</f>
        <v>#VALUE!</v>
      </c>
    </row>
    <row r="2457" ht="-1">
      <c r="A2457" s="15"/>
      <c r="B2457" s="16" t="s">
        <v>56</v>
      </c>
      <c r="C2457" s="15"/>
      <c r="D2457" s="15"/>
      <c r="E2457" s="15"/>
      <c r="F2457" s="15"/>
      <c r="G2457" s="15"/>
      <c r="H2457" s="15"/>
      <c r="I2457" s="17" t="e">
        <f>=Round(SUM(I2431:I2456),0)</f>
        <v>#VALUE!</v>
      </c>
      <c r="J2457" s="17" t="e">
        <f>=Round(SUM(J2431:J2456),0)</f>
        <v>#VALUE!</v>
      </c>
    </row>
    <row r="2458">
      <c r="A2458" s="1" t="s">
        <v>0</v>
      </c>
      <c r="B2458" s="1"/>
      <c r="C2458" s="1"/>
      <c r="D2458" s="1"/>
    </row>
    <row r="2459">
      <c r="A2459" s="0" t="s">
        <v>1</v>
      </c>
      <c r="C2459" s="0" t="s">
        <v>2</v>
      </c>
      <c r="H2459" s="2" t="s">
        <v>3</v>
      </c>
    </row>
    <row r="2460">
      <c r="A2460" s="0" t="s">
        <v>4</v>
      </c>
      <c r="C2460" s="0" t="s">
        <v>119</v>
      </c>
      <c r="H2460" s="3" t="s">
        <v>6</v>
      </c>
    </row>
    <row r="2461">
      <c r="A2461" s="0" t="s">
        <v>7</v>
      </c>
      <c r="C2461" s="4" t="s">
        <v>8</v>
      </c>
      <c r="H2461" s="2" t="s">
        <v>9</v>
      </c>
    </row>
    <row r="2462">
      <c r="A2462" s="0" t="s">
        <v>10</v>
      </c>
      <c r="C2462" s="4" t="s">
        <v>11</v>
      </c>
      <c r="H2462" s="2" t="s">
        <v>12</v>
      </c>
    </row>
    <row r="2463">
      <c r="A2463" s="0" t="s">
        <v>13</v>
      </c>
      <c r="C2463" s="0" t="s">
        <v>14</v>
      </c>
    </row>
    <row r="2464">
      <c r="A2464" s="0" t="s">
        <v>15</v>
      </c>
      <c r="C2464" s="0" t="s">
        <v>16</v>
      </c>
    </row>
    <row r="2465">
      <c r="A2465" s="0" t="s">
        <v>17</v>
      </c>
      <c r="C2465" s="0" t="s">
        <v>18</v>
      </c>
    </row>
    <row r="2468">
      <c r="A2468" s="5" t="s">
        <v>19</v>
      </c>
      <c r="B2468" s="5" t="s">
        <v>20</v>
      </c>
      <c r="C2468" s="7" t="s">
        <v>21</v>
      </c>
      <c r="D2468" s="9"/>
      <c r="E2468" s="7" t="s">
        <v>22</v>
      </c>
      <c r="F2468" s="9"/>
      <c r="G2468" s="5" t="s">
        <v>23</v>
      </c>
      <c r="H2468" s="5" t="s">
        <v>24</v>
      </c>
      <c r="I2468" s="5" t="s">
        <v>25</v>
      </c>
      <c r="J2468" s="5" t="s">
        <v>26</v>
      </c>
    </row>
    <row r="2469">
      <c r="A2469" s="6"/>
      <c r="B2469" s="6"/>
      <c r="C2469" s="8" t="s">
        <v>27</v>
      </c>
      <c r="D2469" s="8" t="s">
        <v>28</v>
      </c>
      <c r="E2469" s="8" t="s">
        <v>27</v>
      </c>
      <c r="F2469" s="8" t="s">
        <v>28</v>
      </c>
      <c r="G2469" s="6"/>
      <c r="H2469" s="6"/>
      <c r="I2469" s="10" t="s">
        <v>29</v>
      </c>
      <c r="J2469" s="6"/>
    </row>
    <row r="2470">
      <c r="A2470" s="11" t="s">
        <v>30</v>
      </c>
      <c r="B2470" s="12">
        <v>3586.4187</v>
      </c>
      <c r="C2470" s="12">
        <v>0</v>
      </c>
      <c r="D2470" s="13">
        <v>0</v>
      </c>
      <c r="E2470" s="12">
        <v>0</v>
      </c>
      <c r="F2470" s="14">
        <v>0</v>
      </c>
      <c r="G2470" s="13">
        <v>42092.0702</v>
      </c>
      <c r="H2470" s="14">
        <v>150959787.686993</v>
      </c>
      <c r="I2470" s="14" t="e">
        <f>=Round(3400.91090000,0)</f>
        <v>#VALUE!</v>
      </c>
      <c r="J2470" s="14" t="e">
        <f>=Round(0.00000000,0)</f>
        <v>#VALUE!</v>
      </c>
    </row>
    <row r="2471">
      <c r="A2471" s="11" t="s">
        <v>31</v>
      </c>
      <c r="B2471" s="12">
        <v>3587.0477</v>
      </c>
      <c r="C2471" s="12">
        <v>0</v>
      </c>
      <c r="D2471" s="13">
        <v>0</v>
      </c>
      <c r="E2471" s="12">
        <v>0</v>
      </c>
      <c r="F2471" s="14">
        <v>0</v>
      </c>
      <c r="G2471" s="13">
        <v>42092.0702</v>
      </c>
      <c r="H2471" s="14">
        <v>150986263.599149</v>
      </c>
      <c r="I2471" s="14" t="e">
        <f>=Round(3402.78210000,0)</f>
        <v>#VALUE!</v>
      </c>
      <c r="J2471" s="14" t="e">
        <f>=Round(0.00000000,0)</f>
        <v>#VALUE!</v>
      </c>
    </row>
    <row r="2472">
      <c r="A2472" s="11" t="s">
        <v>32</v>
      </c>
      <c r="B2472" s="12">
        <v>3587.6685</v>
      </c>
      <c r="C2472" s="12">
        <v>0</v>
      </c>
      <c r="D2472" s="13">
        <v>0</v>
      </c>
      <c r="E2472" s="12">
        <v>0</v>
      </c>
      <c r="F2472" s="14">
        <v>0</v>
      </c>
      <c r="G2472" s="13">
        <v>42092.0702</v>
      </c>
      <c r="H2472" s="14">
        <v>151012394.356329</v>
      </c>
      <c r="I2472" s="14" t="e">
        <f>=Round(3403.37890000,0)</f>
        <v>#VALUE!</v>
      </c>
      <c r="J2472" s="14" t="e">
        <f>=Round(0.00000000,0)</f>
        <v>#VALUE!</v>
      </c>
    </row>
    <row r="2473">
      <c r="A2473" s="11" t="s">
        <v>33</v>
      </c>
      <c r="B2473" s="12">
        <v>3588.3573</v>
      </c>
      <c r="C2473" s="12">
        <v>0</v>
      </c>
      <c r="D2473" s="13">
        <v>0</v>
      </c>
      <c r="E2473" s="12">
        <v>0</v>
      </c>
      <c r="F2473" s="14">
        <v>0</v>
      </c>
      <c r="G2473" s="13">
        <v>42092.0702</v>
      </c>
      <c r="H2473" s="14">
        <v>151041387.374282</v>
      </c>
      <c r="I2473" s="14" t="e">
        <f>=Round(3403.96790000,0)</f>
        <v>#VALUE!</v>
      </c>
      <c r="J2473" s="14" t="e">
        <f>=Round(0.00000000,0)</f>
        <v>#VALUE!</v>
      </c>
    </row>
    <row r="2474">
      <c r="A2474" s="11" t="s">
        <v>34</v>
      </c>
      <c r="B2474" s="12">
        <v>3589.0109</v>
      </c>
      <c r="C2474" s="12">
        <v>0</v>
      </c>
      <c r="D2474" s="13">
        <v>0</v>
      </c>
      <c r="E2474" s="12">
        <v>0</v>
      </c>
      <c r="F2474" s="14">
        <v>0</v>
      </c>
      <c r="G2474" s="13">
        <v>42092.0702</v>
      </c>
      <c r="H2474" s="14">
        <v>151068898.751365</v>
      </c>
      <c r="I2474" s="14" t="e">
        <f>=Round(3404.62140000,0)</f>
        <v>#VALUE!</v>
      </c>
      <c r="J2474" s="14" t="e">
        <f>=Round(0.00000000,0)</f>
        <v>#VALUE!</v>
      </c>
    </row>
    <row r="2475">
      <c r="A2475" s="11" t="s">
        <v>35</v>
      </c>
      <c r="B2475" s="12">
        <v>3589.0109</v>
      </c>
      <c r="C2475" s="12">
        <v>0</v>
      </c>
      <c r="D2475" s="13">
        <v>0</v>
      </c>
      <c r="E2475" s="12">
        <v>0</v>
      </c>
      <c r="F2475" s="14">
        <v>0</v>
      </c>
      <c r="G2475" s="13">
        <v>42092.0702</v>
      </c>
      <c r="H2475" s="14">
        <v>151068898.751365</v>
      </c>
      <c r="I2475" s="14" t="e">
        <f>=Round(3405.24160000,0)</f>
        <v>#VALUE!</v>
      </c>
      <c r="J2475" s="14" t="e">
        <f>=Round(0.00000000,0)</f>
        <v>#VALUE!</v>
      </c>
    </row>
    <row r="2476">
      <c r="A2476" s="11" t="s">
        <v>36</v>
      </c>
      <c r="B2476" s="12">
        <v>3589.0109</v>
      </c>
      <c r="C2476" s="12">
        <v>0</v>
      </c>
      <c r="D2476" s="13">
        <v>0</v>
      </c>
      <c r="E2476" s="12">
        <v>0</v>
      </c>
      <c r="F2476" s="14">
        <v>0</v>
      </c>
      <c r="G2476" s="13">
        <v>42092.0702</v>
      </c>
      <c r="H2476" s="14">
        <v>151068898.751365</v>
      </c>
      <c r="I2476" s="14" t="e">
        <f>=Round(3405.24160000,0)</f>
        <v>#VALUE!</v>
      </c>
      <c r="J2476" s="14" t="e">
        <f>=Round(0.00000000,0)</f>
        <v>#VALUE!</v>
      </c>
    </row>
    <row r="2477">
      <c r="A2477" s="11" t="s">
        <v>37</v>
      </c>
      <c r="B2477" s="12">
        <v>3590.972</v>
      </c>
      <c r="C2477" s="12">
        <v>0</v>
      </c>
      <c r="D2477" s="13">
        <v>0</v>
      </c>
      <c r="E2477" s="12">
        <v>0</v>
      </c>
      <c r="F2477" s="14">
        <v>0</v>
      </c>
      <c r="G2477" s="13">
        <v>42092.0702</v>
      </c>
      <c r="H2477" s="14">
        <v>151151445.510234</v>
      </c>
      <c r="I2477" s="14" t="e">
        <f>=Round(3405.24160000,0)</f>
        <v>#VALUE!</v>
      </c>
      <c r="J2477" s="14" t="e">
        <f>=Round(0.00000000,0)</f>
        <v>#VALUE!</v>
      </c>
    </row>
    <row r="2478">
      <c r="A2478" s="11" t="s">
        <v>38</v>
      </c>
      <c r="B2478" s="12">
        <v>3591.6235</v>
      </c>
      <c r="C2478" s="12">
        <v>0</v>
      </c>
      <c r="D2478" s="13">
        <v>0</v>
      </c>
      <c r="E2478" s="12">
        <v>0</v>
      </c>
      <c r="F2478" s="14">
        <v>0</v>
      </c>
      <c r="G2478" s="13">
        <v>42092.0702</v>
      </c>
      <c r="H2478" s="14">
        <v>151178868.49397</v>
      </c>
      <c r="I2478" s="14" t="e">
        <f>=Round(3407.10230000,0)</f>
        <v>#VALUE!</v>
      </c>
      <c r="J2478" s="14" t="e">
        <f>=Round(0.00000000,0)</f>
        <v>#VALUE!</v>
      </c>
    </row>
    <row r="2479">
      <c r="A2479" s="11" t="s">
        <v>39</v>
      </c>
      <c r="B2479" s="12">
        <v>3592.281</v>
      </c>
      <c r="C2479" s="12">
        <v>0</v>
      </c>
      <c r="D2479" s="13">
        <v>0</v>
      </c>
      <c r="E2479" s="12">
        <v>0</v>
      </c>
      <c r="F2479" s="14">
        <v>0</v>
      </c>
      <c r="G2479" s="13">
        <v>42092.0702</v>
      </c>
      <c r="H2479" s="14">
        <v>151206544.030126</v>
      </c>
      <c r="I2479" s="14" t="e">
        <f>=Round(3407.72040000,0)</f>
        <v>#VALUE!</v>
      </c>
      <c r="J2479" s="14" t="e">
        <f>=Round(0.00000000,0)</f>
        <v>#VALUE!</v>
      </c>
    </row>
    <row r="2480">
      <c r="A2480" s="11" t="s">
        <v>40</v>
      </c>
      <c r="B2480" s="12">
        <v>3592.9125</v>
      </c>
      <c r="C2480" s="12">
        <v>0</v>
      </c>
      <c r="D2480" s="13">
        <v>0</v>
      </c>
      <c r="E2480" s="12">
        <v>0</v>
      </c>
      <c r="F2480" s="14">
        <v>0</v>
      </c>
      <c r="G2480" s="13">
        <v>42092.0702</v>
      </c>
      <c r="H2480" s="14">
        <v>151233125.172458</v>
      </c>
      <c r="I2480" s="14" t="e">
        <f>=Round(3408.34420000,0)</f>
        <v>#VALUE!</v>
      </c>
      <c r="J2480" s="14" t="e">
        <f>=Round(0.00000000,0)</f>
        <v>#VALUE!</v>
      </c>
    </row>
    <row r="2481">
      <c r="A2481" s="11" t="s">
        <v>41</v>
      </c>
      <c r="B2481" s="12">
        <v>3593.5674</v>
      </c>
      <c r="C2481" s="12">
        <v>0</v>
      </c>
      <c r="D2481" s="13">
        <v>0</v>
      </c>
      <c r="E2481" s="12">
        <v>0</v>
      </c>
      <c r="F2481" s="14">
        <v>0</v>
      </c>
      <c r="G2481" s="13">
        <v>42092.0702</v>
      </c>
      <c r="H2481" s="14">
        <v>151260691.269231</v>
      </c>
      <c r="I2481" s="14" t="e">
        <f>=Round(3408.94340000,0)</f>
        <v>#VALUE!</v>
      </c>
      <c r="J2481" s="14" t="e">
        <f>=Round(0.00000000,0)</f>
        <v>#VALUE!</v>
      </c>
    </row>
    <row r="2482">
      <c r="A2482" s="11" t="s">
        <v>42</v>
      </c>
      <c r="B2482" s="12">
        <v>3593.5674</v>
      </c>
      <c r="C2482" s="12">
        <v>0</v>
      </c>
      <c r="D2482" s="13">
        <v>0</v>
      </c>
      <c r="E2482" s="12">
        <v>0</v>
      </c>
      <c r="F2482" s="14">
        <v>0</v>
      </c>
      <c r="G2482" s="13">
        <v>42092.0702</v>
      </c>
      <c r="H2482" s="14">
        <v>151260691.269231</v>
      </c>
      <c r="I2482" s="14" t="e">
        <f>=Round(3409.56480000,0)</f>
        <v>#VALUE!</v>
      </c>
      <c r="J2482" s="14" t="e">
        <f>=Round(0.00000000,0)</f>
        <v>#VALUE!</v>
      </c>
    </row>
    <row r="2483">
      <c r="A2483" s="11" t="s">
        <v>43</v>
      </c>
      <c r="B2483" s="12">
        <v>3593.5674</v>
      </c>
      <c r="C2483" s="12">
        <v>0</v>
      </c>
      <c r="D2483" s="13">
        <v>0</v>
      </c>
      <c r="E2483" s="12">
        <v>0</v>
      </c>
      <c r="F2483" s="14">
        <v>0</v>
      </c>
      <c r="G2483" s="13">
        <v>42092.0702</v>
      </c>
      <c r="H2483" s="14">
        <v>151260691.269231</v>
      </c>
      <c r="I2483" s="14" t="e">
        <f>=Round(3409.56480000,0)</f>
        <v>#VALUE!</v>
      </c>
      <c r="J2483" s="14" t="e">
        <f>=Round(0.00000000,0)</f>
        <v>#VALUE!</v>
      </c>
    </row>
    <row r="2484">
      <c r="A2484" s="11" t="s">
        <v>44</v>
      </c>
      <c r="B2484" s="12">
        <v>3595.5366</v>
      </c>
      <c r="C2484" s="12">
        <v>0</v>
      </c>
      <c r="D2484" s="13">
        <v>0</v>
      </c>
      <c r="E2484" s="12">
        <v>0</v>
      </c>
      <c r="F2484" s="14">
        <v>0</v>
      </c>
      <c r="G2484" s="13">
        <v>42092.0702</v>
      </c>
      <c r="H2484" s="14">
        <v>151343578.973869</v>
      </c>
      <c r="I2484" s="14" t="e">
        <f>=Round(3409.56480000,0)</f>
        <v>#VALUE!</v>
      </c>
      <c r="J2484" s="14" t="e">
        <f>=Round(0.00000000,0)</f>
        <v>#VALUE!</v>
      </c>
    </row>
    <row r="2485">
      <c r="A2485" s="11" t="s">
        <v>45</v>
      </c>
      <c r="B2485" s="12">
        <v>3596.1915</v>
      </c>
      <c r="C2485" s="12">
        <v>0</v>
      </c>
      <c r="D2485" s="13">
        <v>0</v>
      </c>
      <c r="E2485" s="12">
        <v>0</v>
      </c>
      <c r="F2485" s="14">
        <v>0</v>
      </c>
      <c r="G2485" s="13">
        <v>42092.0702</v>
      </c>
      <c r="H2485" s="14">
        <v>151371145.070643</v>
      </c>
      <c r="I2485" s="14" t="e">
        <f>=Round(3411.43310000,0)</f>
        <v>#VALUE!</v>
      </c>
      <c r="J2485" s="14" t="e">
        <f>=Round(0.00000000,0)</f>
        <v>#VALUE!</v>
      </c>
    </row>
    <row r="2486">
      <c r="A2486" s="11" t="s">
        <v>46</v>
      </c>
      <c r="B2486" s="12">
        <v>3596.8461</v>
      </c>
      <c r="C2486" s="12">
        <v>0</v>
      </c>
      <c r="D2486" s="13">
        <v>0</v>
      </c>
      <c r="E2486" s="12">
        <v>0</v>
      </c>
      <c r="F2486" s="14">
        <v>0</v>
      </c>
      <c r="G2486" s="13">
        <v>42092.0702</v>
      </c>
      <c r="H2486" s="14">
        <v>151398698.539796</v>
      </c>
      <c r="I2486" s="14" t="e">
        <f>=Round(3412.05450000,0)</f>
        <v>#VALUE!</v>
      </c>
      <c r="J2486" s="14" t="e">
        <f>=Round(0.00000000,0)</f>
        <v>#VALUE!</v>
      </c>
    </row>
    <row r="2487">
      <c r="A2487" s="11" t="s">
        <v>47</v>
      </c>
      <c r="B2487" s="12">
        <v>3597.4992</v>
      </c>
      <c r="C2487" s="12">
        <v>0</v>
      </c>
      <c r="D2487" s="13">
        <v>0</v>
      </c>
      <c r="E2487" s="12">
        <v>0</v>
      </c>
      <c r="F2487" s="14">
        <v>0</v>
      </c>
      <c r="G2487" s="13">
        <v>42092.0702</v>
      </c>
      <c r="H2487" s="14">
        <v>151426188.870844</v>
      </c>
      <c r="I2487" s="14" t="e">
        <f>=Round(3412.67560000,0)</f>
        <v>#VALUE!</v>
      </c>
      <c r="J2487" s="14" t="e">
        <f>=Round(0.00000000,0)</f>
        <v>#VALUE!</v>
      </c>
    </row>
    <row r="2488">
      <c r="A2488" s="11" t="s">
        <v>48</v>
      </c>
      <c r="B2488" s="12">
        <v>3598.1558</v>
      </c>
      <c r="C2488" s="12">
        <v>0</v>
      </c>
      <c r="D2488" s="13">
        <v>0</v>
      </c>
      <c r="E2488" s="12">
        <v>0</v>
      </c>
      <c r="F2488" s="14">
        <v>0</v>
      </c>
      <c r="G2488" s="13">
        <v>42092.0702</v>
      </c>
      <c r="H2488" s="14">
        <v>151453826.524137</v>
      </c>
      <c r="I2488" s="14" t="e">
        <f>=Round(3413.29520000,0)</f>
        <v>#VALUE!</v>
      </c>
      <c r="J2488" s="14" t="e">
        <f>=Round(0.00000000,0)</f>
        <v>#VALUE!</v>
      </c>
    </row>
    <row r="2489">
      <c r="A2489" s="11" t="s">
        <v>49</v>
      </c>
      <c r="B2489" s="12">
        <v>3598.1558</v>
      </c>
      <c r="C2489" s="12">
        <v>0</v>
      </c>
      <c r="D2489" s="13">
        <v>0</v>
      </c>
      <c r="E2489" s="12">
        <v>0</v>
      </c>
      <c r="F2489" s="14">
        <v>0</v>
      </c>
      <c r="G2489" s="13">
        <v>42092.0702</v>
      </c>
      <c r="H2489" s="14">
        <v>151453826.524137</v>
      </c>
      <c r="I2489" s="14" t="e">
        <f>=Round(3413.91820000,0)</f>
        <v>#VALUE!</v>
      </c>
      <c r="J2489" s="14" t="e">
        <f>=Round(0.00000000,0)</f>
        <v>#VALUE!</v>
      </c>
    </row>
    <row r="2490">
      <c r="A2490" s="11" t="s">
        <v>50</v>
      </c>
      <c r="B2490" s="12">
        <v>3598.1558</v>
      </c>
      <c r="C2490" s="12">
        <v>0</v>
      </c>
      <c r="D2490" s="13">
        <v>0</v>
      </c>
      <c r="E2490" s="12">
        <v>0</v>
      </c>
      <c r="F2490" s="14">
        <v>0</v>
      </c>
      <c r="G2490" s="13">
        <v>42092.0702</v>
      </c>
      <c r="H2490" s="14">
        <v>151453826.524137</v>
      </c>
      <c r="I2490" s="14" t="e">
        <f>=Round(3413.91820000,0)</f>
        <v>#VALUE!</v>
      </c>
      <c r="J2490" s="14" t="e">
        <f>=Round(0.00000000,0)</f>
        <v>#VALUE!</v>
      </c>
    </row>
    <row r="2491">
      <c r="A2491" s="11" t="s">
        <v>51</v>
      </c>
      <c r="B2491" s="12">
        <v>3600.124</v>
      </c>
      <c r="C2491" s="12">
        <v>0</v>
      </c>
      <c r="D2491" s="13">
        <v>0</v>
      </c>
      <c r="E2491" s="12">
        <v>0</v>
      </c>
      <c r="F2491" s="14">
        <v>0</v>
      </c>
      <c r="G2491" s="13">
        <v>42092.0702</v>
      </c>
      <c r="H2491" s="14">
        <v>151536672.136705</v>
      </c>
      <c r="I2491" s="14" t="e">
        <f>=Round(3413.91820000,0)</f>
        <v>#VALUE!</v>
      </c>
      <c r="J2491" s="14" t="e">
        <f>=Round(0.00000000,0)</f>
        <v>#VALUE!</v>
      </c>
    </row>
    <row r="2492">
      <c r="A2492" s="11" t="s">
        <v>52</v>
      </c>
      <c r="B2492" s="12">
        <v>3600.7905</v>
      </c>
      <c r="C2492" s="12">
        <v>0</v>
      </c>
      <c r="D2492" s="13">
        <v>0</v>
      </c>
      <c r="E2492" s="12">
        <v>0</v>
      </c>
      <c r="F2492" s="14">
        <v>0</v>
      </c>
      <c r="G2492" s="13">
        <v>42092.0702</v>
      </c>
      <c r="H2492" s="14">
        <v>151564726.501493</v>
      </c>
      <c r="I2492" s="14" t="e">
        <f>=Round(3415.78560000,0)</f>
        <v>#VALUE!</v>
      </c>
      <c r="J2492" s="14" t="e">
        <f>=Round(0.00000000,0)</f>
        <v>#VALUE!</v>
      </c>
    </row>
    <row r="2493">
      <c r="A2493" s="11" t="s">
        <v>53</v>
      </c>
      <c r="B2493" s="12">
        <v>3601.445</v>
      </c>
      <c r="C2493" s="12">
        <v>0</v>
      </c>
      <c r="D2493" s="13">
        <v>0</v>
      </c>
      <c r="E2493" s="12">
        <v>0</v>
      </c>
      <c r="F2493" s="14">
        <v>0</v>
      </c>
      <c r="G2493" s="13">
        <v>42092.0702</v>
      </c>
      <c r="H2493" s="14">
        <v>151592275.761439</v>
      </c>
      <c r="I2493" s="14" t="e">
        <f>=Round(3416.41800000,0)</f>
        <v>#VALUE!</v>
      </c>
      <c r="J2493" s="14" t="e">
        <f>=Round(0.00000000,0)</f>
        <v>#VALUE!</v>
      </c>
    </row>
    <row r="2494">
      <c r="A2494" s="11" t="s">
        <v>54</v>
      </c>
      <c r="B2494" s="12">
        <v>3602.0851</v>
      </c>
      <c r="C2494" s="12">
        <v>0</v>
      </c>
      <c r="D2494" s="13">
        <v>0</v>
      </c>
      <c r="E2494" s="12">
        <v>0</v>
      </c>
      <c r="F2494" s="14">
        <v>0</v>
      </c>
      <c r="G2494" s="13">
        <v>42092.0702</v>
      </c>
      <c r="H2494" s="14">
        <v>151619218.895574</v>
      </c>
      <c r="I2494" s="14" t="e">
        <f>=Round(3417.03900000,0)</f>
        <v>#VALUE!</v>
      </c>
      <c r="J2494" s="14" t="e">
        <f>=Round(0.00000000,0)</f>
        <v>#VALUE!</v>
      </c>
    </row>
    <row r="2495">
      <c r="A2495" s="11" t="s">
        <v>55</v>
      </c>
      <c r="B2495" s="12">
        <v>3602.7417</v>
      </c>
      <c r="C2495" s="12">
        <v>0</v>
      </c>
      <c r="D2495" s="13">
        <v>0</v>
      </c>
      <c r="E2495" s="12">
        <v>0</v>
      </c>
      <c r="F2495" s="14">
        <v>0</v>
      </c>
      <c r="G2495" s="13">
        <v>42092.0702</v>
      </c>
      <c r="H2495" s="14">
        <v>151646856.548867</v>
      </c>
      <c r="I2495" s="14" t="e">
        <f>=Round(3417.64630000,0)</f>
        <v>#VALUE!</v>
      </c>
      <c r="J2495" s="14" t="e">
        <f>=Round(0.00000000,0)</f>
        <v>#VALUE!</v>
      </c>
    </row>
    <row r="2496" ht="-1">
      <c r="A2496" s="15"/>
      <c r="B2496" s="16" t="s">
        <v>56</v>
      </c>
      <c r="C2496" s="15"/>
      <c r="D2496" s="15"/>
      <c r="E2496" s="15"/>
      <c r="F2496" s="15"/>
      <c r="G2496" s="15"/>
      <c r="H2496" s="15"/>
      <c r="I2496" s="17" t="e">
        <f>=Round(SUM(I2470:I2495),0)</f>
        <v>#VALUE!</v>
      </c>
      <c r="J2496" s="17" t="e">
        <f>=Round(SUM(J2470:J2495),0)</f>
        <v>#VALUE!</v>
      </c>
    </row>
    <row r="2497">
      <c r="A2497" s="1" t="s">
        <v>0</v>
      </c>
      <c r="B2497" s="1"/>
      <c r="C2497" s="1"/>
      <c r="D2497" s="1"/>
    </row>
    <row r="2498">
      <c r="A2498" s="0" t="s">
        <v>1</v>
      </c>
      <c r="C2498" s="0" t="s">
        <v>2</v>
      </c>
      <c r="H2498" s="2" t="s">
        <v>3</v>
      </c>
    </row>
    <row r="2499">
      <c r="A2499" s="0" t="s">
        <v>4</v>
      </c>
      <c r="C2499" s="0" t="s">
        <v>120</v>
      </c>
      <c r="H2499" s="3" t="s">
        <v>6</v>
      </c>
    </row>
    <row r="2500">
      <c r="A2500" s="0" t="s">
        <v>7</v>
      </c>
      <c r="C2500" s="4" t="s">
        <v>8</v>
      </c>
      <c r="H2500" s="2" t="s">
        <v>9</v>
      </c>
    </row>
    <row r="2501">
      <c r="A2501" s="0" t="s">
        <v>10</v>
      </c>
      <c r="C2501" s="4" t="s">
        <v>11</v>
      </c>
      <c r="H2501" s="2" t="s">
        <v>12</v>
      </c>
    </row>
    <row r="2502">
      <c r="A2502" s="0" t="s">
        <v>13</v>
      </c>
      <c r="C2502" s="0" t="s">
        <v>14</v>
      </c>
    </row>
    <row r="2503">
      <c r="A2503" s="0" t="s">
        <v>15</v>
      </c>
      <c r="C2503" s="0" t="s">
        <v>16</v>
      </c>
    </row>
    <row r="2504">
      <c r="A2504" s="0" t="s">
        <v>17</v>
      </c>
      <c r="C2504" s="0" t="s">
        <v>18</v>
      </c>
    </row>
    <row r="2507">
      <c r="A2507" s="5" t="s">
        <v>19</v>
      </c>
      <c r="B2507" s="5" t="s">
        <v>20</v>
      </c>
      <c r="C2507" s="7" t="s">
        <v>21</v>
      </c>
      <c r="D2507" s="9"/>
      <c r="E2507" s="7" t="s">
        <v>22</v>
      </c>
      <c r="F2507" s="9"/>
      <c r="G2507" s="5" t="s">
        <v>23</v>
      </c>
      <c r="H2507" s="5" t="s">
        <v>24</v>
      </c>
      <c r="I2507" s="5" t="s">
        <v>25</v>
      </c>
      <c r="J2507" s="5" t="s">
        <v>26</v>
      </c>
    </row>
    <row r="2508">
      <c r="A2508" s="6"/>
      <c r="B2508" s="6"/>
      <c r="C2508" s="8" t="s">
        <v>27</v>
      </c>
      <c r="D2508" s="8" t="s">
        <v>28</v>
      </c>
      <c r="E2508" s="8" t="s">
        <v>27</v>
      </c>
      <c r="F2508" s="8" t="s">
        <v>28</v>
      </c>
      <c r="G2508" s="6"/>
      <c r="H2508" s="6"/>
      <c r="I2508" s="10" t="s">
        <v>29</v>
      </c>
      <c r="J2508" s="6"/>
    </row>
    <row r="2509">
      <c r="A2509" s="11" t="s">
        <v>30</v>
      </c>
      <c r="B2509" s="12">
        <v>3586.4187</v>
      </c>
      <c r="C2509" s="12">
        <v>0</v>
      </c>
      <c r="D2509" s="13">
        <v>0</v>
      </c>
      <c r="E2509" s="12">
        <v>0</v>
      </c>
      <c r="F2509" s="14">
        <v>0</v>
      </c>
      <c r="G2509" s="13">
        <v>2177442.5232</v>
      </c>
      <c r="H2509" s="14">
        <v>7809220583.3796644</v>
      </c>
      <c r="I2509" s="14" t="e">
        <f>=Round(175930.71420000,0)</f>
        <v>#VALUE!</v>
      </c>
      <c r="J2509" s="14" t="e">
        <f>=Round(0.00000000,0)</f>
        <v>#VALUE!</v>
      </c>
    </row>
    <row r="2510">
      <c r="A2510" s="11" t="s">
        <v>31</v>
      </c>
      <c r="B2510" s="12">
        <v>3587.0477</v>
      </c>
      <c r="C2510" s="12">
        <v>0</v>
      </c>
      <c r="D2510" s="13">
        <v>0</v>
      </c>
      <c r="E2510" s="12">
        <v>0</v>
      </c>
      <c r="F2510" s="14">
        <v>0</v>
      </c>
      <c r="G2510" s="13">
        <v>2177442.5232</v>
      </c>
      <c r="H2510" s="14">
        <v>7810590194.726757</v>
      </c>
      <c r="I2510" s="14" t="e">
        <f>=Round(176027.51310000,0)</f>
        <v>#VALUE!</v>
      </c>
      <c r="J2510" s="14" t="e">
        <f>=Round(0.00000000,0)</f>
        <v>#VALUE!</v>
      </c>
    </row>
    <row r="2511">
      <c r="A2511" s="11" t="s">
        <v>32</v>
      </c>
      <c r="B2511" s="12">
        <v>3587.6685</v>
      </c>
      <c r="C2511" s="12">
        <v>0</v>
      </c>
      <c r="D2511" s="13">
        <v>0</v>
      </c>
      <c r="E2511" s="12">
        <v>0</v>
      </c>
      <c r="F2511" s="14">
        <v>0</v>
      </c>
      <c r="G2511" s="13">
        <v>2177442.5232</v>
      </c>
      <c r="H2511" s="14">
        <v>7811941951.0451593</v>
      </c>
      <c r="I2511" s="14" t="e">
        <f>=Round(176058.38550000,0)</f>
        <v>#VALUE!</v>
      </c>
      <c r="J2511" s="14" t="e">
        <f>=Round(0.00000000,0)</f>
        <v>#VALUE!</v>
      </c>
    </row>
    <row r="2512">
      <c r="A2512" s="11" t="s">
        <v>33</v>
      </c>
      <c r="B2512" s="12">
        <v>3588.3573</v>
      </c>
      <c r="C2512" s="12">
        <v>0</v>
      </c>
      <c r="D2512" s="13">
        <v>0</v>
      </c>
      <c r="E2512" s="12">
        <v>0</v>
      </c>
      <c r="F2512" s="14">
        <v>0</v>
      </c>
      <c r="G2512" s="13">
        <v>2177442.5232</v>
      </c>
      <c r="H2512" s="14">
        <v>7813441773.4551392</v>
      </c>
      <c r="I2512" s="14" t="e">
        <f>=Round(176088.85550000,0)</f>
        <v>#VALUE!</v>
      </c>
      <c r="J2512" s="14" t="e">
        <f>=Round(0.00000000,0)</f>
        <v>#VALUE!</v>
      </c>
    </row>
    <row r="2513">
      <c r="A2513" s="11" t="s">
        <v>34</v>
      </c>
      <c r="B2513" s="12">
        <v>3589.0109</v>
      </c>
      <c r="C2513" s="12">
        <v>0</v>
      </c>
      <c r="D2513" s="13">
        <v>0</v>
      </c>
      <c r="E2513" s="12">
        <v>0</v>
      </c>
      <c r="F2513" s="14">
        <v>0</v>
      </c>
      <c r="G2513" s="13">
        <v>2177442.5232</v>
      </c>
      <c r="H2513" s="14">
        <v>7814864949.8883028</v>
      </c>
      <c r="I2513" s="14" t="e">
        <f>=Round(176122.66290000,0)</f>
        <v>#VALUE!</v>
      </c>
      <c r="J2513" s="14" t="e">
        <f>=Round(0.00000000,0)</f>
        <v>#VALUE!</v>
      </c>
    </row>
    <row r="2514">
      <c r="A2514" s="11" t="s">
        <v>35</v>
      </c>
      <c r="B2514" s="12">
        <v>3589.0109</v>
      </c>
      <c r="C2514" s="12">
        <v>0</v>
      </c>
      <c r="D2514" s="13">
        <v>0</v>
      </c>
      <c r="E2514" s="12">
        <v>0</v>
      </c>
      <c r="F2514" s="14">
        <v>0</v>
      </c>
      <c r="G2514" s="13">
        <v>2177442.5232</v>
      </c>
      <c r="H2514" s="14">
        <v>7814864949.8883028</v>
      </c>
      <c r="I2514" s="14" t="e">
        <f>=Round(176154.74270000,0)</f>
        <v>#VALUE!</v>
      </c>
      <c r="J2514" s="14" t="e">
        <f>=Round(0.00000000,0)</f>
        <v>#VALUE!</v>
      </c>
    </row>
    <row r="2515">
      <c r="A2515" s="11" t="s">
        <v>36</v>
      </c>
      <c r="B2515" s="12">
        <v>3589.0109</v>
      </c>
      <c r="C2515" s="12">
        <v>0</v>
      </c>
      <c r="D2515" s="13">
        <v>0</v>
      </c>
      <c r="E2515" s="12">
        <v>0</v>
      </c>
      <c r="F2515" s="14">
        <v>0</v>
      </c>
      <c r="G2515" s="13">
        <v>2177442.5232</v>
      </c>
      <c r="H2515" s="14">
        <v>7814864949.8883028</v>
      </c>
      <c r="I2515" s="14" t="e">
        <f>=Round(176154.74270000,0)</f>
        <v>#VALUE!</v>
      </c>
      <c r="J2515" s="14" t="e">
        <f>=Round(0.00000000,0)</f>
        <v>#VALUE!</v>
      </c>
    </row>
    <row r="2516">
      <c r="A2516" s="11" t="s">
        <v>37</v>
      </c>
      <c r="B2516" s="12">
        <v>3590.972</v>
      </c>
      <c r="C2516" s="12">
        <v>0</v>
      </c>
      <c r="D2516" s="13">
        <v>0</v>
      </c>
      <c r="E2516" s="12">
        <v>0</v>
      </c>
      <c r="F2516" s="14">
        <v>0</v>
      </c>
      <c r="G2516" s="13">
        <v>2177442.5232</v>
      </c>
      <c r="H2516" s="14">
        <v>7819135132.42055</v>
      </c>
      <c r="I2516" s="14" t="e">
        <f>=Round(176154.74270000,0)</f>
        <v>#VALUE!</v>
      </c>
      <c r="J2516" s="14" t="e">
        <f>=Round(0.00000000,0)</f>
        <v>#VALUE!</v>
      </c>
    </row>
    <row r="2517">
      <c r="A2517" s="11" t="s">
        <v>38</v>
      </c>
      <c r="B2517" s="12">
        <v>3591.6235</v>
      </c>
      <c r="C2517" s="12">
        <v>0</v>
      </c>
      <c r="D2517" s="13">
        <v>0</v>
      </c>
      <c r="E2517" s="12">
        <v>0</v>
      </c>
      <c r="F2517" s="14">
        <v>0</v>
      </c>
      <c r="G2517" s="13">
        <v>2177442.5232</v>
      </c>
      <c r="H2517" s="14">
        <v>7820553736.2244148</v>
      </c>
      <c r="I2517" s="14" t="e">
        <f>=Round(176250.99680000,0)</f>
        <v>#VALUE!</v>
      </c>
      <c r="J2517" s="14" t="e">
        <f>=Round(0.00000000,0)</f>
        <v>#VALUE!</v>
      </c>
    </row>
    <row r="2518">
      <c r="A2518" s="11" t="s">
        <v>39</v>
      </c>
      <c r="B2518" s="12">
        <v>3592.281</v>
      </c>
      <c r="C2518" s="12">
        <v>0</v>
      </c>
      <c r="D2518" s="13">
        <v>0</v>
      </c>
      <c r="E2518" s="12">
        <v>0</v>
      </c>
      <c r="F2518" s="14">
        <v>0</v>
      </c>
      <c r="G2518" s="13">
        <v>2177442.5232</v>
      </c>
      <c r="H2518" s="14">
        <v>7821985404.6834192</v>
      </c>
      <c r="I2518" s="14" t="e">
        <f>=Round(176282.97360000,0)</f>
        <v>#VALUE!</v>
      </c>
      <c r="J2518" s="14" t="e">
        <f>=Round(0.00000000,0)</f>
        <v>#VALUE!</v>
      </c>
    </row>
    <row r="2519">
      <c r="A2519" s="11" t="s">
        <v>40</v>
      </c>
      <c r="B2519" s="12">
        <v>3592.9125</v>
      </c>
      <c r="C2519" s="12">
        <v>0</v>
      </c>
      <c r="D2519" s="13">
        <v>0</v>
      </c>
      <c r="E2519" s="12">
        <v>0</v>
      </c>
      <c r="F2519" s="14">
        <v>0</v>
      </c>
      <c r="G2519" s="13">
        <v>2177442.5232</v>
      </c>
      <c r="H2519" s="14">
        <v>7823360459.63682</v>
      </c>
      <c r="I2519" s="14" t="e">
        <f>=Round(176315.24480000,0)</f>
        <v>#VALUE!</v>
      </c>
      <c r="J2519" s="14" t="e">
        <f>=Round(0.00000000,0)</f>
        <v>#VALUE!</v>
      </c>
    </row>
    <row r="2520">
      <c r="A2520" s="11" t="s">
        <v>41</v>
      </c>
      <c r="B2520" s="12">
        <v>3593.5674</v>
      </c>
      <c r="C2520" s="12">
        <v>0</v>
      </c>
      <c r="D2520" s="13">
        <v>0</v>
      </c>
      <c r="E2520" s="12">
        <v>0</v>
      </c>
      <c r="F2520" s="14">
        <v>0</v>
      </c>
      <c r="G2520" s="13">
        <v>2177442.5232</v>
      </c>
      <c r="H2520" s="14">
        <v>7824786466.7452641</v>
      </c>
      <c r="I2520" s="14" t="e">
        <f>=Round(176346.23990000,0)</f>
        <v>#VALUE!</v>
      </c>
      <c r="J2520" s="14" t="e">
        <f>=Round(0.00000000,0)</f>
        <v>#VALUE!</v>
      </c>
    </row>
    <row r="2521">
      <c r="A2521" s="11" t="s">
        <v>42</v>
      </c>
      <c r="B2521" s="12">
        <v>3593.5674</v>
      </c>
      <c r="C2521" s="12">
        <v>0</v>
      </c>
      <c r="D2521" s="13">
        <v>0</v>
      </c>
      <c r="E2521" s="12">
        <v>0</v>
      </c>
      <c r="F2521" s="14">
        <v>0</v>
      </c>
      <c r="G2521" s="13">
        <v>2177442.5232</v>
      </c>
      <c r="H2521" s="14">
        <v>7824786466.7452641</v>
      </c>
      <c r="I2521" s="14" t="e">
        <f>=Round(176378.38350000,0)</f>
        <v>#VALUE!</v>
      </c>
      <c r="J2521" s="14" t="e">
        <f>=Round(0.00000000,0)</f>
        <v>#VALUE!</v>
      </c>
    </row>
    <row r="2522">
      <c r="A2522" s="11" t="s">
        <v>43</v>
      </c>
      <c r="B2522" s="12">
        <v>3593.5674</v>
      </c>
      <c r="C2522" s="12">
        <v>0</v>
      </c>
      <c r="D2522" s="13">
        <v>0</v>
      </c>
      <c r="E2522" s="12">
        <v>0</v>
      </c>
      <c r="F2522" s="14">
        <v>0</v>
      </c>
      <c r="G2522" s="13">
        <v>2177442.5232</v>
      </c>
      <c r="H2522" s="14">
        <v>7824786466.7452641</v>
      </c>
      <c r="I2522" s="14" t="e">
        <f>=Round(176378.38350000,0)</f>
        <v>#VALUE!</v>
      </c>
      <c r="J2522" s="14" t="e">
        <f>=Round(0.00000000,0)</f>
        <v>#VALUE!</v>
      </c>
    </row>
    <row r="2523">
      <c r="A2523" s="11" t="s">
        <v>44</v>
      </c>
      <c r="B2523" s="12">
        <v>3595.5366</v>
      </c>
      <c r="C2523" s="12">
        <v>0</v>
      </c>
      <c r="D2523" s="13">
        <v>0</v>
      </c>
      <c r="E2523" s="12">
        <v>0</v>
      </c>
      <c r="F2523" s="14">
        <v>0</v>
      </c>
      <c r="G2523" s="13">
        <v>2177442.5232</v>
      </c>
      <c r="H2523" s="14">
        <v>7829074286.5619488</v>
      </c>
      <c r="I2523" s="14" t="e">
        <f>=Round(176378.38350000,0)</f>
        <v>#VALUE!</v>
      </c>
      <c r="J2523" s="14" t="e">
        <f>=Round(0.00000000,0)</f>
        <v>#VALUE!</v>
      </c>
    </row>
    <row r="2524">
      <c r="A2524" s="11" t="s">
        <v>45</v>
      </c>
      <c r="B2524" s="12">
        <v>3596.1915</v>
      </c>
      <c r="C2524" s="12">
        <v>0</v>
      </c>
      <c r="D2524" s="13">
        <v>0</v>
      </c>
      <c r="E2524" s="12">
        <v>0</v>
      </c>
      <c r="F2524" s="14">
        <v>0</v>
      </c>
      <c r="G2524" s="13">
        <v>2177442.5232</v>
      </c>
      <c r="H2524" s="14">
        <v>7830500293.670393</v>
      </c>
      <c r="I2524" s="14" t="e">
        <f>=Round(176475.03510000,0)</f>
        <v>#VALUE!</v>
      </c>
      <c r="J2524" s="14" t="e">
        <f>=Round(0.00000000,0)</f>
        <v>#VALUE!</v>
      </c>
    </row>
    <row r="2525">
      <c r="A2525" s="11" t="s">
        <v>46</v>
      </c>
      <c r="B2525" s="12">
        <v>3596.8461</v>
      </c>
      <c r="C2525" s="12">
        <v>0</v>
      </c>
      <c r="D2525" s="13">
        <v>0</v>
      </c>
      <c r="E2525" s="12">
        <v>0</v>
      </c>
      <c r="F2525" s="14">
        <v>0</v>
      </c>
      <c r="G2525" s="13">
        <v>2177442.5232</v>
      </c>
      <c r="H2525" s="14">
        <v>7831925647.54608</v>
      </c>
      <c r="I2525" s="14" t="e">
        <f>=Round(176507.17880000,0)</f>
        <v>#VALUE!</v>
      </c>
      <c r="J2525" s="14" t="e">
        <f>=Round(0.00000000,0)</f>
        <v>#VALUE!</v>
      </c>
    </row>
    <row r="2526">
      <c r="A2526" s="11" t="s">
        <v>47</v>
      </c>
      <c r="B2526" s="12">
        <v>3597.4992</v>
      </c>
      <c r="C2526" s="12">
        <v>0</v>
      </c>
      <c r="D2526" s="13">
        <v>0</v>
      </c>
      <c r="E2526" s="12">
        <v>2177442.5232</v>
      </c>
      <c r="F2526" s="14">
        <v>7833347735</v>
      </c>
      <c r="G2526" s="13">
        <v>2177442.5232</v>
      </c>
      <c r="H2526" s="14">
        <v>7833347735.2579813</v>
      </c>
      <c r="I2526" s="14" t="e">
        <f>=Round(176539.30760000,0)</f>
        <v>#VALUE!</v>
      </c>
      <c r="J2526" s="14" t="e">
        <f>=Round(0.00000000,0)</f>
        <v>#VALUE!</v>
      </c>
    </row>
    <row r="2527">
      <c r="A2527" s="11" t="s">
        <v>48</v>
      </c>
      <c r="B2527" s="12">
        <v>3598.1558</v>
      </c>
      <c r="C2527" s="12">
        <v>0</v>
      </c>
      <c r="D2527" s="13">
        <v>0</v>
      </c>
      <c r="E2527" s="12">
        <v>0</v>
      </c>
      <c r="F2527" s="14">
        <v>0</v>
      </c>
      <c r="G2527" s="13">
        <v>0</v>
      </c>
      <c r="H2527" s="14">
        <v>0</v>
      </c>
      <c r="I2527" s="14" t="e">
        <f>=Round(176571.36290000,0)</f>
        <v>#VALUE!</v>
      </c>
      <c r="J2527" s="14" t="e">
        <f>=Round(0.00000000,0)</f>
        <v>#VALUE!</v>
      </c>
    </row>
    <row r="2528">
      <c r="A2528" s="11" t="s">
        <v>49</v>
      </c>
      <c r="B2528" s="12">
        <v>3598.1558</v>
      </c>
      <c r="C2528" s="12">
        <v>0</v>
      </c>
      <c r="D2528" s="13">
        <v>0</v>
      </c>
      <c r="E2528" s="12">
        <v>0</v>
      </c>
      <c r="F2528" s="14">
        <v>0</v>
      </c>
      <c r="G2528" s="13">
        <v>0</v>
      </c>
      <c r="H2528" s="14">
        <v>0</v>
      </c>
      <c r="I2528" s="14" t="e">
        <f>=Round(0.00000000,0)</f>
        <v>#VALUE!</v>
      </c>
      <c r="J2528" s="14" t="e">
        <f>=Round(0.00000000,0)</f>
        <v>#VALUE!</v>
      </c>
    </row>
    <row r="2529">
      <c r="A2529" s="11" t="s">
        <v>50</v>
      </c>
      <c r="B2529" s="12">
        <v>3598.1558</v>
      </c>
      <c r="C2529" s="12">
        <v>0</v>
      </c>
      <c r="D2529" s="13">
        <v>0</v>
      </c>
      <c r="E2529" s="12">
        <v>0</v>
      </c>
      <c r="F2529" s="14">
        <v>0</v>
      </c>
      <c r="G2529" s="13">
        <v>0</v>
      </c>
      <c r="H2529" s="14">
        <v>0</v>
      </c>
      <c r="I2529" s="14" t="e">
        <f>=Round(0.00000000,0)</f>
        <v>#VALUE!</v>
      </c>
      <c r="J2529" s="14" t="e">
        <f>=Round(0.00000000,0)</f>
        <v>#VALUE!</v>
      </c>
    </row>
    <row r="2530">
      <c r="A2530" s="11" t="s">
        <v>51</v>
      </c>
      <c r="B2530" s="12">
        <v>3600.124</v>
      </c>
      <c r="C2530" s="12">
        <v>0</v>
      </c>
      <c r="D2530" s="13">
        <v>0</v>
      </c>
      <c r="E2530" s="12">
        <v>0</v>
      </c>
      <c r="F2530" s="14">
        <v>0</v>
      </c>
      <c r="G2530" s="13">
        <v>0</v>
      </c>
      <c r="H2530" s="14">
        <v>0</v>
      </c>
      <c r="I2530" s="14" t="e">
        <f>=Round(0.00000000,0)</f>
        <v>#VALUE!</v>
      </c>
      <c r="J2530" s="14" t="e">
        <f>=Round(0.00000000,0)</f>
        <v>#VALUE!</v>
      </c>
    </row>
    <row r="2531">
      <c r="A2531" s="11" t="s">
        <v>52</v>
      </c>
      <c r="B2531" s="12">
        <v>3600.7905</v>
      </c>
      <c r="C2531" s="12">
        <v>0</v>
      </c>
      <c r="D2531" s="13">
        <v>0</v>
      </c>
      <c r="E2531" s="12">
        <v>0</v>
      </c>
      <c r="F2531" s="14">
        <v>0</v>
      </c>
      <c r="G2531" s="13">
        <v>0</v>
      </c>
      <c r="H2531" s="14">
        <v>0</v>
      </c>
      <c r="I2531" s="14" t="e">
        <f>=Round(0.00000000,0)</f>
        <v>#VALUE!</v>
      </c>
      <c r="J2531" s="14" t="e">
        <f>=Round(0.00000000,0)</f>
        <v>#VALUE!</v>
      </c>
    </row>
    <row r="2532">
      <c r="A2532" s="11" t="s">
        <v>53</v>
      </c>
      <c r="B2532" s="12">
        <v>3601.445</v>
      </c>
      <c r="C2532" s="12">
        <v>0</v>
      </c>
      <c r="D2532" s="13">
        <v>0</v>
      </c>
      <c r="E2532" s="12">
        <v>0</v>
      </c>
      <c r="F2532" s="14">
        <v>0</v>
      </c>
      <c r="G2532" s="13">
        <v>0</v>
      </c>
      <c r="H2532" s="14">
        <v>0</v>
      </c>
      <c r="I2532" s="14" t="e">
        <f>=Round(0.00000000,0)</f>
        <v>#VALUE!</v>
      </c>
      <c r="J2532" s="14" t="e">
        <f>=Round(0.00000000,0)</f>
        <v>#VALUE!</v>
      </c>
    </row>
    <row r="2533">
      <c r="A2533" s="11" t="s">
        <v>54</v>
      </c>
      <c r="B2533" s="12">
        <v>3602.0851</v>
      </c>
      <c r="C2533" s="12">
        <v>0</v>
      </c>
      <c r="D2533" s="13">
        <v>0</v>
      </c>
      <c r="E2533" s="12">
        <v>0</v>
      </c>
      <c r="F2533" s="14">
        <v>0</v>
      </c>
      <c r="G2533" s="13">
        <v>0</v>
      </c>
      <c r="H2533" s="14">
        <v>0</v>
      </c>
      <c r="I2533" s="14" t="e">
        <f>=Round(0.00000000,0)</f>
        <v>#VALUE!</v>
      </c>
      <c r="J2533" s="14" t="e">
        <f>=Round(0.00000000,0)</f>
        <v>#VALUE!</v>
      </c>
    </row>
    <row r="2534">
      <c r="A2534" s="11" t="s">
        <v>55</v>
      </c>
      <c r="B2534" s="12">
        <v>3602.7417</v>
      </c>
      <c r="C2534" s="12">
        <v>0</v>
      </c>
      <c r="D2534" s="13">
        <v>0</v>
      </c>
      <c r="E2534" s="12">
        <v>0</v>
      </c>
      <c r="F2534" s="14">
        <v>0</v>
      </c>
      <c r="G2534" s="13">
        <v>0</v>
      </c>
      <c r="H2534" s="14">
        <v>0</v>
      </c>
      <c r="I2534" s="14" t="e">
        <f>=Round(0.00000000,0)</f>
        <v>#VALUE!</v>
      </c>
      <c r="J2534" s="14" t="e">
        <f>=Round(0.00000000,0)</f>
        <v>#VALUE!</v>
      </c>
    </row>
    <row r="2535" ht="-1">
      <c r="A2535" s="15"/>
      <c r="B2535" s="16" t="s">
        <v>56</v>
      </c>
      <c r="C2535" s="15"/>
      <c r="D2535" s="15"/>
      <c r="E2535" s="15"/>
      <c r="F2535" s="15"/>
      <c r="G2535" s="15"/>
      <c r="H2535" s="15"/>
      <c r="I2535" s="17" t="e">
        <f>=Round(SUM(I2509:I2534),0)</f>
        <v>#VALUE!</v>
      </c>
      <c r="J2535" s="17" t="e">
        <f>=Round(SUM(J2509:J2534),0)</f>
        <v>#VALUE!</v>
      </c>
    </row>
    <row r="2536">
      <c r="A2536" s="1" t="s">
        <v>0</v>
      </c>
      <c r="B2536" s="1"/>
      <c r="C2536" s="1"/>
      <c r="D2536" s="1"/>
    </row>
    <row r="2537">
      <c r="A2537" s="0" t="s">
        <v>1</v>
      </c>
      <c r="C2537" s="0" t="s">
        <v>2</v>
      </c>
      <c r="H2537" s="2" t="s">
        <v>3</v>
      </c>
    </row>
    <row r="2538">
      <c r="A2538" s="0" t="s">
        <v>4</v>
      </c>
      <c r="C2538" s="0" t="s">
        <v>121</v>
      </c>
      <c r="H2538" s="3" t="s">
        <v>6</v>
      </c>
    </row>
    <row r="2539">
      <c r="A2539" s="0" t="s">
        <v>7</v>
      </c>
      <c r="C2539" s="4" t="s">
        <v>8</v>
      </c>
      <c r="H2539" s="2" t="s">
        <v>9</v>
      </c>
    </row>
    <row r="2540">
      <c r="A2540" s="0" t="s">
        <v>10</v>
      </c>
      <c r="C2540" s="4" t="s">
        <v>11</v>
      </c>
      <c r="H2540" s="2" t="s">
        <v>12</v>
      </c>
    </row>
    <row r="2541">
      <c r="A2541" s="0" t="s">
        <v>13</v>
      </c>
      <c r="C2541" s="0" t="s">
        <v>14</v>
      </c>
    </row>
    <row r="2542">
      <c r="A2542" s="0" t="s">
        <v>15</v>
      </c>
      <c r="C2542" s="0" t="s">
        <v>16</v>
      </c>
    </row>
    <row r="2543">
      <c r="A2543" s="0" t="s">
        <v>17</v>
      </c>
      <c r="C2543" s="0" t="s">
        <v>18</v>
      </c>
    </row>
    <row r="2546">
      <c r="A2546" s="5" t="s">
        <v>19</v>
      </c>
      <c r="B2546" s="5" t="s">
        <v>20</v>
      </c>
      <c r="C2546" s="7" t="s">
        <v>21</v>
      </c>
      <c r="D2546" s="9"/>
      <c r="E2546" s="7" t="s">
        <v>22</v>
      </c>
      <c r="F2546" s="9"/>
      <c r="G2546" s="5" t="s">
        <v>23</v>
      </c>
      <c r="H2546" s="5" t="s">
        <v>24</v>
      </c>
      <c r="I2546" s="5" t="s">
        <v>25</v>
      </c>
      <c r="J2546" s="5" t="s">
        <v>26</v>
      </c>
    </row>
    <row r="2547">
      <c r="A2547" s="6"/>
      <c r="B2547" s="6"/>
      <c r="C2547" s="8" t="s">
        <v>27</v>
      </c>
      <c r="D2547" s="8" t="s">
        <v>28</v>
      </c>
      <c r="E2547" s="8" t="s">
        <v>27</v>
      </c>
      <c r="F2547" s="8" t="s">
        <v>28</v>
      </c>
      <c r="G2547" s="6"/>
      <c r="H2547" s="6"/>
      <c r="I2547" s="10" t="s">
        <v>29</v>
      </c>
      <c r="J2547" s="6"/>
    </row>
    <row r="2548">
      <c r="A2548" s="11" t="s">
        <v>30</v>
      </c>
      <c r="B2548" s="12">
        <v>3586.4187</v>
      </c>
      <c r="C2548" s="12">
        <v>0</v>
      </c>
      <c r="D2548" s="13">
        <v>0</v>
      </c>
      <c r="E2548" s="12">
        <v>0</v>
      </c>
      <c r="F2548" s="14">
        <v>0</v>
      </c>
      <c r="G2548" s="13">
        <v>2790047.0551000005</v>
      </c>
      <c r="H2548" s="14">
        <v>10006276932.290569</v>
      </c>
      <c r="I2548" s="14" t="e">
        <f>=Round(225427.29180000,0)</f>
        <v>#VALUE!</v>
      </c>
      <c r="J2548" s="14" t="e">
        <f>=Round(0.00000000,0)</f>
        <v>#VALUE!</v>
      </c>
    </row>
    <row r="2549">
      <c r="A2549" s="11" t="s">
        <v>31</v>
      </c>
      <c r="B2549" s="12">
        <v>3587.0477</v>
      </c>
      <c r="C2549" s="12">
        <v>0</v>
      </c>
      <c r="D2549" s="13">
        <v>0</v>
      </c>
      <c r="E2549" s="12">
        <v>0</v>
      </c>
      <c r="F2549" s="14">
        <v>0</v>
      </c>
      <c r="G2549" s="13">
        <v>2790047.0551000005</v>
      </c>
      <c r="H2549" s="14">
        <v>10008031871.888228</v>
      </c>
      <c r="I2549" s="14" t="e">
        <f>=Round(225551.32430000,0)</f>
        <v>#VALUE!</v>
      </c>
      <c r="J2549" s="14" t="e">
        <f>=Round(0.00000000,0)</f>
        <v>#VALUE!</v>
      </c>
    </row>
    <row r="2550">
      <c r="A2550" s="11" t="s">
        <v>32</v>
      </c>
      <c r="B2550" s="12">
        <v>3587.6685</v>
      </c>
      <c r="C2550" s="12">
        <v>0</v>
      </c>
      <c r="D2550" s="13">
        <v>0</v>
      </c>
      <c r="E2550" s="12">
        <v>0</v>
      </c>
      <c r="F2550" s="14">
        <v>0</v>
      </c>
      <c r="G2550" s="13">
        <v>2790047.0551000005</v>
      </c>
      <c r="H2550" s="14">
        <v>10009763933.100035</v>
      </c>
      <c r="I2550" s="14" t="e">
        <f>=Round(225590.88240000,0)</f>
        <v>#VALUE!</v>
      </c>
      <c r="J2550" s="14" t="e">
        <f>=Round(0.00000000,0)</f>
        <v>#VALUE!</v>
      </c>
    </row>
    <row r="2551">
      <c r="A2551" s="11" t="s">
        <v>33</v>
      </c>
      <c r="B2551" s="12">
        <v>3588.3573</v>
      </c>
      <c r="C2551" s="12">
        <v>0</v>
      </c>
      <c r="D2551" s="13">
        <v>0</v>
      </c>
      <c r="E2551" s="12">
        <v>0</v>
      </c>
      <c r="F2551" s="14">
        <v>0</v>
      </c>
      <c r="G2551" s="13">
        <v>2790047.0551000005</v>
      </c>
      <c r="H2551" s="14">
        <v>10011685717.511587</v>
      </c>
      <c r="I2551" s="14" t="e">
        <f>=Round(225629.92470000,0)</f>
        <v>#VALUE!</v>
      </c>
      <c r="J2551" s="14" t="e">
        <f>=Round(0.00000000,0)</f>
        <v>#VALUE!</v>
      </c>
    </row>
    <row r="2552">
      <c r="A2552" s="11" t="s">
        <v>34</v>
      </c>
      <c r="B2552" s="12">
        <v>3589.0109</v>
      </c>
      <c r="C2552" s="12">
        <v>0</v>
      </c>
      <c r="D2552" s="13">
        <v>0</v>
      </c>
      <c r="E2552" s="12">
        <v>0</v>
      </c>
      <c r="F2552" s="14">
        <v>0</v>
      </c>
      <c r="G2552" s="13">
        <v>2790047.0551000005</v>
      </c>
      <c r="H2552" s="14">
        <v>10013509292.2668</v>
      </c>
      <c r="I2552" s="14" t="e">
        <f>=Round(225673.24360000,0)</f>
        <v>#VALUE!</v>
      </c>
      <c r="J2552" s="14" t="e">
        <f>=Round(0.00000000,0)</f>
        <v>#VALUE!</v>
      </c>
    </row>
    <row r="2553">
      <c r="A2553" s="11" t="s">
        <v>35</v>
      </c>
      <c r="B2553" s="12">
        <v>3589.0109</v>
      </c>
      <c r="C2553" s="12">
        <v>0</v>
      </c>
      <c r="D2553" s="13">
        <v>0</v>
      </c>
      <c r="E2553" s="12">
        <v>0</v>
      </c>
      <c r="F2553" s="14">
        <v>0</v>
      </c>
      <c r="G2553" s="13">
        <v>2790047.0551000005</v>
      </c>
      <c r="H2553" s="14">
        <v>10013509292.2668</v>
      </c>
      <c r="I2553" s="14" t="e">
        <f>=Round(225714.34880000,0)</f>
        <v>#VALUE!</v>
      </c>
      <c r="J2553" s="14" t="e">
        <f>=Round(0.00000000,0)</f>
        <v>#VALUE!</v>
      </c>
    </row>
    <row r="2554">
      <c r="A2554" s="11" t="s">
        <v>36</v>
      </c>
      <c r="B2554" s="12">
        <v>3589.0109</v>
      </c>
      <c r="C2554" s="12">
        <v>0</v>
      </c>
      <c r="D2554" s="13">
        <v>0</v>
      </c>
      <c r="E2554" s="12">
        <v>0</v>
      </c>
      <c r="F2554" s="14">
        <v>0</v>
      </c>
      <c r="G2554" s="13">
        <v>2790047.0551000005</v>
      </c>
      <c r="H2554" s="14">
        <v>10013509292.2668</v>
      </c>
      <c r="I2554" s="14" t="e">
        <f>=Round(225714.34880000,0)</f>
        <v>#VALUE!</v>
      </c>
      <c r="J2554" s="14" t="e">
        <f>=Round(0.00000000,0)</f>
        <v>#VALUE!</v>
      </c>
    </row>
    <row r="2555">
      <c r="A2555" s="11" t="s">
        <v>37</v>
      </c>
      <c r="B2555" s="12">
        <v>3590.972</v>
      </c>
      <c r="C2555" s="12">
        <v>0</v>
      </c>
      <c r="D2555" s="13">
        <v>0</v>
      </c>
      <c r="E2555" s="12">
        <v>0</v>
      </c>
      <c r="F2555" s="14">
        <v>0</v>
      </c>
      <c r="G2555" s="13">
        <v>2790047.0551000005</v>
      </c>
      <c r="H2555" s="14">
        <v>10018980853.546557</v>
      </c>
      <c r="I2555" s="14" t="e">
        <f>=Round(225714.34880000,0)</f>
        <v>#VALUE!</v>
      </c>
      <c r="J2555" s="14" t="e">
        <f>=Round(0.00000000,0)</f>
        <v>#VALUE!</v>
      </c>
    </row>
    <row r="2556">
      <c r="A2556" s="11" t="s">
        <v>38</v>
      </c>
      <c r="B2556" s="12">
        <v>3591.6235</v>
      </c>
      <c r="C2556" s="12">
        <v>0</v>
      </c>
      <c r="D2556" s="13">
        <v>0</v>
      </c>
      <c r="E2556" s="12">
        <v>0</v>
      </c>
      <c r="F2556" s="14">
        <v>0</v>
      </c>
      <c r="G2556" s="13">
        <v>2790047.0551000005</v>
      </c>
      <c r="H2556" s="14">
        <v>10020798569.202955</v>
      </c>
      <c r="I2556" s="14" t="e">
        <f>=Round(225837.68320000,0)</f>
        <v>#VALUE!</v>
      </c>
      <c r="J2556" s="14" t="e">
        <f>=Round(0.00000000,0)</f>
        <v>#VALUE!</v>
      </c>
    </row>
    <row r="2557">
      <c r="A2557" s="11" t="s">
        <v>39</v>
      </c>
      <c r="B2557" s="12">
        <v>3592.281</v>
      </c>
      <c r="C2557" s="12">
        <v>0</v>
      </c>
      <c r="D2557" s="13">
        <v>0</v>
      </c>
      <c r="E2557" s="12">
        <v>0</v>
      </c>
      <c r="F2557" s="14">
        <v>0</v>
      </c>
      <c r="G2557" s="13">
        <v>2790047.0551000005</v>
      </c>
      <c r="H2557" s="14">
        <v>10022633025.141684</v>
      </c>
      <c r="I2557" s="14" t="e">
        <f>=Round(225878.65630000,0)</f>
        <v>#VALUE!</v>
      </c>
      <c r="J2557" s="14" t="e">
        <f>=Round(0.00000000,0)</f>
        <v>#VALUE!</v>
      </c>
    </row>
    <row r="2558">
      <c r="A2558" s="11" t="s">
        <v>40</v>
      </c>
      <c r="B2558" s="12">
        <v>3592.9125</v>
      </c>
      <c r="C2558" s="12">
        <v>0</v>
      </c>
      <c r="D2558" s="13">
        <v>0</v>
      </c>
      <c r="E2558" s="12">
        <v>0</v>
      </c>
      <c r="F2558" s="14">
        <v>0</v>
      </c>
      <c r="G2558" s="13">
        <v>2790047.0551000005</v>
      </c>
      <c r="H2558" s="14">
        <v>10024394939.856979</v>
      </c>
      <c r="I2558" s="14" t="e">
        <f>=Round(225920.00670000,0)</f>
        <v>#VALUE!</v>
      </c>
      <c r="J2558" s="14" t="e">
        <f>=Round(0.00000000,0)</f>
        <v>#VALUE!</v>
      </c>
    </row>
    <row r="2559">
      <c r="A2559" s="11" t="s">
        <v>41</v>
      </c>
      <c r="B2559" s="12">
        <v>3593.5674</v>
      </c>
      <c r="C2559" s="12">
        <v>0</v>
      </c>
      <c r="D2559" s="13">
        <v>0</v>
      </c>
      <c r="E2559" s="12">
        <v>0</v>
      </c>
      <c r="F2559" s="14">
        <v>0</v>
      </c>
      <c r="G2559" s="13">
        <v>2790047.0551000005</v>
      </c>
      <c r="H2559" s="14">
        <v>10026222141.673365</v>
      </c>
      <c r="I2559" s="14" t="e">
        <f>=Round(225959.72200000,0)</f>
        <v>#VALUE!</v>
      </c>
      <c r="J2559" s="14" t="e">
        <f>=Round(0.00000000,0)</f>
        <v>#VALUE!</v>
      </c>
    </row>
    <row r="2560">
      <c r="A2560" s="11" t="s">
        <v>42</v>
      </c>
      <c r="B2560" s="12">
        <v>3593.5674</v>
      </c>
      <c r="C2560" s="12">
        <v>0</v>
      </c>
      <c r="D2560" s="13">
        <v>0</v>
      </c>
      <c r="E2560" s="12">
        <v>0</v>
      </c>
      <c r="F2560" s="14">
        <v>0</v>
      </c>
      <c r="G2560" s="13">
        <v>2790047.0551000005</v>
      </c>
      <c r="H2560" s="14">
        <v>10026222141.673365</v>
      </c>
      <c r="I2560" s="14" t="e">
        <f>=Round(226000.90890000,0)</f>
        <v>#VALUE!</v>
      </c>
      <c r="J2560" s="14" t="e">
        <f>=Round(0.00000000,0)</f>
        <v>#VALUE!</v>
      </c>
    </row>
    <row r="2561">
      <c r="A2561" s="11" t="s">
        <v>43</v>
      </c>
      <c r="B2561" s="12">
        <v>3593.5674</v>
      </c>
      <c r="C2561" s="12">
        <v>0</v>
      </c>
      <c r="D2561" s="13">
        <v>0</v>
      </c>
      <c r="E2561" s="12">
        <v>0</v>
      </c>
      <c r="F2561" s="14">
        <v>0</v>
      </c>
      <c r="G2561" s="13">
        <v>2790047.0551000005</v>
      </c>
      <c r="H2561" s="14">
        <v>10026222141.673365</v>
      </c>
      <c r="I2561" s="14" t="e">
        <f>=Round(226000.90890000,0)</f>
        <v>#VALUE!</v>
      </c>
      <c r="J2561" s="14" t="e">
        <f>=Round(0.00000000,0)</f>
        <v>#VALUE!</v>
      </c>
    </row>
    <row r="2562">
      <c r="A2562" s="11" t="s">
        <v>44</v>
      </c>
      <c r="B2562" s="12">
        <v>3595.5366</v>
      </c>
      <c r="C2562" s="12">
        <v>0</v>
      </c>
      <c r="D2562" s="13">
        <v>0</v>
      </c>
      <c r="E2562" s="12">
        <v>0</v>
      </c>
      <c r="F2562" s="14">
        <v>0</v>
      </c>
      <c r="G2562" s="13">
        <v>2790047.0551000005</v>
      </c>
      <c r="H2562" s="14">
        <v>10031716302.334269</v>
      </c>
      <c r="I2562" s="14" t="e">
        <f>=Round(226000.90890000,0)</f>
        <v>#VALUE!</v>
      </c>
      <c r="J2562" s="14" t="e">
        <f>=Round(0.00000000,0)</f>
        <v>#VALUE!</v>
      </c>
    </row>
    <row r="2563">
      <c r="A2563" s="11" t="s">
        <v>45</v>
      </c>
      <c r="B2563" s="12">
        <v>3596.1915</v>
      </c>
      <c r="C2563" s="12">
        <v>0</v>
      </c>
      <c r="D2563" s="13">
        <v>0</v>
      </c>
      <c r="E2563" s="12">
        <v>0</v>
      </c>
      <c r="F2563" s="14">
        <v>0</v>
      </c>
      <c r="G2563" s="13">
        <v>2790047.0551000005</v>
      </c>
      <c r="H2563" s="14">
        <v>10033543504.150652</v>
      </c>
      <c r="I2563" s="14" t="e">
        <f>=Round(226124.75270000,0)</f>
        <v>#VALUE!</v>
      </c>
      <c r="J2563" s="14" t="e">
        <f>=Round(0.00000000,0)</f>
        <v>#VALUE!</v>
      </c>
    </row>
    <row r="2564">
      <c r="A2564" s="11" t="s">
        <v>46</v>
      </c>
      <c r="B2564" s="12">
        <v>3596.8461</v>
      </c>
      <c r="C2564" s="12">
        <v>0</v>
      </c>
      <c r="D2564" s="13">
        <v>0</v>
      </c>
      <c r="E2564" s="12">
        <v>0</v>
      </c>
      <c r="F2564" s="14">
        <v>0</v>
      </c>
      <c r="G2564" s="13">
        <v>2790047.0551000005</v>
      </c>
      <c r="H2564" s="14">
        <v>10035369868.952921</v>
      </c>
      <c r="I2564" s="14" t="e">
        <f>=Round(226165.93960000,0)</f>
        <v>#VALUE!</v>
      </c>
      <c r="J2564" s="14" t="e">
        <f>=Round(0.00000000,0)</f>
        <v>#VALUE!</v>
      </c>
    </row>
    <row r="2565">
      <c r="A2565" s="11" t="s">
        <v>47</v>
      </c>
      <c r="B2565" s="12">
        <v>3597.4992</v>
      </c>
      <c r="C2565" s="12">
        <v>0</v>
      </c>
      <c r="D2565" s="13">
        <v>0</v>
      </c>
      <c r="E2565" s="12">
        <v>0</v>
      </c>
      <c r="F2565" s="14">
        <v>0</v>
      </c>
      <c r="G2565" s="13">
        <v>2790047.0551000005</v>
      </c>
      <c r="H2565" s="14">
        <v>10037192048.684607</v>
      </c>
      <c r="I2565" s="14" t="e">
        <f>=Round(226207.10770000,0)</f>
        <v>#VALUE!</v>
      </c>
      <c r="J2565" s="14" t="e">
        <f>=Round(0.00000000,0)</f>
        <v>#VALUE!</v>
      </c>
    </row>
    <row r="2566">
      <c r="A2566" s="11" t="s">
        <v>48</v>
      </c>
      <c r="B2566" s="12">
        <v>3598.1558</v>
      </c>
      <c r="C2566" s="12">
        <v>0</v>
      </c>
      <c r="D2566" s="13">
        <v>0</v>
      </c>
      <c r="E2566" s="12">
        <v>0</v>
      </c>
      <c r="F2566" s="14">
        <v>0</v>
      </c>
      <c r="G2566" s="13">
        <v>2790047.0551000005</v>
      </c>
      <c r="H2566" s="14">
        <v>10039023993.580984</v>
      </c>
      <c r="I2566" s="14" t="e">
        <f>=Round(226248.18140000,0)</f>
        <v>#VALUE!</v>
      </c>
      <c r="J2566" s="14" t="e">
        <f>=Round(0.00000000,0)</f>
        <v>#VALUE!</v>
      </c>
    </row>
    <row r="2567">
      <c r="A2567" s="11" t="s">
        <v>49</v>
      </c>
      <c r="B2567" s="12">
        <v>3598.1558</v>
      </c>
      <c r="C2567" s="12">
        <v>0</v>
      </c>
      <c r="D2567" s="13">
        <v>0</v>
      </c>
      <c r="E2567" s="12">
        <v>0</v>
      </c>
      <c r="F2567" s="14">
        <v>0</v>
      </c>
      <c r="G2567" s="13">
        <v>2790047.0551000005</v>
      </c>
      <c r="H2567" s="14">
        <v>10039023993.580984</v>
      </c>
      <c r="I2567" s="14" t="e">
        <f>=Round(226289.47530000,0)</f>
        <v>#VALUE!</v>
      </c>
      <c r="J2567" s="14" t="e">
        <f>=Round(0.00000000,0)</f>
        <v>#VALUE!</v>
      </c>
    </row>
    <row r="2568">
      <c r="A2568" s="11" t="s">
        <v>50</v>
      </c>
      <c r="B2568" s="12">
        <v>3598.1558</v>
      </c>
      <c r="C2568" s="12">
        <v>0</v>
      </c>
      <c r="D2568" s="13">
        <v>0</v>
      </c>
      <c r="E2568" s="12">
        <v>0</v>
      </c>
      <c r="F2568" s="14">
        <v>0</v>
      </c>
      <c r="G2568" s="13">
        <v>2790047.0551000005</v>
      </c>
      <c r="H2568" s="14">
        <v>10039023993.580984</v>
      </c>
      <c r="I2568" s="14" t="e">
        <f>=Round(226289.47530000,0)</f>
        <v>#VALUE!</v>
      </c>
      <c r="J2568" s="14" t="e">
        <f>=Round(0.00000000,0)</f>
        <v>#VALUE!</v>
      </c>
    </row>
    <row r="2569">
      <c r="A2569" s="11" t="s">
        <v>51</v>
      </c>
      <c r="B2569" s="12">
        <v>3600.124</v>
      </c>
      <c r="C2569" s="12">
        <v>0</v>
      </c>
      <c r="D2569" s="13">
        <v>0</v>
      </c>
      <c r="E2569" s="12">
        <v>14721.7151</v>
      </c>
      <c r="F2569" s="14">
        <v>53000000</v>
      </c>
      <c r="G2569" s="13">
        <v>2790047.0551000005</v>
      </c>
      <c r="H2569" s="14">
        <v>10044515364.194832</v>
      </c>
      <c r="I2569" s="14" t="e">
        <f>=Round(226289.47530000,0)</f>
        <v>#VALUE!</v>
      </c>
      <c r="J2569" s="14" t="e">
        <f>=Round(0.00000000,0)</f>
        <v>#VALUE!</v>
      </c>
    </row>
    <row r="2570">
      <c r="A2570" s="11" t="s">
        <v>52</v>
      </c>
      <c r="B2570" s="12">
        <v>3600.7905</v>
      </c>
      <c r="C2570" s="12">
        <v>0</v>
      </c>
      <c r="D2570" s="13">
        <v>0</v>
      </c>
      <c r="E2570" s="12">
        <v>0</v>
      </c>
      <c r="F2570" s="14">
        <v>0</v>
      </c>
      <c r="G2570" s="13">
        <v>2775325.34</v>
      </c>
      <c r="H2570" s="14">
        <v>9993365118.68127</v>
      </c>
      <c r="I2570" s="14" t="e">
        <f>=Round(226413.25620000,0)</f>
        <v>#VALUE!</v>
      </c>
      <c r="J2570" s="14" t="e">
        <f>=Round(0.00000000,0)</f>
        <v>#VALUE!</v>
      </c>
    </row>
    <row r="2571">
      <c r="A2571" s="11" t="s">
        <v>53</v>
      </c>
      <c r="B2571" s="12">
        <v>3601.445</v>
      </c>
      <c r="C2571" s="12">
        <v>0</v>
      </c>
      <c r="D2571" s="13">
        <v>0</v>
      </c>
      <c r="E2571" s="12">
        <v>0</v>
      </c>
      <c r="F2571" s="14">
        <v>0</v>
      </c>
      <c r="G2571" s="13">
        <v>2775325.34</v>
      </c>
      <c r="H2571" s="14">
        <v>9995181569.1163</v>
      </c>
      <c r="I2571" s="14" t="e">
        <f>=Round(225260.27930000,0)</f>
        <v>#VALUE!</v>
      </c>
      <c r="J2571" s="14" t="e">
        <f>=Round(0.00000000,0)</f>
        <v>#VALUE!</v>
      </c>
    </row>
    <row r="2572">
      <c r="A2572" s="11" t="s">
        <v>54</v>
      </c>
      <c r="B2572" s="12">
        <v>3602.0851</v>
      </c>
      <c r="C2572" s="12">
        <v>0</v>
      </c>
      <c r="D2572" s="13">
        <v>0</v>
      </c>
      <c r="E2572" s="12">
        <v>0</v>
      </c>
      <c r="F2572" s="14">
        <v>0</v>
      </c>
      <c r="G2572" s="13">
        <v>2775325.34</v>
      </c>
      <c r="H2572" s="14">
        <v>9996958054.8664341</v>
      </c>
      <c r="I2572" s="14" t="e">
        <f>=Round(225301.22390000,0)</f>
        <v>#VALUE!</v>
      </c>
      <c r="J2572" s="14" t="e">
        <f>=Round(0.00000000,0)</f>
        <v>#VALUE!</v>
      </c>
    </row>
    <row r="2573">
      <c r="A2573" s="11" t="s">
        <v>55</v>
      </c>
      <c r="B2573" s="12">
        <v>3602.7417</v>
      </c>
      <c r="C2573" s="12">
        <v>0</v>
      </c>
      <c r="D2573" s="13">
        <v>0</v>
      </c>
      <c r="E2573" s="12">
        <v>0</v>
      </c>
      <c r="F2573" s="14">
        <v>0</v>
      </c>
      <c r="G2573" s="13">
        <v>2775325.34</v>
      </c>
      <c r="H2573" s="14">
        <v>9998780333.4846783</v>
      </c>
      <c r="I2573" s="14" t="e">
        <f>=Round(225341.26760000,0)</f>
        <v>#VALUE!</v>
      </c>
      <c r="J2573" s="14" t="e">
        <f>=Round(0.00000000,0)</f>
        <v>#VALUE!</v>
      </c>
    </row>
    <row r="2574" ht="-1">
      <c r="A2574" s="15"/>
      <c r="B2574" s="16" t="s">
        <v>56</v>
      </c>
      <c r="C2574" s="15"/>
      <c r="D2574" s="15"/>
      <c r="E2574" s="15"/>
      <c r="F2574" s="15"/>
      <c r="G2574" s="15"/>
      <c r="H2574" s="15"/>
      <c r="I2574" s="17" t="e">
        <f>=Round(SUM(I2548:I2573),0)</f>
        <v>#VALUE!</v>
      </c>
      <c r="J2574" s="17" t="e">
        <f>=Round(SUM(J2548:J2573),0)</f>
        <v>#VALUE!</v>
      </c>
    </row>
    <row r="2575">
      <c r="A2575" s="1" t="s">
        <v>0</v>
      </c>
      <c r="B2575" s="1"/>
      <c r="C2575" s="1"/>
      <c r="D2575" s="1"/>
    </row>
    <row r="2576">
      <c r="A2576" s="0" t="s">
        <v>1</v>
      </c>
      <c r="C2576" s="0" t="s">
        <v>2</v>
      </c>
      <c r="H2576" s="2" t="s">
        <v>3</v>
      </c>
    </row>
    <row r="2577">
      <c r="A2577" s="0" t="s">
        <v>4</v>
      </c>
      <c r="C2577" s="0" t="s">
        <v>122</v>
      </c>
      <c r="H2577" s="3" t="s">
        <v>6</v>
      </c>
    </row>
    <row r="2578">
      <c r="A2578" s="0" t="s">
        <v>7</v>
      </c>
      <c r="C2578" s="4" t="s">
        <v>8</v>
      </c>
      <c r="H2578" s="2" t="s">
        <v>9</v>
      </c>
    </row>
    <row r="2579">
      <c r="A2579" s="0" t="s">
        <v>10</v>
      </c>
      <c r="C2579" s="4" t="s">
        <v>11</v>
      </c>
      <c r="H2579" s="2" t="s">
        <v>12</v>
      </c>
    </row>
    <row r="2580">
      <c r="A2580" s="0" t="s">
        <v>13</v>
      </c>
      <c r="C2580" s="0" t="s">
        <v>14</v>
      </c>
    </row>
    <row r="2581">
      <c r="A2581" s="0" t="s">
        <v>15</v>
      </c>
      <c r="C2581" s="0" t="s">
        <v>16</v>
      </c>
    </row>
    <row r="2582">
      <c r="A2582" s="0" t="s">
        <v>17</v>
      </c>
      <c r="C2582" s="0" t="s">
        <v>18</v>
      </c>
    </row>
    <row r="2585">
      <c r="A2585" s="5" t="s">
        <v>19</v>
      </c>
      <c r="B2585" s="5" t="s">
        <v>20</v>
      </c>
      <c r="C2585" s="7" t="s">
        <v>21</v>
      </c>
      <c r="D2585" s="9"/>
      <c r="E2585" s="7" t="s">
        <v>22</v>
      </c>
      <c r="F2585" s="9"/>
      <c r="G2585" s="5" t="s">
        <v>23</v>
      </c>
      <c r="H2585" s="5" t="s">
        <v>24</v>
      </c>
      <c r="I2585" s="5" t="s">
        <v>25</v>
      </c>
      <c r="J2585" s="5" t="s">
        <v>26</v>
      </c>
    </row>
    <row r="2586">
      <c r="A2586" s="6"/>
      <c r="B2586" s="6"/>
      <c r="C2586" s="8" t="s">
        <v>27</v>
      </c>
      <c r="D2586" s="8" t="s">
        <v>28</v>
      </c>
      <c r="E2586" s="8" t="s">
        <v>27</v>
      </c>
      <c r="F2586" s="8" t="s">
        <v>28</v>
      </c>
      <c r="G2586" s="6"/>
      <c r="H2586" s="6"/>
      <c r="I2586" s="10" t="s">
        <v>29</v>
      </c>
      <c r="J2586" s="6"/>
    </row>
    <row r="2587">
      <c r="A2587" s="11" t="s">
        <v>30</v>
      </c>
      <c r="B2587" s="12">
        <v>3586.4187</v>
      </c>
      <c r="C2587" s="12">
        <v>0</v>
      </c>
      <c r="D2587" s="13">
        <v>0</v>
      </c>
      <c r="E2587" s="12">
        <v>0</v>
      </c>
      <c r="F2587" s="14">
        <v>0</v>
      </c>
      <c r="G2587" s="13">
        <v>42245495.6726</v>
      </c>
      <c r="H2587" s="14">
        <v>151510035670.98172</v>
      </c>
      <c r="I2587" s="14" t="e">
        <f>=Round(3413307.19290000,0)</f>
        <v>#VALUE!</v>
      </c>
      <c r="J2587" s="14" t="e">
        <f>=Round(0.00000000,0)</f>
        <v>#VALUE!</v>
      </c>
    </row>
    <row r="2588">
      <c r="A2588" s="11" t="s">
        <v>31</v>
      </c>
      <c r="B2588" s="12">
        <v>3587.0477</v>
      </c>
      <c r="C2588" s="12">
        <v>0</v>
      </c>
      <c r="D2588" s="13">
        <v>0</v>
      </c>
      <c r="E2588" s="12">
        <v>0</v>
      </c>
      <c r="F2588" s="14">
        <v>0</v>
      </c>
      <c r="G2588" s="13">
        <v>42245495.6726</v>
      </c>
      <c r="H2588" s="14">
        <v>151536608087.75977</v>
      </c>
      <c r="I2588" s="14" t="e">
        <f>=Round(3415185.23030000,0)</f>
        <v>#VALUE!</v>
      </c>
      <c r="J2588" s="14" t="e">
        <f>=Round(0.00000000,0)</f>
        <v>#VALUE!</v>
      </c>
    </row>
    <row r="2589">
      <c r="A2589" s="11" t="s">
        <v>32</v>
      </c>
      <c r="B2589" s="12">
        <v>3587.6685</v>
      </c>
      <c r="C2589" s="12">
        <v>0</v>
      </c>
      <c r="D2589" s="13">
        <v>0</v>
      </c>
      <c r="E2589" s="12">
        <v>0</v>
      </c>
      <c r="F2589" s="14">
        <v>0</v>
      </c>
      <c r="G2589" s="13">
        <v>42245495.6726</v>
      </c>
      <c r="H2589" s="14">
        <v>151562834091.47336</v>
      </c>
      <c r="I2589" s="14" t="e">
        <f>=Round(3415784.19870000,0)</f>
        <v>#VALUE!</v>
      </c>
      <c r="J2589" s="14" t="e">
        <f>=Round(0.00000000,0)</f>
        <v>#VALUE!</v>
      </c>
    </row>
    <row r="2590">
      <c r="A2590" s="11" t="s">
        <v>33</v>
      </c>
      <c r="B2590" s="12">
        <v>3588.3573</v>
      </c>
      <c r="C2590" s="12">
        <v>0</v>
      </c>
      <c r="D2590" s="13">
        <v>0</v>
      </c>
      <c r="E2590" s="12">
        <v>0</v>
      </c>
      <c r="F2590" s="14">
        <v>0</v>
      </c>
      <c r="G2590" s="13">
        <v>42245495.6726</v>
      </c>
      <c r="H2590" s="14">
        <v>151591932788.89261</v>
      </c>
      <c r="I2590" s="14" t="e">
        <f>=Round(3416375.35860000,0)</f>
        <v>#VALUE!</v>
      </c>
      <c r="J2590" s="14" t="e">
        <f>=Round(0.00000000,0)</f>
        <v>#VALUE!</v>
      </c>
    </row>
    <row r="2591">
      <c r="A2591" s="11" t="s">
        <v>34</v>
      </c>
      <c r="B2591" s="12">
        <v>3589.0109</v>
      </c>
      <c r="C2591" s="12">
        <v>0</v>
      </c>
      <c r="D2591" s="13">
        <v>0</v>
      </c>
      <c r="E2591" s="12">
        <v>0</v>
      </c>
      <c r="F2591" s="14">
        <v>0</v>
      </c>
      <c r="G2591" s="13">
        <v>42245495.6726</v>
      </c>
      <c r="H2591" s="14">
        <v>151619544444.86423</v>
      </c>
      <c r="I2591" s="14" t="e">
        <f>=Round(3417031.27190000,0)</f>
        <v>#VALUE!</v>
      </c>
      <c r="J2591" s="14" t="e">
        <f>=Round(0.00000000,0)</f>
        <v>#VALUE!</v>
      </c>
    </row>
    <row r="2592">
      <c r="A2592" s="11" t="s">
        <v>35</v>
      </c>
      <c r="B2592" s="12">
        <v>3589.0109</v>
      </c>
      <c r="C2592" s="12">
        <v>0</v>
      </c>
      <c r="D2592" s="13">
        <v>0</v>
      </c>
      <c r="E2592" s="12">
        <v>0</v>
      </c>
      <c r="F2592" s="14">
        <v>0</v>
      </c>
      <c r="G2592" s="13">
        <v>42245495.6726</v>
      </c>
      <c r="H2592" s="14">
        <v>151619544444.86423</v>
      </c>
      <c r="I2592" s="14" t="e">
        <f>=Round(3417653.66580000,0)</f>
        <v>#VALUE!</v>
      </c>
      <c r="J2592" s="14" t="e">
        <f>=Round(0.00000000,0)</f>
        <v>#VALUE!</v>
      </c>
    </row>
    <row r="2593">
      <c r="A2593" s="11" t="s">
        <v>36</v>
      </c>
      <c r="B2593" s="12">
        <v>3589.0109</v>
      </c>
      <c r="C2593" s="12">
        <v>0</v>
      </c>
      <c r="D2593" s="13">
        <v>0</v>
      </c>
      <c r="E2593" s="12">
        <v>0</v>
      </c>
      <c r="F2593" s="14">
        <v>0</v>
      </c>
      <c r="G2593" s="13">
        <v>42245495.6726</v>
      </c>
      <c r="H2593" s="14">
        <v>151619544444.86423</v>
      </c>
      <c r="I2593" s="14" t="e">
        <f>=Round(3417653.66580000,0)</f>
        <v>#VALUE!</v>
      </c>
      <c r="J2593" s="14" t="e">
        <f>=Round(0.00000000,0)</f>
        <v>#VALUE!</v>
      </c>
    </row>
    <row r="2594">
      <c r="A2594" s="11" t="s">
        <v>37</v>
      </c>
      <c r="B2594" s="12">
        <v>3590.972</v>
      </c>
      <c r="C2594" s="12">
        <v>0</v>
      </c>
      <c r="D2594" s="13">
        <v>0</v>
      </c>
      <c r="E2594" s="12">
        <v>0</v>
      </c>
      <c r="F2594" s="14">
        <v>0</v>
      </c>
      <c r="G2594" s="13">
        <v>42245495.6726</v>
      </c>
      <c r="H2594" s="14">
        <v>151702392086.42777</v>
      </c>
      <c r="I2594" s="14" t="e">
        <f>=Round(3417653.66580000,0)</f>
        <v>#VALUE!</v>
      </c>
      <c r="J2594" s="14" t="e">
        <f>=Round(0.00000000,0)</f>
        <v>#VALUE!</v>
      </c>
    </row>
    <row r="2595">
      <c r="A2595" s="11" t="s">
        <v>38</v>
      </c>
      <c r="B2595" s="12">
        <v>3591.6235</v>
      </c>
      <c r="C2595" s="12">
        <v>0</v>
      </c>
      <c r="D2595" s="13">
        <v>0</v>
      </c>
      <c r="E2595" s="12">
        <v>0</v>
      </c>
      <c r="F2595" s="14">
        <v>0</v>
      </c>
      <c r="G2595" s="13">
        <v>42245495.6726</v>
      </c>
      <c r="H2595" s="14">
        <v>151729915026.85846</v>
      </c>
      <c r="I2595" s="14" t="e">
        <f>=Round(3419521.13310000,0)</f>
        <v>#VALUE!</v>
      </c>
      <c r="J2595" s="14" t="e">
        <f>=Round(0.00000000,0)</f>
        <v>#VALUE!</v>
      </c>
    </row>
    <row r="2596">
      <c r="A2596" s="11" t="s">
        <v>39</v>
      </c>
      <c r="B2596" s="12">
        <v>3592.281</v>
      </c>
      <c r="C2596" s="12">
        <v>0</v>
      </c>
      <c r="D2596" s="13">
        <v>0</v>
      </c>
      <c r="E2596" s="12">
        <v>0</v>
      </c>
      <c r="F2596" s="14">
        <v>0</v>
      </c>
      <c r="G2596" s="13">
        <v>42245495.6726</v>
      </c>
      <c r="H2596" s="14">
        <v>151757691440.26321</v>
      </c>
      <c r="I2596" s="14" t="e">
        <f>=Round(3420141.52720000,0)</f>
        <v>#VALUE!</v>
      </c>
      <c r="J2596" s="14" t="e">
        <f>=Round(0.00000000,0)</f>
        <v>#VALUE!</v>
      </c>
    </row>
    <row r="2597">
      <c r="A2597" s="11" t="s">
        <v>40</v>
      </c>
      <c r="B2597" s="12">
        <v>3592.9125</v>
      </c>
      <c r="C2597" s="12">
        <v>0</v>
      </c>
      <c r="D2597" s="13">
        <v>0</v>
      </c>
      <c r="E2597" s="12">
        <v>0</v>
      </c>
      <c r="F2597" s="14">
        <v>0</v>
      </c>
      <c r="G2597" s="13">
        <v>42245495.6726</v>
      </c>
      <c r="H2597" s="14">
        <v>151784369470.78046</v>
      </c>
      <c r="I2597" s="14" t="e">
        <f>=Round(3420767.63490000,0)</f>
        <v>#VALUE!</v>
      </c>
      <c r="J2597" s="14" t="e">
        <f>=Round(0.00000000,0)</f>
        <v>#VALUE!</v>
      </c>
    </row>
    <row r="2598">
      <c r="A2598" s="11" t="s">
        <v>41</v>
      </c>
      <c r="B2598" s="12">
        <v>3593.5674</v>
      </c>
      <c r="C2598" s="12">
        <v>0</v>
      </c>
      <c r="D2598" s="13">
        <v>0</v>
      </c>
      <c r="E2598" s="12">
        <v>0</v>
      </c>
      <c r="F2598" s="14">
        <v>0</v>
      </c>
      <c r="G2598" s="13">
        <v>42245495.6726</v>
      </c>
      <c r="H2598" s="14">
        <v>151812036045.89645</v>
      </c>
      <c r="I2598" s="14" t="e">
        <f>=Round(3421368.98400000,0)</f>
        <v>#VALUE!</v>
      </c>
      <c r="J2598" s="14" t="e">
        <f>=Round(0.00000000,0)</f>
        <v>#VALUE!</v>
      </c>
    </row>
    <row r="2599">
      <c r="A2599" s="11" t="s">
        <v>42</v>
      </c>
      <c r="B2599" s="12">
        <v>3593.5674</v>
      </c>
      <c r="C2599" s="12">
        <v>0</v>
      </c>
      <c r="D2599" s="13">
        <v>0</v>
      </c>
      <c r="E2599" s="12">
        <v>0</v>
      </c>
      <c r="F2599" s="14">
        <v>0</v>
      </c>
      <c r="G2599" s="13">
        <v>42245495.6726</v>
      </c>
      <c r="H2599" s="14">
        <v>151812036045.89645</v>
      </c>
      <c r="I2599" s="14" t="e">
        <f>=Round(3421992.61580000,0)</f>
        <v>#VALUE!</v>
      </c>
      <c r="J2599" s="14" t="e">
        <f>=Round(0.00000000,0)</f>
        <v>#VALUE!</v>
      </c>
    </row>
    <row r="2600">
      <c r="A2600" s="11" t="s">
        <v>43</v>
      </c>
      <c r="B2600" s="12">
        <v>3593.5674</v>
      </c>
      <c r="C2600" s="12">
        <v>0</v>
      </c>
      <c r="D2600" s="13">
        <v>0</v>
      </c>
      <c r="E2600" s="12">
        <v>0</v>
      </c>
      <c r="F2600" s="14">
        <v>0</v>
      </c>
      <c r="G2600" s="13">
        <v>42245495.6726</v>
      </c>
      <c r="H2600" s="14">
        <v>151812036045.89645</v>
      </c>
      <c r="I2600" s="14" t="e">
        <f>=Round(3421992.61580000,0)</f>
        <v>#VALUE!</v>
      </c>
      <c r="J2600" s="14" t="e">
        <f>=Round(0.00000000,0)</f>
        <v>#VALUE!</v>
      </c>
    </row>
    <row r="2601">
      <c r="A2601" s="11" t="s">
        <v>44</v>
      </c>
      <c r="B2601" s="12">
        <v>3595.5366</v>
      </c>
      <c r="C2601" s="12">
        <v>0</v>
      </c>
      <c r="D2601" s="13">
        <v>0</v>
      </c>
      <c r="E2601" s="12">
        <v>0</v>
      </c>
      <c r="F2601" s="14">
        <v>0</v>
      </c>
      <c r="G2601" s="13">
        <v>42245495.6726</v>
      </c>
      <c r="H2601" s="14">
        <v>151895225875.97492</v>
      </c>
      <c r="I2601" s="14" t="e">
        <f>=Round(3421992.61580000,0)</f>
        <v>#VALUE!</v>
      </c>
      <c r="J2601" s="14" t="e">
        <f>=Round(0.00000000,0)</f>
        <v>#VALUE!</v>
      </c>
    </row>
    <row r="2602">
      <c r="A2602" s="11" t="s">
        <v>45</v>
      </c>
      <c r="B2602" s="12">
        <v>3596.1915</v>
      </c>
      <c r="C2602" s="12">
        <v>0</v>
      </c>
      <c r="D2602" s="13">
        <v>0</v>
      </c>
      <c r="E2602" s="12">
        <v>0</v>
      </c>
      <c r="F2602" s="14">
        <v>0</v>
      </c>
      <c r="G2602" s="13">
        <v>42245495.6726</v>
      </c>
      <c r="H2602" s="14">
        <v>151922892451.09091</v>
      </c>
      <c r="I2602" s="14" t="e">
        <f>=Round(3423867.79640000,0)</f>
        <v>#VALUE!</v>
      </c>
      <c r="J2602" s="14" t="e">
        <f>=Round(0.00000000,0)</f>
        <v>#VALUE!</v>
      </c>
    </row>
    <row r="2603">
      <c r="A2603" s="11" t="s">
        <v>46</v>
      </c>
      <c r="B2603" s="12">
        <v>3596.8461</v>
      </c>
      <c r="C2603" s="12">
        <v>0</v>
      </c>
      <c r="D2603" s="13">
        <v>0</v>
      </c>
      <c r="E2603" s="12">
        <v>0</v>
      </c>
      <c r="F2603" s="14">
        <v>0</v>
      </c>
      <c r="G2603" s="13">
        <v>42245495.6726</v>
      </c>
      <c r="H2603" s="14">
        <v>151950546352.55817</v>
      </c>
      <c r="I2603" s="14" t="e">
        <f>=Round(3424491.42820000,0)</f>
        <v>#VALUE!</v>
      </c>
      <c r="J2603" s="14" t="e">
        <f>=Round(0.00000000,0)</f>
        <v>#VALUE!</v>
      </c>
    </row>
    <row r="2604">
      <c r="A2604" s="11" t="s">
        <v>47</v>
      </c>
      <c r="B2604" s="12">
        <v>3597.4992</v>
      </c>
      <c r="C2604" s="12">
        <v>0</v>
      </c>
      <c r="D2604" s="13">
        <v>0</v>
      </c>
      <c r="E2604" s="12">
        <v>0</v>
      </c>
      <c r="F2604" s="14">
        <v>0</v>
      </c>
      <c r="G2604" s="13">
        <v>42245495.6726</v>
      </c>
      <c r="H2604" s="14">
        <v>151978136885.78195</v>
      </c>
      <c r="I2604" s="14" t="e">
        <f>=Round(3425114.77430000,0)</f>
        <v>#VALUE!</v>
      </c>
      <c r="J2604" s="14" t="e">
        <f>=Round(0.00000000,0)</f>
        <v>#VALUE!</v>
      </c>
    </row>
    <row r="2605">
      <c r="A2605" s="11" t="s">
        <v>48</v>
      </c>
      <c r="B2605" s="12">
        <v>3598.1558</v>
      </c>
      <c r="C2605" s="12">
        <v>0</v>
      </c>
      <c r="D2605" s="13">
        <v>0</v>
      </c>
      <c r="E2605" s="12">
        <v>0</v>
      </c>
      <c r="F2605" s="14">
        <v>0</v>
      </c>
      <c r="G2605" s="13">
        <v>42245495.6726</v>
      </c>
      <c r="H2605" s="14">
        <v>152005875278.24057</v>
      </c>
      <c r="I2605" s="14" t="e">
        <f>=Round(3425736.69210000,0)</f>
        <v>#VALUE!</v>
      </c>
      <c r="J2605" s="14" t="e">
        <f>=Round(0.00000000,0)</f>
        <v>#VALUE!</v>
      </c>
    </row>
    <row r="2606">
      <c r="A2606" s="11" t="s">
        <v>49</v>
      </c>
      <c r="B2606" s="12">
        <v>3598.1558</v>
      </c>
      <c r="C2606" s="12">
        <v>0</v>
      </c>
      <c r="D2606" s="13">
        <v>0</v>
      </c>
      <c r="E2606" s="12">
        <v>0</v>
      </c>
      <c r="F2606" s="14">
        <v>0</v>
      </c>
      <c r="G2606" s="13">
        <v>42245495.6726</v>
      </c>
      <c r="H2606" s="14">
        <v>152005875278.24057</v>
      </c>
      <c r="I2606" s="14" t="e">
        <f>=Round(3426361.94270000,0)</f>
        <v>#VALUE!</v>
      </c>
      <c r="J2606" s="14" t="e">
        <f>=Round(0.00000000,0)</f>
        <v>#VALUE!</v>
      </c>
    </row>
    <row r="2607">
      <c r="A2607" s="11" t="s">
        <v>50</v>
      </c>
      <c r="B2607" s="12">
        <v>3598.1558</v>
      </c>
      <c r="C2607" s="12">
        <v>0</v>
      </c>
      <c r="D2607" s="13">
        <v>0</v>
      </c>
      <c r="E2607" s="12">
        <v>0</v>
      </c>
      <c r="F2607" s="14">
        <v>0</v>
      </c>
      <c r="G2607" s="13">
        <v>42245495.6726</v>
      </c>
      <c r="H2607" s="14">
        <v>152005875278.24057</v>
      </c>
      <c r="I2607" s="14" t="e">
        <f>=Round(3426361.94270000,0)</f>
        <v>#VALUE!</v>
      </c>
      <c r="J2607" s="14" t="e">
        <f>=Round(0.00000000,0)</f>
        <v>#VALUE!</v>
      </c>
    </row>
    <row r="2608">
      <c r="A2608" s="11" t="s">
        <v>51</v>
      </c>
      <c r="B2608" s="12">
        <v>3600.124</v>
      </c>
      <c r="C2608" s="12">
        <v>0</v>
      </c>
      <c r="D2608" s="13">
        <v>0</v>
      </c>
      <c r="E2608" s="12">
        <v>0</v>
      </c>
      <c r="F2608" s="14">
        <v>0</v>
      </c>
      <c r="G2608" s="13">
        <v>42245495.6726</v>
      </c>
      <c r="H2608" s="14">
        <v>152089022862.8234</v>
      </c>
      <c r="I2608" s="14" t="e">
        <f>=Round(3426361.94270000,0)</f>
        <v>#VALUE!</v>
      </c>
      <c r="J2608" s="14" t="e">
        <f>=Round(0.00000000,0)</f>
        <v>#VALUE!</v>
      </c>
    </row>
    <row r="2609">
      <c r="A2609" s="11" t="s">
        <v>52</v>
      </c>
      <c r="B2609" s="12">
        <v>3600.7905</v>
      </c>
      <c r="C2609" s="12">
        <v>0</v>
      </c>
      <c r="D2609" s="13">
        <v>0</v>
      </c>
      <c r="E2609" s="12">
        <v>0</v>
      </c>
      <c r="F2609" s="14">
        <v>0</v>
      </c>
      <c r="G2609" s="13">
        <v>42245495.6726</v>
      </c>
      <c r="H2609" s="14">
        <v>152117179485.68918</v>
      </c>
      <c r="I2609" s="14" t="e">
        <f>=Round(3428236.17110000,0)</f>
        <v>#VALUE!</v>
      </c>
      <c r="J2609" s="14" t="e">
        <f>=Round(0.00000000,0)</f>
        <v>#VALUE!</v>
      </c>
    </row>
    <row r="2610">
      <c r="A2610" s="11" t="s">
        <v>53</v>
      </c>
      <c r="B2610" s="12">
        <v>3601.445</v>
      </c>
      <c r="C2610" s="12">
        <v>0</v>
      </c>
      <c r="D2610" s="13">
        <v>0</v>
      </c>
      <c r="E2610" s="12">
        <v>0</v>
      </c>
      <c r="F2610" s="14">
        <v>0</v>
      </c>
      <c r="G2610" s="13">
        <v>42245495.6726</v>
      </c>
      <c r="H2610" s="14">
        <v>152144829162.6069</v>
      </c>
      <c r="I2610" s="14" t="e">
        <f>=Round(3428870.84910000,0)</f>
        <v>#VALUE!</v>
      </c>
      <c r="J2610" s="14" t="e">
        <f>=Round(0.00000000,0)</f>
        <v>#VALUE!</v>
      </c>
    </row>
    <row r="2611">
      <c r="A2611" s="11" t="s">
        <v>54</v>
      </c>
      <c r="B2611" s="12">
        <v>3602.0851</v>
      </c>
      <c r="C2611" s="12">
        <v>0</v>
      </c>
      <c r="D2611" s="13">
        <v>0</v>
      </c>
      <c r="E2611" s="12">
        <v>0</v>
      </c>
      <c r="F2611" s="14">
        <v>0</v>
      </c>
      <c r="G2611" s="13">
        <v>42245495.6726</v>
      </c>
      <c r="H2611" s="14">
        <v>152171870504.38693</v>
      </c>
      <c r="I2611" s="14" t="e">
        <f>=Round(3429494.10000000,0)</f>
        <v>#VALUE!</v>
      </c>
      <c r="J2611" s="14" t="e">
        <f>=Round(0.00000000,0)</f>
        <v>#VALUE!</v>
      </c>
    </row>
    <row r="2612">
      <c r="A2612" s="11" t="s">
        <v>55</v>
      </c>
      <c r="B2612" s="12">
        <v>3602.7417</v>
      </c>
      <c r="C2612" s="12">
        <v>0</v>
      </c>
      <c r="D2612" s="13">
        <v>0</v>
      </c>
      <c r="E2612" s="12">
        <v>0</v>
      </c>
      <c r="F2612" s="14">
        <v>0</v>
      </c>
      <c r="G2612" s="13">
        <v>42245495.6726</v>
      </c>
      <c r="H2612" s="14">
        <v>152199608896.84558</v>
      </c>
      <c r="I2612" s="14" t="e">
        <f>=Round(3430103.63840000,0)</f>
        <v>#VALUE!</v>
      </c>
      <c r="J2612" s="14" t="e">
        <f>=Round(0.00000000,0)</f>
        <v>#VALUE!</v>
      </c>
    </row>
    <row r="2613" ht="-1">
      <c r="A2613" s="15"/>
      <c r="B2613" s="16" t="s">
        <v>56</v>
      </c>
      <c r="C2613" s="15"/>
      <c r="D2613" s="15"/>
      <c r="E2613" s="15"/>
      <c r="F2613" s="15"/>
      <c r="G2613" s="15"/>
      <c r="H2613" s="15"/>
      <c r="I2613" s="17" t="e">
        <f>=Round(SUM(I2587:I2612),0)</f>
        <v>#VALUE!</v>
      </c>
      <c r="J2613" s="17" t="e">
        <f>=Round(SUM(J2587:J2612),0)</f>
        <v>#VALUE!</v>
      </c>
    </row>
    <row r="2614">
      <c r="A2614" s="1" t="s">
        <v>0</v>
      </c>
      <c r="B2614" s="1"/>
      <c r="C2614" s="1"/>
      <c r="D2614" s="1"/>
    </row>
    <row r="2615">
      <c r="A2615" s="0" t="s">
        <v>1</v>
      </c>
      <c r="C2615" s="0" t="s">
        <v>2</v>
      </c>
      <c r="H2615" s="2" t="s">
        <v>3</v>
      </c>
    </row>
    <row r="2616">
      <c r="A2616" s="0" t="s">
        <v>4</v>
      </c>
      <c r="C2616" s="0" t="s">
        <v>123</v>
      </c>
      <c r="H2616" s="3" t="s">
        <v>6</v>
      </c>
    </row>
    <row r="2617">
      <c r="A2617" s="0" t="s">
        <v>7</v>
      </c>
      <c r="C2617" s="4" t="s">
        <v>8</v>
      </c>
      <c r="H2617" s="2" t="s">
        <v>9</v>
      </c>
    </row>
    <row r="2618">
      <c r="A2618" s="0" t="s">
        <v>10</v>
      </c>
      <c r="C2618" s="4" t="s">
        <v>124</v>
      </c>
      <c r="H2618" s="2" t="s">
        <v>12</v>
      </c>
    </row>
    <row r="2619">
      <c r="A2619" s="0" t="s">
        <v>13</v>
      </c>
      <c r="C2619" s="0" t="s">
        <v>14</v>
      </c>
    </row>
    <row r="2620">
      <c r="A2620" s="0" t="s">
        <v>15</v>
      </c>
      <c r="C2620" s="0" t="s">
        <v>16</v>
      </c>
    </row>
    <row r="2621">
      <c r="A2621" s="0" t="s">
        <v>17</v>
      </c>
      <c r="C2621" s="0" t="s">
        <v>18</v>
      </c>
    </row>
    <row r="2624">
      <c r="A2624" s="5" t="s">
        <v>19</v>
      </c>
      <c r="B2624" s="5" t="s">
        <v>20</v>
      </c>
      <c r="C2624" s="7" t="s">
        <v>21</v>
      </c>
      <c r="D2624" s="9"/>
      <c r="E2624" s="7" t="s">
        <v>22</v>
      </c>
      <c r="F2624" s="9"/>
      <c r="G2624" s="5" t="s">
        <v>23</v>
      </c>
      <c r="H2624" s="5" t="s">
        <v>24</v>
      </c>
      <c r="I2624" s="5" t="s">
        <v>25</v>
      </c>
      <c r="J2624" s="5" t="s">
        <v>125</v>
      </c>
    </row>
    <row r="2625">
      <c r="A2625" s="6"/>
      <c r="B2625" s="6"/>
      <c r="C2625" s="8" t="s">
        <v>27</v>
      </c>
      <c r="D2625" s="8" t="s">
        <v>28</v>
      </c>
      <c r="E2625" s="8" t="s">
        <v>27</v>
      </c>
      <c r="F2625" s="8" t="s">
        <v>28</v>
      </c>
      <c r="G2625" s="6"/>
      <c r="H2625" s="6"/>
      <c r="I2625" s="10" t="s">
        <v>29</v>
      </c>
      <c r="J2625" s="6"/>
    </row>
    <row r="2626">
      <c r="A2626" s="11" t="s">
        <v>30</v>
      </c>
      <c r="B2626" s="12">
        <v>3586.4187</v>
      </c>
      <c r="C2626" s="12">
        <v>0</v>
      </c>
      <c r="D2626" s="13">
        <v>0</v>
      </c>
      <c r="E2626" s="12">
        <v>0</v>
      </c>
      <c r="F2626" s="14">
        <v>0</v>
      </c>
      <c r="G2626" s="13">
        <v>151534.3699</v>
      </c>
      <c r="H2626" s="14">
        <v>543465697.902077</v>
      </c>
      <c r="I2626" s="14" t="e">
        <f>=Round(12243.51490000,0)</f>
        <v>#VALUE!</v>
      </c>
      <c r="J2626" s="14" t="e">
        <f>=Round(5565.22850000,0)</f>
        <v>#VALUE!</v>
      </c>
    </row>
    <row r="2627">
      <c r="A2627" s="11" t="s">
        <v>31</v>
      </c>
      <c r="B2627" s="12">
        <v>3587.0477</v>
      </c>
      <c r="C2627" s="12">
        <v>1059.367</v>
      </c>
      <c r="D2627" s="13">
        <v>3800000</v>
      </c>
      <c r="E2627" s="12">
        <v>0</v>
      </c>
      <c r="F2627" s="14">
        <v>0</v>
      </c>
      <c r="G2627" s="13">
        <v>151534.3699</v>
      </c>
      <c r="H2627" s="14">
        <v>543561013.020744</v>
      </c>
      <c r="I2627" s="14" t="e">
        <f>=Round(12250.25140000,0)</f>
        <v>#VALUE!</v>
      </c>
      <c r="J2627" s="14" t="e">
        <f>=Round(5568.29050000,0)</f>
        <v>#VALUE!</v>
      </c>
    </row>
    <row r="2628">
      <c r="A2628" s="11" t="s">
        <v>32</v>
      </c>
      <c r="B2628" s="12">
        <v>3587.6685</v>
      </c>
      <c r="C2628" s="12">
        <v>3902.2557</v>
      </c>
      <c r="D2628" s="13">
        <v>14000000</v>
      </c>
      <c r="E2628" s="12">
        <v>0</v>
      </c>
      <c r="F2628" s="14">
        <v>0</v>
      </c>
      <c r="G2628" s="13">
        <v>152593.7369</v>
      </c>
      <c r="H2628" s="14">
        <v>547455743.173418</v>
      </c>
      <c r="I2628" s="14" t="e">
        <f>=Round(12252.39990000,0)</f>
        <v>#VALUE!</v>
      </c>
      <c r="J2628" s="14" t="e">
        <f>=Round(5569.26710000,0)</f>
        <v>#VALUE!</v>
      </c>
    </row>
    <row r="2629">
      <c r="A2629" s="11" t="s">
        <v>33</v>
      </c>
      <c r="B2629" s="12">
        <v>3588.3573</v>
      </c>
      <c r="C2629" s="12">
        <v>0</v>
      </c>
      <c r="D2629" s="13">
        <v>0</v>
      </c>
      <c r="E2629" s="12">
        <v>0</v>
      </c>
      <c r="F2629" s="14">
        <v>0</v>
      </c>
      <c r="G2629" s="13">
        <v>156495.9926</v>
      </c>
      <c r="H2629" s="14">
        <v>561563537.466956</v>
      </c>
      <c r="I2629" s="14" t="e">
        <f>=Round(12340.19090000,0)</f>
        <v>#VALUE!</v>
      </c>
      <c r="J2629" s="14" t="e">
        <f>=Round(5609.17210000,0)</f>
        <v>#VALUE!</v>
      </c>
    </row>
    <row r="2630">
      <c r="A2630" s="11" t="s">
        <v>34</v>
      </c>
      <c r="B2630" s="12">
        <v>3589.0109</v>
      </c>
      <c r="C2630" s="12">
        <v>0</v>
      </c>
      <c r="D2630" s="13">
        <v>0</v>
      </c>
      <c r="E2630" s="12">
        <v>0</v>
      </c>
      <c r="F2630" s="14">
        <v>0</v>
      </c>
      <c r="G2630" s="13">
        <v>156495.9926</v>
      </c>
      <c r="H2630" s="14">
        <v>561665823.247719</v>
      </c>
      <c r="I2630" s="14" t="e">
        <f>=Round(12658.19450000,0)</f>
        <v>#VALUE!</v>
      </c>
      <c r="J2630" s="14" t="e">
        <f>=Round(5753.71900000,0)</f>
        <v>#VALUE!</v>
      </c>
    </row>
    <row r="2631">
      <c r="A2631" s="11" t="s">
        <v>35</v>
      </c>
      <c r="B2631" s="12">
        <v>3589.0109</v>
      </c>
      <c r="C2631" s="12">
        <v>0</v>
      </c>
      <c r="D2631" s="13">
        <v>0</v>
      </c>
      <c r="E2631" s="12">
        <v>0</v>
      </c>
      <c r="F2631" s="14">
        <v>0</v>
      </c>
      <c r="G2631" s="13">
        <v>156495.9926</v>
      </c>
      <c r="H2631" s="14">
        <v>561665823.247719</v>
      </c>
      <c r="I2631" s="14" t="e">
        <f>=Round(12660.50010000,0)</f>
        <v>#VALUE!</v>
      </c>
      <c r="J2631" s="14" t="e">
        <f>=Round(5754.76700000,0)</f>
        <v>#VALUE!</v>
      </c>
    </row>
    <row r="2632">
      <c r="A2632" s="11" t="s">
        <v>36</v>
      </c>
      <c r="B2632" s="12">
        <v>3589.0109</v>
      </c>
      <c r="C2632" s="12">
        <v>0</v>
      </c>
      <c r="D2632" s="13">
        <v>0</v>
      </c>
      <c r="E2632" s="12">
        <v>0</v>
      </c>
      <c r="F2632" s="14">
        <v>0</v>
      </c>
      <c r="G2632" s="13">
        <v>156495.9926</v>
      </c>
      <c r="H2632" s="14">
        <v>561665823.247719</v>
      </c>
      <c r="I2632" s="14" t="e">
        <f>=Round(12660.50010000,0)</f>
        <v>#VALUE!</v>
      </c>
      <c r="J2632" s="14" t="e">
        <f>=Round(5754.76700000,0)</f>
        <v>#VALUE!</v>
      </c>
    </row>
    <row r="2633">
      <c r="A2633" s="11" t="s">
        <v>37</v>
      </c>
      <c r="B2633" s="12">
        <v>3590.972</v>
      </c>
      <c r="C2633" s="12">
        <v>0</v>
      </c>
      <c r="D2633" s="13">
        <v>0</v>
      </c>
      <c r="E2633" s="12">
        <v>0</v>
      </c>
      <c r="F2633" s="14">
        <v>0</v>
      </c>
      <c r="G2633" s="13">
        <v>156495.9926</v>
      </c>
      <c r="H2633" s="14">
        <v>561972727.538807</v>
      </c>
      <c r="I2633" s="14" t="e">
        <f>=Round(12660.50010000,0)</f>
        <v>#VALUE!</v>
      </c>
      <c r="J2633" s="14" t="e">
        <f>=Round(5754.76700000,0)</f>
        <v>#VALUE!</v>
      </c>
    </row>
    <row r="2634">
      <c r="A2634" s="11" t="s">
        <v>38</v>
      </c>
      <c r="B2634" s="12">
        <v>3591.6235</v>
      </c>
      <c r="C2634" s="12">
        <v>0</v>
      </c>
      <c r="D2634" s="13">
        <v>0</v>
      </c>
      <c r="E2634" s="12">
        <v>0</v>
      </c>
      <c r="F2634" s="14">
        <v>0</v>
      </c>
      <c r="G2634" s="13">
        <v>156495.9926</v>
      </c>
      <c r="H2634" s="14">
        <v>562074684.677986</v>
      </c>
      <c r="I2634" s="14" t="e">
        <f>=Round(12667.41800000,0)</f>
        <v>#VALUE!</v>
      </c>
      <c r="J2634" s="14" t="e">
        <f>=Round(5757.91150000,0)</f>
        <v>#VALUE!</v>
      </c>
    </row>
    <row r="2635">
      <c r="A2635" s="11" t="s">
        <v>39</v>
      </c>
      <c r="B2635" s="12">
        <v>3592.281</v>
      </c>
      <c r="C2635" s="12">
        <v>0</v>
      </c>
      <c r="D2635" s="13">
        <v>0</v>
      </c>
      <c r="E2635" s="12">
        <v>0</v>
      </c>
      <c r="F2635" s="14">
        <v>0</v>
      </c>
      <c r="G2635" s="13">
        <v>156495.9926</v>
      </c>
      <c r="H2635" s="14">
        <v>562177580.793121</v>
      </c>
      <c r="I2635" s="14" t="e">
        <f>=Round(12669.71630000,0)</f>
        <v>#VALUE!</v>
      </c>
      <c r="J2635" s="14" t="e">
        <f>=Round(5758.95620000,0)</f>
        <v>#VALUE!</v>
      </c>
    </row>
    <row r="2636">
      <c r="A2636" s="11" t="s">
        <v>40</v>
      </c>
      <c r="B2636" s="12">
        <v>3592.9125</v>
      </c>
      <c r="C2636" s="12">
        <v>0</v>
      </c>
      <c r="D2636" s="13">
        <v>0</v>
      </c>
      <c r="E2636" s="12">
        <v>0</v>
      </c>
      <c r="F2636" s="14">
        <v>0</v>
      </c>
      <c r="G2636" s="13">
        <v>156495.9926</v>
      </c>
      <c r="H2636" s="14">
        <v>562276408.012448</v>
      </c>
      <c r="I2636" s="14" t="e">
        <f>=Round(12672.03560000,0)</f>
        <v>#VALUE!</v>
      </c>
      <c r="J2636" s="14" t="e">
        <f>=Round(5760.01040000,0)</f>
        <v>#VALUE!</v>
      </c>
    </row>
    <row r="2637">
      <c r="A2637" s="11" t="s">
        <v>41</v>
      </c>
      <c r="B2637" s="12">
        <v>3593.5674</v>
      </c>
      <c r="C2637" s="12">
        <v>0</v>
      </c>
      <c r="D2637" s="13">
        <v>0</v>
      </c>
      <c r="E2637" s="12">
        <v>0</v>
      </c>
      <c r="F2637" s="14">
        <v>0</v>
      </c>
      <c r="G2637" s="13">
        <v>156495.9926</v>
      </c>
      <c r="H2637" s="14">
        <v>562378897.238001</v>
      </c>
      <c r="I2637" s="14" t="e">
        <f>=Round(12674.26330000,0)</f>
        <v>#VALUE!</v>
      </c>
      <c r="J2637" s="14" t="e">
        <f>=Round(5761.02300000,0)</f>
        <v>#VALUE!</v>
      </c>
    </row>
    <row r="2638">
      <c r="A2638" s="11" t="s">
        <v>42</v>
      </c>
      <c r="B2638" s="12">
        <v>3593.5674</v>
      </c>
      <c r="C2638" s="12">
        <v>0</v>
      </c>
      <c r="D2638" s="13">
        <v>0</v>
      </c>
      <c r="E2638" s="12">
        <v>0</v>
      </c>
      <c r="F2638" s="14">
        <v>0</v>
      </c>
      <c r="G2638" s="13">
        <v>156495.9926</v>
      </c>
      <c r="H2638" s="14">
        <v>562378897.238001</v>
      </c>
      <c r="I2638" s="14" t="e">
        <f>=Round(12676.57350000,0)</f>
        <v>#VALUE!</v>
      </c>
      <c r="J2638" s="14" t="e">
        <f>=Round(5762.07310000,0)</f>
        <v>#VALUE!</v>
      </c>
    </row>
    <row r="2639">
      <c r="A2639" s="11" t="s">
        <v>43</v>
      </c>
      <c r="B2639" s="12">
        <v>3593.5674</v>
      </c>
      <c r="C2639" s="12">
        <v>0</v>
      </c>
      <c r="D2639" s="13">
        <v>0</v>
      </c>
      <c r="E2639" s="12">
        <v>0</v>
      </c>
      <c r="F2639" s="14">
        <v>0</v>
      </c>
      <c r="G2639" s="13">
        <v>156495.9926</v>
      </c>
      <c r="H2639" s="14">
        <v>562378897.238001</v>
      </c>
      <c r="I2639" s="14" t="e">
        <f>=Round(12676.57350000,0)</f>
        <v>#VALUE!</v>
      </c>
      <c r="J2639" s="14" t="e">
        <f>=Round(5762.07310000,0)</f>
        <v>#VALUE!</v>
      </c>
    </row>
    <row r="2640">
      <c r="A2640" s="11" t="s">
        <v>44</v>
      </c>
      <c r="B2640" s="12">
        <v>3595.5366</v>
      </c>
      <c r="C2640" s="12">
        <v>38.3809</v>
      </c>
      <c r="D2640" s="13">
        <v>138000</v>
      </c>
      <c r="E2640" s="12">
        <v>0</v>
      </c>
      <c r="F2640" s="14">
        <v>0</v>
      </c>
      <c r="G2640" s="13">
        <v>156495.9926</v>
      </c>
      <c r="H2640" s="14">
        <v>562687069.146629</v>
      </c>
      <c r="I2640" s="14" t="e">
        <f>=Round(12676.57350000,0)</f>
        <v>#VALUE!</v>
      </c>
      <c r="J2640" s="14" t="e">
        <f>=Round(5762.07310000,0)</f>
        <v>#VALUE!</v>
      </c>
    </row>
    <row r="2641">
      <c r="A2641" s="11" t="s">
        <v>45</v>
      </c>
      <c r="B2641" s="12">
        <v>3596.1915</v>
      </c>
      <c r="C2641" s="12">
        <v>27.8072</v>
      </c>
      <c r="D2641" s="13">
        <v>100000</v>
      </c>
      <c r="E2641" s="12">
        <v>0</v>
      </c>
      <c r="F2641" s="14">
        <v>0</v>
      </c>
      <c r="G2641" s="13">
        <v>156534.3735</v>
      </c>
      <c r="H2641" s="14">
        <v>562927583.438525</v>
      </c>
      <c r="I2641" s="14" t="e">
        <f>=Round(12683.52000000,0)</f>
        <v>#VALUE!</v>
      </c>
      <c r="J2641" s="14" t="e">
        <f>=Round(5765.23060000,0)</f>
        <v>#VALUE!</v>
      </c>
    </row>
    <row r="2642">
      <c r="A2642" s="11" t="s">
        <v>46</v>
      </c>
      <c r="B2642" s="12">
        <v>3596.8461</v>
      </c>
      <c r="C2642" s="12">
        <v>0</v>
      </c>
      <c r="D2642" s="13">
        <v>0</v>
      </c>
      <c r="E2642" s="12">
        <v>0</v>
      </c>
      <c r="F2642" s="14">
        <v>0</v>
      </c>
      <c r="G2642" s="13">
        <v>156562.1807</v>
      </c>
      <c r="H2642" s="14">
        <v>563130069.05829</v>
      </c>
      <c r="I2642" s="14" t="e">
        <f>=Round(12688.94140000,0)</f>
        <v>#VALUE!</v>
      </c>
      <c r="J2642" s="14" t="e">
        <f>=Round(5767.69490000,0)</f>
        <v>#VALUE!</v>
      </c>
    </row>
    <row r="2643">
      <c r="A2643" s="11" t="s">
        <v>47</v>
      </c>
      <c r="B2643" s="12">
        <v>3597.4992</v>
      </c>
      <c r="C2643" s="12">
        <v>0</v>
      </c>
      <c r="D2643" s="13">
        <v>0</v>
      </c>
      <c r="E2643" s="12">
        <v>0</v>
      </c>
      <c r="F2643" s="14">
        <v>0</v>
      </c>
      <c r="G2643" s="13">
        <v>156562.1807</v>
      </c>
      <c r="H2643" s="14">
        <v>563232319.818505</v>
      </c>
      <c r="I2643" s="14" t="e">
        <f>=Round(12693.50570000,0)</f>
        <v>#VALUE!</v>
      </c>
      <c r="J2643" s="14" t="e">
        <f>=Round(5769.76950000,0)</f>
        <v>#VALUE!</v>
      </c>
    </row>
    <row r="2644">
      <c r="A2644" s="11" t="s">
        <v>48</v>
      </c>
      <c r="B2644" s="12">
        <v>3598.1558</v>
      </c>
      <c r="C2644" s="12">
        <v>0</v>
      </c>
      <c r="D2644" s="13">
        <v>0</v>
      </c>
      <c r="E2644" s="12">
        <v>0</v>
      </c>
      <c r="F2644" s="14">
        <v>0</v>
      </c>
      <c r="G2644" s="13">
        <v>156562.1807</v>
      </c>
      <c r="H2644" s="14">
        <v>563335118.546353</v>
      </c>
      <c r="I2644" s="14" t="e">
        <f>=Round(12695.81050000,0)</f>
        <v>#VALUE!</v>
      </c>
      <c r="J2644" s="14" t="e">
        <f>=Round(5770.81720000,0)</f>
        <v>#VALUE!</v>
      </c>
    </row>
    <row r="2645">
      <c r="A2645" s="11" t="s">
        <v>49</v>
      </c>
      <c r="B2645" s="12">
        <v>3598.1558</v>
      </c>
      <c r="C2645" s="12">
        <v>0</v>
      </c>
      <c r="D2645" s="13">
        <v>0</v>
      </c>
      <c r="E2645" s="12">
        <v>0</v>
      </c>
      <c r="F2645" s="14">
        <v>0</v>
      </c>
      <c r="G2645" s="13">
        <v>156562.1807</v>
      </c>
      <c r="H2645" s="14">
        <v>563335118.546353</v>
      </c>
      <c r="I2645" s="14" t="e">
        <f>=Round(12698.12770000,0)</f>
        <v>#VALUE!</v>
      </c>
      <c r="J2645" s="14" t="e">
        <f>=Round(5771.87040000,0)</f>
        <v>#VALUE!</v>
      </c>
    </row>
    <row r="2646">
      <c r="A2646" s="11" t="s">
        <v>50</v>
      </c>
      <c r="B2646" s="12">
        <v>3598.1558</v>
      </c>
      <c r="C2646" s="12">
        <v>0</v>
      </c>
      <c r="D2646" s="13">
        <v>0</v>
      </c>
      <c r="E2646" s="12">
        <v>0</v>
      </c>
      <c r="F2646" s="14">
        <v>0</v>
      </c>
      <c r="G2646" s="13">
        <v>156562.1807</v>
      </c>
      <c r="H2646" s="14">
        <v>563335118.546353</v>
      </c>
      <c r="I2646" s="14" t="e">
        <f>=Round(12698.12770000,0)</f>
        <v>#VALUE!</v>
      </c>
      <c r="J2646" s="14" t="e">
        <f>=Round(5771.87040000,0)</f>
        <v>#VALUE!</v>
      </c>
    </row>
    <row r="2647">
      <c r="A2647" s="11" t="s">
        <v>51</v>
      </c>
      <c r="B2647" s="12">
        <v>3600.124</v>
      </c>
      <c r="C2647" s="12">
        <v>27.7768</v>
      </c>
      <c r="D2647" s="13">
        <v>100000</v>
      </c>
      <c r="E2647" s="12">
        <v>0</v>
      </c>
      <c r="F2647" s="14">
        <v>0</v>
      </c>
      <c r="G2647" s="13">
        <v>156562.1807</v>
      </c>
      <c r="H2647" s="14">
        <v>563643264.230407</v>
      </c>
      <c r="I2647" s="14" t="e">
        <f>=Round(12698.12770000,0)</f>
        <v>#VALUE!</v>
      </c>
      <c r="J2647" s="14" t="e">
        <f>=Round(5771.87040000,0)</f>
        <v>#VALUE!</v>
      </c>
    </row>
    <row r="2648">
      <c r="A2648" s="11" t="s">
        <v>52</v>
      </c>
      <c r="B2648" s="12">
        <v>3600.7905</v>
      </c>
      <c r="C2648" s="12">
        <v>0</v>
      </c>
      <c r="D2648" s="13">
        <v>0</v>
      </c>
      <c r="E2648" s="12">
        <v>0</v>
      </c>
      <c r="F2648" s="14">
        <v>0</v>
      </c>
      <c r="G2648" s="13">
        <v>156589.9575</v>
      </c>
      <c r="H2648" s="14">
        <v>563847631.361404</v>
      </c>
      <c r="I2648" s="14" t="e">
        <f>=Round(12705.07360000,0)</f>
        <v>#VALUE!</v>
      </c>
      <c r="J2648" s="14" t="e">
        <f>=Round(5775.02770000,0)</f>
        <v>#VALUE!</v>
      </c>
    </row>
    <row r="2649">
      <c r="A2649" s="11" t="s">
        <v>53</v>
      </c>
      <c r="B2649" s="12">
        <v>3601.445</v>
      </c>
      <c r="C2649" s="12">
        <v>0</v>
      </c>
      <c r="D2649" s="13">
        <v>0</v>
      </c>
      <c r="E2649" s="12">
        <v>0</v>
      </c>
      <c r="F2649" s="14">
        <v>0</v>
      </c>
      <c r="G2649" s="13">
        <v>156589.9575</v>
      </c>
      <c r="H2649" s="14">
        <v>563950119.488588</v>
      </c>
      <c r="I2649" s="14" t="e">
        <f>=Round(12709.68020000,0)</f>
        <v>#VALUE!</v>
      </c>
      <c r="J2649" s="14" t="e">
        <f>=Round(5777.12160000,0)</f>
        <v>#VALUE!</v>
      </c>
    </row>
    <row r="2650">
      <c r="A2650" s="11" t="s">
        <v>54</v>
      </c>
      <c r="B2650" s="12">
        <v>3602.0851</v>
      </c>
      <c r="C2650" s="12">
        <v>27.7617</v>
      </c>
      <c r="D2650" s="13">
        <v>100000</v>
      </c>
      <c r="E2650" s="12">
        <v>0</v>
      </c>
      <c r="F2650" s="14">
        <v>0</v>
      </c>
      <c r="G2650" s="13">
        <v>156589.9575</v>
      </c>
      <c r="H2650" s="14">
        <v>564050352.720383</v>
      </c>
      <c r="I2650" s="14" t="e">
        <f>=Round(12711.99040000,0)</f>
        <v>#VALUE!</v>
      </c>
      <c r="J2650" s="14" t="e">
        <f>=Round(5778.17170000,0)</f>
        <v>#VALUE!</v>
      </c>
    </row>
    <row r="2651">
      <c r="A2651" s="11" t="s">
        <v>55</v>
      </c>
      <c r="B2651" s="12">
        <v>3602.7417</v>
      </c>
      <c r="C2651" s="12">
        <v>0</v>
      </c>
      <c r="D2651" s="13">
        <v>0</v>
      </c>
      <c r="E2651" s="12">
        <v>0</v>
      </c>
      <c r="F2651" s="14">
        <v>0</v>
      </c>
      <c r="G2651" s="13">
        <v>156617.7192</v>
      </c>
      <c r="H2651" s="14">
        <v>564253187.920731</v>
      </c>
      <c r="I2651" s="14" t="e">
        <f>=Round(12714.24980000,0)</f>
        <v>#VALUE!</v>
      </c>
      <c r="J2651" s="14" t="e">
        <f>=Round(5779.19870000,0)</f>
        <v>#VALUE!</v>
      </c>
    </row>
    <row r="2652" ht="-1">
      <c r="A2652" s="15"/>
      <c r="B2652" s="16" t="s">
        <v>56</v>
      </c>
      <c r="C2652" s="15"/>
      <c r="D2652" s="15"/>
      <c r="E2652" s="15"/>
      <c r="F2652" s="15"/>
      <c r="G2652" s="15"/>
      <c r="H2652" s="15"/>
      <c r="I2652" s="17" t="e">
        <f>=Round(SUM(I2626:I2651),0)</f>
        <v>#VALUE!</v>
      </c>
      <c r="J2652" s="17" t="e">
        <f>=Round(SUM(J2626:J2651),0)</f>
        <v>#VALUE!</v>
      </c>
    </row>
    <row r="2653">
      <c r="A2653" s="1" t="s">
        <v>0</v>
      </c>
      <c r="B2653" s="1"/>
      <c r="C2653" s="1"/>
      <c r="D2653" s="1"/>
    </row>
    <row r="2654">
      <c r="A2654" s="0" t="s">
        <v>1</v>
      </c>
      <c r="C2654" s="0" t="s">
        <v>2</v>
      </c>
      <c r="H2654" s="2" t="s">
        <v>3</v>
      </c>
    </row>
    <row r="2655">
      <c r="A2655" s="0" t="s">
        <v>4</v>
      </c>
      <c r="C2655" s="0" t="s">
        <v>126</v>
      </c>
      <c r="H2655" s="3" t="s">
        <v>6</v>
      </c>
    </row>
    <row r="2656">
      <c r="A2656" s="0" t="s">
        <v>7</v>
      </c>
      <c r="C2656" s="4" t="s">
        <v>8</v>
      </c>
      <c r="H2656" s="2" t="s">
        <v>9</v>
      </c>
    </row>
    <row r="2657">
      <c r="A2657" s="0" t="s">
        <v>10</v>
      </c>
      <c r="C2657" s="4" t="s">
        <v>124</v>
      </c>
      <c r="H2657" s="2" t="s">
        <v>12</v>
      </c>
    </row>
    <row r="2658">
      <c r="A2658" s="0" t="s">
        <v>13</v>
      </c>
      <c r="C2658" s="0" t="s">
        <v>14</v>
      </c>
    </row>
    <row r="2659">
      <c r="A2659" s="0" t="s">
        <v>15</v>
      </c>
      <c r="C2659" s="0" t="s">
        <v>16</v>
      </c>
    </row>
    <row r="2660">
      <c r="A2660" s="0" t="s">
        <v>17</v>
      </c>
      <c r="C2660" s="0" t="s">
        <v>18</v>
      </c>
    </row>
    <row r="2663">
      <c r="A2663" s="5" t="s">
        <v>19</v>
      </c>
      <c r="B2663" s="5" t="s">
        <v>20</v>
      </c>
      <c r="C2663" s="7" t="s">
        <v>21</v>
      </c>
      <c r="D2663" s="9"/>
      <c r="E2663" s="7" t="s">
        <v>22</v>
      </c>
      <c r="F2663" s="9"/>
      <c r="G2663" s="5" t="s">
        <v>23</v>
      </c>
      <c r="H2663" s="5" t="s">
        <v>24</v>
      </c>
      <c r="I2663" s="5" t="s">
        <v>25</v>
      </c>
      <c r="J2663" s="5" t="s">
        <v>125</v>
      </c>
    </row>
    <row r="2664">
      <c r="A2664" s="6"/>
      <c r="B2664" s="6"/>
      <c r="C2664" s="8" t="s">
        <v>27</v>
      </c>
      <c r="D2664" s="8" t="s">
        <v>28</v>
      </c>
      <c r="E2664" s="8" t="s">
        <v>27</v>
      </c>
      <c r="F2664" s="8" t="s">
        <v>28</v>
      </c>
      <c r="G2664" s="6"/>
      <c r="H2664" s="6"/>
      <c r="I2664" s="10" t="s">
        <v>29</v>
      </c>
      <c r="J2664" s="6"/>
    </row>
    <row r="2665">
      <c r="A2665" s="11" t="s">
        <v>30</v>
      </c>
      <c r="B2665" s="12">
        <v>3586.4187</v>
      </c>
      <c r="C2665" s="12">
        <v>794.6647</v>
      </c>
      <c r="D2665" s="13">
        <v>2850000</v>
      </c>
      <c r="E2665" s="12">
        <v>0</v>
      </c>
      <c r="F2665" s="14">
        <v>0</v>
      </c>
      <c r="G2665" s="13">
        <v>680288.8107</v>
      </c>
      <c r="H2665" s="14">
        <v>2439800512.09524</v>
      </c>
      <c r="I2665" s="14" t="e">
        <f>=Round(54965.26090000,0)</f>
        <v>#VALUE!</v>
      </c>
      <c r="J2665" s="14" t="e">
        <f>=Round(24984.18450000,0)</f>
        <v>#VALUE!</v>
      </c>
    </row>
    <row r="2666">
      <c r="A2666" s="11" t="s">
        <v>31</v>
      </c>
      <c r="B2666" s="12">
        <v>3587.0477</v>
      </c>
      <c r="C2666" s="12">
        <v>2090.8559</v>
      </c>
      <c r="D2666" s="13">
        <v>7500000</v>
      </c>
      <c r="E2666" s="12">
        <v>0</v>
      </c>
      <c r="F2666" s="14">
        <v>0</v>
      </c>
      <c r="G2666" s="13">
        <v>681083.4754</v>
      </c>
      <c r="H2666" s="14">
        <v>2443078913.941577</v>
      </c>
      <c r="I2666" s="14" t="e">
        <f>=Round(54995.50330000,0)</f>
        <v>#VALUE!</v>
      </c>
      <c r="J2666" s="14" t="e">
        <f>=Round(24997.93110000,0)</f>
        <v>#VALUE!</v>
      </c>
    </row>
    <row r="2667">
      <c r="A2667" s="11" t="s">
        <v>32</v>
      </c>
      <c r="B2667" s="12">
        <v>3587.6685</v>
      </c>
      <c r="C2667" s="12">
        <v>139672.8824</v>
      </c>
      <c r="D2667" s="13">
        <v>501100000</v>
      </c>
      <c r="E2667" s="12">
        <v>0</v>
      </c>
      <c r="F2667" s="14">
        <v>0</v>
      </c>
      <c r="G2667" s="13">
        <v>683174.3313</v>
      </c>
      <c r="H2667" s="14">
        <v>2451003028.4135742</v>
      </c>
      <c r="I2667" s="14" t="e">
        <f>=Round(55069.40170000,0)</f>
        <v>#VALUE!</v>
      </c>
      <c r="J2667" s="14" t="e">
        <f>=Round(25031.52120000,0)</f>
        <v>#VALUE!</v>
      </c>
    </row>
    <row r="2668">
      <c r="A2668" s="11" t="s">
        <v>33</v>
      </c>
      <c r="B2668" s="12">
        <v>3588.3573</v>
      </c>
      <c r="C2668" s="12">
        <v>0</v>
      </c>
      <c r="D2668" s="13">
        <v>0</v>
      </c>
      <c r="E2668" s="12">
        <v>0</v>
      </c>
      <c r="F2668" s="14">
        <v>0</v>
      </c>
      <c r="G2668" s="13">
        <v>822847.2137</v>
      </c>
      <c r="H2668" s="14">
        <v>2952669806.0650549</v>
      </c>
      <c r="I2668" s="14" t="e">
        <f>=Round(55248.01910000,0)</f>
        <v>#VALUE!</v>
      </c>
      <c r="J2668" s="14" t="e">
        <f>=Round(25112.71080000,0)</f>
        <v>#VALUE!</v>
      </c>
    </row>
    <row r="2669">
      <c r="A2669" s="11" t="s">
        <v>34</v>
      </c>
      <c r="B2669" s="12">
        <v>3589.0109</v>
      </c>
      <c r="C2669" s="12">
        <v>696.5707</v>
      </c>
      <c r="D2669" s="13">
        <v>2500000</v>
      </c>
      <c r="E2669" s="12">
        <v>0</v>
      </c>
      <c r="F2669" s="14">
        <v>0</v>
      </c>
      <c r="G2669" s="13">
        <v>822847.2137</v>
      </c>
      <c r="H2669" s="14">
        <v>2953207619.0039291</v>
      </c>
      <c r="I2669" s="14" t="e">
        <f>=Round(66556.08170000,0)</f>
        <v>#VALUE!</v>
      </c>
      <c r="J2669" s="14" t="e">
        <f>=Round(30252.73420000,0)</f>
        <v>#VALUE!</v>
      </c>
    </row>
    <row r="2670">
      <c r="A2670" s="11" t="s">
        <v>35</v>
      </c>
      <c r="B2670" s="12">
        <v>3589.0109</v>
      </c>
      <c r="C2670" s="12">
        <v>0</v>
      </c>
      <c r="D2670" s="13">
        <v>0</v>
      </c>
      <c r="E2670" s="12">
        <v>0</v>
      </c>
      <c r="F2670" s="14">
        <v>0</v>
      </c>
      <c r="G2670" s="13">
        <v>822847.2137</v>
      </c>
      <c r="H2670" s="14">
        <v>2953207619.0039291</v>
      </c>
      <c r="I2670" s="14" t="e">
        <f>=Round(66568.20450000,0)</f>
        <v>#VALUE!</v>
      </c>
      <c r="J2670" s="14" t="e">
        <f>=Round(30258.24450000,0)</f>
        <v>#VALUE!</v>
      </c>
    </row>
    <row r="2671">
      <c r="A2671" s="11" t="s">
        <v>36</v>
      </c>
      <c r="B2671" s="12">
        <v>3589.0109</v>
      </c>
      <c r="C2671" s="12">
        <v>0</v>
      </c>
      <c r="D2671" s="13">
        <v>0</v>
      </c>
      <c r="E2671" s="12">
        <v>0</v>
      </c>
      <c r="F2671" s="14">
        <v>0</v>
      </c>
      <c r="G2671" s="13">
        <v>822847.2137</v>
      </c>
      <c r="H2671" s="14">
        <v>2953207619.0039291</v>
      </c>
      <c r="I2671" s="14" t="e">
        <f>=Round(66568.20450000,0)</f>
        <v>#VALUE!</v>
      </c>
      <c r="J2671" s="14" t="e">
        <f>=Round(30258.24450000,0)</f>
        <v>#VALUE!</v>
      </c>
    </row>
    <row r="2672">
      <c r="A2672" s="11" t="s">
        <v>37</v>
      </c>
      <c r="B2672" s="12">
        <v>3590.972</v>
      </c>
      <c r="C2672" s="12">
        <v>194.9333</v>
      </c>
      <c r="D2672" s="13">
        <v>700000</v>
      </c>
      <c r="E2672" s="12">
        <v>0</v>
      </c>
      <c r="F2672" s="14">
        <v>0</v>
      </c>
      <c r="G2672" s="13">
        <v>823543.7844</v>
      </c>
      <c r="H2672" s="14">
        <v>2957322670.5544372</v>
      </c>
      <c r="I2672" s="14" t="e">
        <f>=Round(66568.20450000,0)</f>
        <v>#VALUE!</v>
      </c>
      <c r="J2672" s="14" t="e">
        <f>=Round(30258.24450000,0)</f>
        <v>#VALUE!</v>
      </c>
    </row>
    <row r="2673">
      <c r="A2673" s="11" t="s">
        <v>38</v>
      </c>
      <c r="B2673" s="12">
        <v>3591.6235</v>
      </c>
      <c r="C2673" s="12">
        <v>0</v>
      </c>
      <c r="D2673" s="13">
        <v>0</v>
      </c>
      <c r="E2673" s="12">
        <v>0</v>
      </c>
      <c r="F2673" s="14">
        <v>0</v>
      </c>
      <c r="G2673" s="13">
        <v>823738.7177</v>
      </c>
      <c r="H2673" s="14">
        <v>2958559336.3511858</v>
      </c>
      <c r="I2673" s="14" t="e">
        <f>=Round(66660.96180000,0)</f>
        <v>#VALUE!</v>
      </c>
      <c r="J2673" s="14" t="e">
        <f>=Round(30300.40690000,0)</f>
        <v>#VALUE!</v>
      </c>
    </row>
    <row r="2674">
      <c r="A2674" s="11" t="s">
        <v>39</v>
      </c>
      <c r="B2674" s="12">
        <v>3592.281</v>
      </c>
      <c r="C2674" s="12">
        <v>27837.466</v>
      </c>
      <c r="D2674" s="13">
        <v>100000000</v>
      </c>
      <c r="E2674" s="12">
        <v>169.3915</v>
      </c>
      <c r="F2674" s="14">
        <v>608502</v>
      </c>
      <c r="G2674" s="13">
        <v>823738.7177</v>
      </c>
      <c r="H2674" s="14">
        <v>2959100944.558074</v>
      </c>
      <c r="I2674" s="14" t="e">
        <f>=Round(66688.83750000,0)</f>
        <v>#VALUE!</v>
      </c>
      <c r="J2674" s="14" t="e">
        <f>=Round(30313.07760000,0)</f>
        <v>#VALUE!</v>
      </c>
    </row>
    <row r="2675">
      <c r="A2675" s="11" t="s">
        <v>40</v>
      </c>
      <c r="B2675" s="12">
        <v>3592.9125</v>
      </c>
      <c r="C2675" s="12">
        <v>47.872</v>
      </c>
      <c r="D2675" s="13">
        <v>172000</v>
      </c>
      <c r="E2675" s="12">
        <v>150</v>
      </c>
      <c r="F2675" s="14">
        <v>538937</v>
      </c>
      <c r="G2675" s="13">
        <v>851406.7922</v>
      </c>
      <c r="H2675" s="14">
        <v>3059030106.280283</v>
      </c>
      <c r="I2675" s="14" t="e">
        <f>=Round(66701.04590000,0)</f>
        <v>#VALUE!</v>
      </c>
      <c r="J2675" s="14" t="e">
        <f>=Round(30318.62690000,0)</f>
        <v>#VALUE!</v>
      </c>
    </row>
    <row r="2676">
      <c r="A2676" s="11" t="s">
        <v>41</v>
      </c>
      <c r="B2676" s="12">
        <v>3593.5674</v>
      </c>
      <c r="C2676" s="12">
        <v>0</v>
      </c>
      <c r="D2676" s="13">
        <v>0</v>
      </c>
      <c r="E2676" s="12">
        <v>0</v>
      </c>
      <c r="F2676" s="14">
        <v>0</v>
      </c>
      <c r="G2676" s="13">
        <v>851304.6642</v>
      </c>
      <c r="H2676" s="14">
        <v>3059220688.7370672</v>
      </c>
      <c r="I2676" s="14" t="e">
        <f>=Round(68953.54750000,0)</f>
        <v>#VALUE!</v>
      </c>
      <c r="J2676" s="14" t="e">
        <f>=Round(31342.49020000,0)</f>
        <v>#VALUE!</v>
      </c>
    </row>
    <row r="2677">
      <c r="A2677" s="11" t="s">
        <v>42</v>
      </c>
      <c r="B2677" s="12">
        <v>3593.5674</v>
      </c>
      <c r="C2677" s="12">
        <v>0</v>
      </c>
      <c r="D2677" s="13">
        <v>0</v>
      </c>
      <c r="E2677" s="12">
        <v>0</v>
      </c>
      <c r="F2677" s="14">
        <v>0</v>
      </c>
      <c r="G2677" s="13">
        <v>851304.6642</v>
      </c>
      <c r="H2677" s="14">
        <v>3059220688.7370672</v>
      </c>
      <c r="I2677" s="14" t="e">
        <f>=Round(68957.84340000,0)</f>
        <v>#VALUE!</v>
      </c>
      <c r="J2677" s="14" t="e">
        <f>=Round(31344.44290000,0)</f>
        <v>#VALUE!</v>
      </c>
    </row>
    <row r="2678">
      <c r="A2678" s="11" t="s">
        <v>43</v>
      </c>
      <c r="B2678" s="12">
        <v>3593.5674</v>
      </c>
      <c r="C2678" s="12">
        <v>0</v>
      </c>
      <c r="D2678" s="13">
        <v>0</v>
      </c>
      <c r="E2678" s="12">
        <v>0</v>
      </c>
      <c r="F2678" s="14">
        <v>0</v>
      </c>
      <c r="G2678" s="13">
        <v>851304.6642</v>
      </c>
      <c r="H2678" s="14">
        <v>3059220688.7370672</v>
      </c>
      <c r="I2678" s="14" t="e">
        <f>=Round(68957.84340000,0)</f>
        <v>#VALUE!</v>
      </c>
      <c r="J2678" s="14" t="e">
        <f>=Round(31344.44290000,0)</f>
        <v>#VALUE!</v>
      </c>
    </row>
    <row r="2679">
      <c r="A2679" s="11" t="s">
        <v>44</v>
      </c>
      <c r="B2679" s="12">
        <v>3595.5366</v>
      </c>
      <c r="C2679" s="12">
        <v>1529.6743</v>
      </c>
      <c r="D2679" s="13">
        <v>5500000</v>
      </c>
      <c r="E2679" s="12">
        <v>0</v>
      </c>
      <c r="F2679" s="14">
        <v>0</v>
      </c>
      <c r="G2679" s="13">
        <v>851304.6642</v>
      </c>
      <c r="H2679" s="14">
        <v>3060897077.88181</v>
      </c>
      <c r="I2679" s="14" t="e">
        <f>=Round(68957.84340000,0)</f>
        <v>#VALUE!</v>
      </c>
      <c r="J2679" s="14" t="e">
        <f>=Round(31344.44290000,0)</f>
        <v>#VALUE!</v>
      </c>
    </row>
    <row r="2680">
      <c r="A2680" s="11" t="s">
        <v>45</v>
      </c>
      <c r="B2680" s="12">
        <v>3596.1915</v>
      </c>
      <c r="C2680" s="12">
        <v>0</v>
      </c>
      <c r="D2680" s="13">
        <v>0</v>
      </c>
      <c r="E2680" s="12">
        <v>0</v>
      </c>
      <c r="F2680" s="14">
        <v>0</v>
      </c>
      <c r="G2680" s="13">
        <v>852834.3385</v>
      </c>
      <c r="H2680" s="14">
        <v>3066955599.0218229</v>
      </c>
      <c r="I2680" s="14" t="e">
        <f>=Round(68995.63090000,0)</f>
        <v>#VALUE!</v>
      </c>
      <c r="J2680" s="14" t="e">
        <f>=Round(31361.61900000,0)</f>
        <v>#VALUE!</v>
      </c>
    </row>
    <row r="2681">
      <c r="A2681" s="11" t="s">
        <v>46</v>
      </c>
      <c r="B2681" s="12">
        <v>3596.8461</v>
      </c>
      <c r="C2681" s="12">
        <v>166.8128</v>
      </c>
      <c r="D2681" s="13">
        <v>600000</v>
      </c>
      <c r="E2681" s="12">
        <v>0</v>
      </c>
      <c r="F2681" s="14">
        <v>0</v>
      </c>
      <c r="G2681" s="13">
        <v>852834.3385</v>
      </c>
      <c r="H2681" s="14">
        <v>3067513864.3798051</v>
      </c>
      <c r="I2681" s="14" t="e">
        <f>=Round(69132.19590000,0)</f>
        <v>#VALUE!</v>
      </c>
      <c r="J2681" s="14" t="e">
        <f>=Round(31423.69400000,0)</f>
        <v>#VALUE!</v>
      </c>
    </row>
    <row r="2682">
      <c r="A2682" s="11" t="s">
        <v>47</v>
      </c>
      <c r="B2682" s="12">
        <v>3597.4992</v>
      </c>
      <c r="C2682" s="12">
        <v>555.9418</v>
      </c>
      <c r="D2682" s="13">
        <v>2000000</v>
      </c>
      <c r="E2682" s="12">
        <v>0</v>
      </c>
      <c r="F2682" s="14">
        <v>0</v>
      </c>
      <c r="G2682" s="13">
        <v>853001.1513</v>
      </c>
      <c r="H2682" s="14">
        <v>3068670959.4008288</v>
      </c>
      <c r="I2682" s="14" t="e">
        <f>=Round(69144.77970000,0)</f>
        <v>#VALUE!</v>
      </c>
      <c r="J2682" s="14" t="e">
        <f>=Round(31429.41390000,0)</f>
        <v>#VALUE!</v>
      </c>
    </row>
    <row r="2683">
      <c r="A2683" s="11" t="s">
        <v>48</v>
      </c>
      <c r="B2683" s="12">
        <v>3598.1558</v>
      </c>
      <c r="C2683" s="12">
        <v>0</v>
      </c>
      <c r="D2683" s="13">
        <v>0</v>
      </c>
      <c r="E2683" s="12">
        <v>0</v>
      </c>
      <c r="F2683" s="14">
        <v>0</v>
      </c>
      <c r="G2683" s="13">
        <v>853557.0931</v>
      </c>
      <c r="H2683" s="14">
        <v>3071231405.1689048</v>
      </c>
      <c r="I2683" s="14" t="e">
        <f>=Round(69170.86180000,0)</f>
        <v>#VALUE!</v>
      </c>
      <c r="J2683" s="14" t="e">
        <f>=Round(31441.26940000,0)</f>
        <v>#VALUE!</v>
      </c>
    </row>
    <row r="2684">
      <c r="A2684" s="11" t="s">
        <v>49</v>
      </c>
      <c r="B2684" s="12">
        <v>3598.1558</v>
      </c>
      <c r="C2684" s="12">
        <v>0</v>
      </c>
      <c r="D2684" s="13">
        <v>0</v>
      </c>
      <c r="E2684" s="12">
        <v>0</v>
      </c>
      <c r="F2684" s="14">
        <v>0</v>
      </c>
      <c r="G2684" s="13">
        <v>853557.0931</v>
      </c>
      <c r="H2684" s="14">
        <v>3071231405.1689048</v>
      </c>
      <c r="I2684" s="14" t="e">
        <f>=Round(69228.57680000,0)</f>
        <v>#VALUE!</v>
      </c>
      <c r="J2684" s="14" t="e">
        <f>=Round(31467.50340000,0)</f>
        <v>#VALUE!</v>
      </c>
    </row>
    <row r="2685">
      <c r="A2685" s="11" t="s">
        <v>50</v>
      </c>
      <c r="B2685" s="12">
        <v>3598.1558</v>
      </c>
      <c r="C2685" s="12">
        <v>0</v>
      </c>
      <c r="D2685" s="13">
        <v>0</v>
      </c>
      <c r="E2685" s="12">
        <v>0</v>
      </c>
      <c r="F2685" s="14">
        <v>0</v>
      </c>
      <c r="G2685" s="13">
        <v>853557.0931</v>
      </c>
      <c r="H2685" s="14">
        <v>3071231405.1689048</v>
      </c>
      <c r="I2685" s="14" t="e">
        <f>=Round(69228.57680000,0)</f>
        <v>#VALUE!</v>
      </c>
      <c r="J2685" s="14" t="e">
        <f>=Round(31467.50340000,0)</f>
        <v>#VALUE!</v>
      </c>
    </row>
    <row r="2686">
      <c r="A2686" s="11" t="s">
        <v>51</v>
      </c>
      <c r="B2686" s="12">
        <v>3600.124</v>
      </c>
      <c r="C2686" s="12">
        <v>138.8841</v>
      </c>
      <c r="D2686" s="13">
        <v>500000</v>
      </c>
      <c r="E2686" s="12">
        <v>0</v>
      </c>
      <c r="F2686" s="14">
        <v>0</v>
      </c>
      <c r="G2686" s="13">
        <v>853557.0931</v>
      </c>
      <c r="H2686" s="14">
        <v>3072911376.2395439</v>
      </c>
      <c r="I2686" s="14" t="e">
        <f>=Round(69228.57680000,0)</f>
        <v>#VALUE!</v>
      </c>
      <c r="J2686" s="14" t="e">
        <f>=Round(31467.50340000,0)</f>
        <v>#VALUE!</v>
      </c>
    </row>
    <row r="2687">
      <c r="A2687" s="11" t="s">
        <v>52</v>
      </c>
      <c r="B2687" s="12">
        <v>3600.7905</v>
      </c>
      <c r="C2687" s="12">
        <v>152.7442</v>
      </c>
      <c r="D2687" s="13">
        <v>550000</v>
      </c>
      <c r="E2687" s="12">
        <v>0</v>
      </c>
      <c r="F2687" s="14">
        <v>0</v>
      </c>
      <c r="G2687" s="13">
        <v>853695.9772</v>
      </c>
      <c r="H2687" s="14">
        <v>3073980364.5899768</v>
      </c>
      <c r="I2687" s="14" t="e">
        <f>=Round(69266.44500000,0)</f>
        <v>#VALUE!</v>
      </c>
      <c r="J2687" s="14" t="e">
        <f>=Round(31484.71620000,0)</f>
        <v>#VALUE!</v>
      </c>
    </row>
    <row r="2688">
      <c r="A2688" s="11" t="s">
        <v>53</v>
      </c>
      <c r="B2688" s="12">
        <v>3601.445</v>
      </c>
      <c r="C2688" s="12">
        <v>55.5333</v>
      </c>
      <c r="D2688" s="13">
        <v>200000</v>
      </c>
      <c r="E2688" s="12">
        <v>0</v>
      </c>
      <c r="F2688" s="14">
        <v>0</v>
      </c>
      <c r="G2688" s="13">
        <v>853848.7214</v>
      </c>
      <c r="H2688" s="14">
        <v>3075089208.4424229</v>
      </c>
      <c r="I2688" s="14" t="e">
        <f>=Round(69290.54100000,0)</f>
        <v>#VALUE!</v>
      </c>
      <c r="J2688" s="14" t="e">
        <f>=Round(31495.66900000,0)</f>
        <v>#VALUE!</v>
      </c>
    </row>
    <row r="2689">
      <c r="A2689" s="11" t="s">
        <v>54</v>
      </c>
      <c r="B2689" s="12">
        <v>3602.0851</v>
      </c>
      <c r="C2689" s="12">
        <v>0</v>
      </c>
      <c r="D2689" s="13">
        <v>0</v>
      </c>
      <c r="E2689" s="12">
        <v>0</v>
      </c>
      <c r="F2689" s="14">
        <v>0</v>
      </c>
      <c r="G2689" s="13">
        <v>853904.2547</v>
      </c>
      <c r="H2689" s="14">
        <v>3075835792.6814752</v>
      </c>
      <c r="I2689" s="14" t="e">
        <f>=Round(69315.53540000,0)</f>
        <v>#VALUE!</v>
      </c>
      <c r="J2689" s="14" t="e">
        <f>=Round(31507.03010000,0)</f>
        <v>#VALUE!</v>
      </c>
    </row>
    <row r="2690">
      <c r="A2690" s="11" t="s">
        <v>55</v>
      </c>
      <c r="B2690" s="12">
        <v>3602.7417</v>
      </c>
      <c r="C2690" s="12">
        <v>1318.4404</v>
      </c>
      <c r="D2690" s="13">
        <v>4750000</v>
      </c>
      <c r="E2690" s="12">
        <v>0</v>
      </c>
      <c r="F2690" s="14">
        <v>0</v>
      </c>
      <c r="G2690" s="13">
        <v>853904.2547</v>
      </c>
      <c r="H2690" s="14">
        <v>3076396466.2151108</v>
      </c>
      <c r="I2690" s="14" t="e">
        <f>=Round(69332.36420000,0)</f>
        <v>#VALUE!</v>
      </c>
      <c r="J2690" s="14" t="e">
        <f>=Round(31514.67950000,0)</f>
        <v>#VALUE!</v>
      </c>
    </row>
    <row r="2691" ht="-1">
      <c r="A2691" s="15"/>
      <c r="B2691" s="16" t="s">
        <v>56</v>
      </c>
      <c r="C2691" s="15"/>
      <c r="D2691" s="15"/>
      <c r="E2691" s="15"/>
      <c r="F2691" s="15"/>
      <c r="G2691" s="15"/>
      <c r="H2691" s="15"/>
      <c r="I2691" s="17" t="e">
        <f>=Round(SUM(I2665:I2690),0)</f>
        <v>#VALUE!</v>
      </c>
      <c r="J2691" s="17" t="e">
        <f>=Round(SUM(J2665:J2690),0)</f>
        <v>#VALUE!</v>
      </c>
    </row>
    <row r="2692">
      <c r="A2692" s="1" t="s">
        <v>0</v>
      </c>
      <c r="B2692" s="1"/>
      <c r="C2692" s="1"/>
      <c r="D2692" s="1"/>
    </row>
    <row r="2693">
      <c r="A2693" s="0" t="s">
        <v>1</v>
      </c>
      <c r="C2693" s="0" t="s">
        <v>2</v>
      </c>
      <c r="H2693" s="2" t="s">
        <v>3</v>
      </c>
    </row>
    <row r="2694">
      <c r="A2694" s="0" t="s">
        <v>4</v>
      </c>
      <c r="C2694" s="0" t="s">
        <v>127</v>
      </c>
      <c r="H2694" s="3" t="s">
        <v>6</v>
      </c>
    </row>
    <row r="2695">
      <c r="A2695" s="0" t="s">
        <v>7</v>
      </c>
      <c r="C2695" s="4" t="s">
        <v>8</v>
      </c>
      <c r="H2695" s="2" t="s">
        <v>9</v>
      </c>
    </row>
    <row r="2696">
      <c r="A2696" s="0" t="s">
        <v>10</v>
      </c>
      <c r="C2696" s="4" t="s">
        <v>124</v>
      </c>
      <c r="H2696" s="2" t="s">
        <v>12</v>
      </c>
    </row>
    <row r="2697">
      <c r="A2697" s="0" t="s">
        <v>13</v>
      </c>
      <c r="C2697" s="0" t="s">
        <v>14</v>
      </c>
    </row>
    <row r="2698">
      <c r="A2698" s="0" t="s">
        <v>15</v>
      </c>
      <c r="C2698" s="0" t="s">
        <v>16</v>
      </c>
    </row>
    <row r="2699">
      <c r="A2699" s="0" t="s">
        <v>17</v>
      </c>
      <c r="C2699" s="0" t="s">
        <v>18</v>
      </c>
    </row>
    <row r="2702">
      <c r="A2702" s="5" t="s">
        <v>19</v>
      </c>
      <c r="B2702" s="5" t="s">
        <v>20</v>
      </c>
      <c r="C2702" s="7" t="s">
        <v>21</v>
      </c>
      <c r="D2702" s="9"/>
      <c r="E2702" s="7" t="s">
        <v>22</v>
      </c>
      <c r="F2702" s="9"/>
      <c r="G2702" s="5" t="s">
        <v>23</v>
      </c>
      <c r="H2702" s="5" t="s">
        <v>24</v>
      </c>
      <c r="I2702" s="5" t="s">
        <v>25</v>
      </c>
      <c r="J2702" s="5" t="s">
        <v>125</v>
      </c>
    </row>
    <row r="2703">
      <c r="A2703" s="6"/>
      <c r="B2703" s="6"/>
      <c r="C2703" s="8" t="s">
        <v>27</v>
      </c>
      <c r="D2703" s="8" t="s">
        <v>28</v>
      </c>
      <c r="E2703" s="8" t="s">
        <v>27</v>
      </c>
      <c r="F2703" s="8" t="s">
        <v>28</v>
      </c>
      <c r="G2703" s="6"/>
      <c r="H2703" s="6"/>
      <c r="I2703" s="10" t="s">
        <v>29</v>
      </c>
      <c r="J2703" s="6"/>
    </row>
    <row r="2704">
      <c r="A2704" s="11" t="s">
        <v>30</v>
      </c>
      <c r="B2704" s="12">
        <v>3586.4187</v>
      </c>
      <c r="C2704" s="12">
        <v>1394.1485</v>
      </c>
      <c r="D2704" s="13">
        <v>5000000</v>
      </c>
      <c r="E2704" s="12">
        <v>31.9621</v>
      </c>
      <c r="F2704" s="14">
        <v>114629</v>
      </c>
      <c r="G2704" s="13">
        <v>422120.5196</v>
      </c>
      <c r="H2704" s="14">
        <v>1513900925.147157</v>
      </c>
      <c r="I2704" s="14" t="e">
        <f>=Round(34484.63970000,0)</f>
        <v>#VALUE!</v>
      </c>
      <c r="J2704" s="14" t="e">
        <f>=Round(15674.82050000,0)</f>
        <v>#VALUE!</v>
      </c>
    </row>
    <row r="2705">
      <c r="A2705" s="11" t="s">
        <v>31</v>
      </c>
      <c r="B2705" s="12">
        <v>3587.0477</v>
      </c>
      <c r="C2705" s="12">
        <v>320.7625</v>
      </c>
      <c r="D2705" s="13">
        <v>1150590</v>
      </c>
      <c r="E2705" s="12">
        <v>0</v>
      </c>
      <c r="F2705" s="14">
        <v>0</v>
      </c>
      <c r="G2705" s="13">
        <v>423482.706</v>
      </c>
      <c r="H2705" s="14">
        <v>1519052666.547076</v>
      </c>
      <c r="I2705" s="14" t="e">
        <f>=Round(34124.81590000,0)</f>
        <v>#VALUE!</v>
      </c>
      <c r="J2705" s="14" t="e">
        <f>=Round(15511.26450000,0)</f>
        <v>#VALUE!</v>
      </c>
    </row>
    <row r="2706">
      <c r="A2706" s="11" t="s">
        <v>32</v>
      </c>
      <c r="B2706" s="12">
        <v>3587.6685</v>
      </c>
      <c r="C2706" s="12">
        <v>457.1214</v>
      </c>
      <c r="D2706" s="13">
        <v>1640000</v>
      </c>
      <c r="E2706" s="12">
        <v>13956.8716</v>
      </c>
      <c r="F2706" s="14">
        <v>50072629</v>
      </c>
      <c r="G2706" s="13">
        <v>423803.4685</v>
      </c>
      <c r="H2706" s="14">
        <v>1520466354.128192</v>
      </c>
      <c r="I2706" s="14" t="e">
        <f>=Round(34240.94130000,0)</f>
        <v>#VALUE!</v>
      </c>
      <c r="J2706" s="14" t="e">
        <f>=Round(15564.04860000,0)</f>
        <v>#VALUE!</v>
      </c>
    </row>
    <row r="2707">
      <c r="A2707" s="11" t="s">
        <v>33</v>
      </c>
      <c r="B2707" s="12">
        <v>3588.3573</v>
      </c>
      <c r="C2707" s="12">
        <v>532.277</v>
      </c>
      <c r="D2707" s="13">
        <v>1910000</v>
      </c>
      <c r="E2707" s="12">
        <v>69.8341</v>
      </c>
      <c r="F2707" s="14">
        <v>250590</v>
      </c>
      <c r="G2707" s="13">
        <v>410303.7183</v>
      </c>
      <c r="H2707" s="14">
        <v>1472316342.778949</v>
      </c>
      <c r="I2707" s="14" t="e">
        <f>=Round(34272.80720000,0)</f>
        <v>#VALUE!</v>
      </c>
      <c r="J2707" s="14" t="e">
        <f>=Round(15578.53310000,0)</f>
        <v>#VALUE!</v>
      </c>
    </row>
    <row r="2708">
      <c r="A2708" s="11" t="s">
        <v>34</v>
      </c>
      <c r="B2708" s="12">
        <v>3589.0109</v>
      </c>
      <c r="C2708" s="12">
        <v>27.8628</v>
      </c>
      <c r="D2708" s="13">
        <v>100000</v>
      </c>
      <c r="E2708" s="12">
        <v>484.985</v>
      </c>
      <c r="F2708" s="14">
        <v>1740616</v>
      </c>
      <c r="G2708" s="13">
        <v>410766.1612</v>
      </c>
      <c r="H2708" s="14">
        <v>1474244229.8979571</v>
      </c>
      <c r="I2708" s="14" t="e">
        <f>=Round(33187.45850000,0)</f>
        <v>#VALUE!</v>
      </c>
      <c r="J2708" s="14" t="e">
        <f>=Round(15085.19330000,0)</f>
        <v>#VALUE!</v>
      </c>
    </row>
    <row r="2709">
      <c r="A2709" s="11" t="s">
        <v>35</v>
      </c>
      <c r="B2709" s="12">
        <v>3589.0109</v>
      </c>
      <c r="C2709" s="12">
        <v>0</v>
      </c>
      <c r="D2709" s="13">
        <v>0</v>
      </c>
      <c r="E2709" s="12">
        <v>0</v>
      </c>
      <c r="F2709" s="14">
        <v>0</v>
      </c>
      <c r="G2709" s="13">
        <v>410766.1612</v>
      </c>
      <c r="H2709" s="14">
        <v>1474244229.8979571</v>
      </c>
      <c r="I2709" s="14" t="e">
        <f>=Round(33230.91500000,0)</f>
        <v>#VALUE!</v>
      </c>
      <c r="J2709" s="14" t="e">
        <f>=Round(15104.94630000,0)</f>
        <v>#VALUE!</v>
      </c>
    </row>
    <row r="2710">
      <c r="A2710" s="11" t="s">
        <v>36</v>
      </c>
      <c r="B2710" s="12">
        <v>3589.0109</v>
      </c>
      <c r="C2710" s="12">
        <v>0</v>
      </c>
      <c r="D2710" s="13">
        <v>0</v>
      </c>
      <c r="E2710" s="12">
        <v>0</v>
      </c>
      <c r="F2710" s="14">
        <v>0</v>
      </c>
      <c r="G2710" s="13">
        <v>410766.1612</v>
      </c>
      <c r="H2710" s="14">
        <v>1474244229.8979571</v>
      </c>
      <c r="I2710" s="14" t="e">
        <f>=Round(33230.91500000,0)</f>
        <v>#VALUE!</v>
      </c>
      <c r="J2710" s="14" t="e">
        <f>=Round(15104.94630000,0)</f>
        <v>#VALUE!</v>
      </c>
    </row>
    <row r="2711">
      <c r="A2711" s="11" t="s">
        <v>37</v>
      </c>
      <c r="B2711" s="12">
        <v>3590.972</v>
      </c>
      <c r="C2711" s="12">
        <v>1141.8179</v>
      </c>
      <c r="D2711" s="13">
        <v>4100236</v>
      </c>
      <c r="E2711" s="12">
        <v>426.3801</v>
      </c>
      <c r="F2711" s="14">
        <v>1531119</v>
      </c>
      <c r="G2711" s="13">
        <v>410309.039</v>
      </c>
      <c r="H2711" s="14">
        <v>1473408270.3959081</v>
      </c>
      <c r="I2711" s="14" t="e">
        <f>=Round(33230.91500000,0)</f>
        <v>#VALUE!</v>
      </c>
      <c r="J2711" s="14" t="e">
        <f>=Round(15104.94630000,0)</f>
        <v>#VALUE!</v>
      </c>
    </row>
    <row r="2712">
      <c r="A2712" s="11" t="s">
        <v>38</v>
      </c>
      <c r="B2712" s="12">
        <v>3591.6235</v>
      </c>
      <c r="C2712" s="12">
        <v>27.8426</v>
      </c>
      <c r="D2712" s="13">
        <v>100000</v>
      </c>
      <c r="E2712" s="12">
        <v>97.4666</v>
      </c>
      <c r="F2712" s="14">
        <v>350063</v>
      </c>
      <c r="G2712" s="13">
        <v>411024.4768</v>
      </c>
      <c r="H2712" s="14">
        <v>1476245169.9500849</v>
      </c>
      <c r="I2712" s="14" t="e">
        <f>=Round(33212.07170000,0)</f>
        <v>#VALUE!</v>
      </c>
      <c r="J2712" s="14" t="e">
        <f>=Round(15096.38110000,0)</f>
        <v>#VALUE!</v>
      </c>
    </row>
    <row r="2713">
      <c r="A2713" s="11" t="s">
        <v>39</v>
      </c>
      <c r="B2713" s="12">
        <v>3592.281</v>
      </c>
      <c r="C2713" s="12">
        <v>654.1806</v>
      </c>
      <c r="D2713" s="13">
        <v>2350000</v>
      </c>
      <c r="E2713" s="12">
        <v>458.3926</v>
      </c>
      <c r="F2713" s="14">
        <v>1646675</v>
      </c>
      <c r="G2713" s="13">
        <v>410954.8528</v>
      </c>
      <c r="H2713" s="14">
        <v>1476265309.5712371</v>
      </c>
      <c r="I2713" s="14" t="e">
        <f>=Round(33276.01820000,0)</f>
        <v>#VALUE!</v>
      </c>
      <c r="J2713" s="14" t="e">
        <f>=Round(15125.44770000,0)</f>
        <v>#VALUE!</v>
      </c>
    </row>
    <row r="2714">
      <c r="A2714" s="11" t="s">
        <v>40</v>
      </c>
      <c r="B2714" s="12">
        <v>3592.9125</v>
      </c>
      <c r="C2714" s="12">
        <v>946.3076</v>
      </c>
      <c r="D2714" s="13">
        <v>3400000</v>
      </c>
      <c r="E2714" s="12">
        <v>431.9547</v>
      </c>
      <c r="F2714" s="14">
        <v>1551975</v>
      </c>
      <c r="G2714" s="13">
        <v>411150.6408</v>
      </c>
      <c r="H2714" s="14">
        <v>1477228276.71333</v>
      </c>
      <c r="I2714" s="14" t="e">
        <f>=Round(33276.47210000,0)</f>
        <v>#VALUE!</v>
      </c>
      <c r="J2714" s="14" t="e">
        <f>=Round(15125.65400000,0)</f>
        <v>#VALUE!</v>
      </c>
    </row>
    <row r="2715">
      <c r="A2715" s="11" t="s">
        <v>41</v>
      </c>
      <c r="B2715" s="12">
        <v>3593.5674</v>
      </c>
      <c r="C2715" s="12">
        <v>0</v>
      </c>
      <c r="D2715" s="13">
        <v>0</v>
      </c>
      <c r="E2715" s="12">
        <v>11623.3197</v>
      </c>
      <c r="F2715" s="14">
        <v>41769182.75</v>
      </c>
      <c r="G2715" s="13">
        <v>411664.9937</v>
      </c>
      <c r="H2715" s="14">
        <v>1479345901.0815251</v>
      </c>
      <c r="I2715" s="14" t="e">
        <f>=Round(33298.17840000,0)</f>
        <v>#VALUE!</v>
      </c>
      <c r="J2715" s="14" t="e">
        <f>=Round(15135.52050000,0)</f>
        <v>#VALUE!</v>
      </c>
    </row>
    <row r="2716">
      <c r="A2716" s="11" t="s">
        <v>42</v>
      </c>
      <c r="B2716" s="12">
        <v>3593.5674</v>
      </c>
      <c r="C2716" s="12">
        <v>0</v>
      </c>
      <c r="D2716" s="13">
        <v>0</v>
      </c>
      <c r="E2716" s="12">
        <v>0</v>
      </c>
      <c r="F2716" s="14">
        <v>0</v>
      </c>
      <c r="G2716" s="13">
        <v>411664.9937</v>
      </c>
      <c r="H2716" s="14">
        <v>1479345901.0815251</v>
      </c>
      <c r="I2716" s="14" t="e">
        <f>=Round(33345.91170000,0)</f>
        <v>#VALUE!</v>
      </c>
      <c r="J2716" s="14" t="e">
        <f>=Round(15157.21740000,0)</f>
        <v>#VALUE!</v>
      </c>
    </row>
    <row r="2717">
      <c r="A2717" s="11" t="s">
        <v>43</v>
      </c>
      <c r="B2717" s="12">
        <v>3593.5674</v>
      </c>
      <c r="C2717" s="12">
        <v>0</v>
      </c>
      <c r="D2717" s="13">
        <v>0</v>
      </c>
      <c r="E2717" s="12">
        <v>0</v>
      </c>
      <c r="F2717" s="14">
        <v>0</v>
      </c>
      <c r="G2717" s="13">
        <v>411664.9937</v>
      </c>
      <c r="H2717" s="14">
        <v>1479345901.0815251</v>
      </c>
      <c r="I2717" s="14" t="e">
        <f>=Round(33345.91170000,0)</f>
        <v>#VALUE!</v>
      </c>
      <c r="J2717" s="14" t="e">
        <f>=Round(15157.21740000,0)</f>
        <v>#VALUE!</v>
      </c>
    </row>
    <row r="2718">
      <c r="A2718" s="11" t="s">
        <v>44</v>
      </c>
      <c r="B2718" s="12">
        <v>3595.5366</v>
      </c>
      <c r="C2718" s="12">
        <v>0</v>
      </c>
      <c r="D2718" s="13">
        <v>0</v>
      </c>
      <c r="E2718" s="12">
        <v>1664.7306</v>
      </c>
      <c r="F2718" s="14">
        <v>5985523</v>
      </c>
      <c r="G2718" s="13">
        <v>400041.674</v>
      </c>
      <c r="H2718" s="14">
        <v>1438364480.3922679</v>
      </c>
      <c r="I2718" s="14" t="e">
        <f>=Round(33345.91170000,0)</f>
        <v>#VALUE!</v>
      </c>
      <c r="J2718" s="14" t="e">
        <f>=Round(15157.21740000,0)</f>
        <v>#VALUE!</v>
      </c>
    </row>
    <row r="2719">
      <c r="A2719" s="11" t="s">
        <v>45</v>
      </c>
      <c r="B2719" s="12">
        <v>3596.1915</v>
      </c>
      <c r="C2719" s="12">
        <v>0</v>
      </c>
      <c r="D2719" s="13">
        <v>0</v>
      </c>
      <c r="E2719" s="12">
        <v>57.1127</v>
      </c>
      <c r="F2719" s="14">
        <v>205388</v>
      </c>
      <c r="G2719" s="13">
        <v>398376.9434</v>
      </c>
      <c r="H2719" s="14">
        <v>1432639777.6510611</v>
      </c>
      <c r="I2719" s="14" t="e">
        <f>=Round(32422.15020000,0)</f>
        <v>#VALUE!</v>
      </c>
      <c r="J2719" s="14" t="e">
        <f>=Round(14737.32630000,0)</f>
        <v>#VALUE!</v>
      </c>
    </row>
    <row r="2720">
      <c r="A2720" s="11" t="s">
        <v>46</v>
      </c>
      <c r="B2720" s="12">
        <v>3596.8461</v>
      </c>
      <c r="C2720" s="12">
        <v>55.6043</v>
      </c>
      <c r="D2720" s="13">
        <v>200000</v>
      </c>
      <c r="E2720" s="12">
        <v>0.0001</v>
      </c>
      <c r="F2720" s="14">
        <v>0</v>
      </c>
      <c r="G2720" s="13">
        <v>398319.8307</v>
      </c>
      <c r="H2720" s="14">
        <v>1432695129.6059549</v>
      </c>
      <c r="I2720" s="14" t="e">
        <f>=Round(32293.10970000,0)</f>
        <v>#VALUE!</v>
      </c>
      <c r="J2720" s="14" t="e">
        <f>=Round(14678.67160000,0)</f>
        <v>#VALUE!</v>
      </c>
    </row>
    <row r="2721">
      <c r="A2721" s="11" t="s">
        <v>47</v>
      </c>
      <c r="B2721" s="12">
        <v>3597.4992</v>
      </c>
      <c r="C2721" s="12">
        <v>55.5942</v>
      </c>
      <c r="D2721" s="13">
        <v>200000</v>
      </c>
      <c r="E2721" s="12">
        <v>84.8</v>
      </c>
      <c r="F2721" s="14">
        <v>305068</v>
      </c>
      <c r="G2721" s="13">
        <v>398375.4349</v>
      </c>
      <c r="H2721" s="14">
        <v>1433155308.352402</v>
      </c>
      <c r="I2721" s="14" t="e">
        <f>=Round(32294.35740000,0)</f>
        <v>#VALUE!</v>
      </c>
      <c r="J2721" s="14" t="e">
        <f>=Round(14679.23870000,0)</f>
        <v>#VALUE!</v>
      </c>
    </row>
    <row r="2722">
      <c r="A2722" s="11" t="s">
        <v>48</v>
      </c>
      <c r="B2722" s="12">
        <v>3598.1558</v>
      </c>
      <c r="C2722" s="12">
        <v>2417.9053</v>
      </c>
      <c r="D2722" s="13">
        <v>8700000</v>
      </c>
      <c r="E2722" s="12">
        <v>139.01</v>
      </c>
      <c r="F2722" s="14">
        <v>500180</v>
      </c>
      <c r="G2722" s="13">
        <v>398346.2291</v>
      </c>
      <c r="H2722" s="14">
        <v>1433311794.644294</v>
      </c>
      <c r="I2722" s="14" t="e">
        <f>=Round(32304.73030000,0)</f>
        <v>#VALUE!</v>
      </c>
      <c r="J2722" s="14" t="e">
        <f>=Round(14683.95360000,0)</f>
        <v>#VALUE!</v>
      </c>
    </row>
    <row r="2723">
      <c r="A2723" s="11" t="s">
        <v>49</v>
      </c>
      <c r="B2723" s="12">
        <v>3598.1558</v>
      </c>
      <c r="C2723" s="12">
        <v>0</v>
      </c>
      <c r="D2723" s="13">
        <v>0</v>
      </c>
      <c r="E2723" s="12">
        <v>0</v>
      </c>
      <c r="F2723" s="14">
        <v>0</v>
      </c>
      <c r="G2723" s="13">
        <v>398346.2291</v>
      </c>
      <c r="H2723" s="14">
        <v>1433311794.644294</v>
      </c>
      <c r="I2723" s="14" t="e">
        <f>=Round(32308.25770000,0)</f>
        <v>#VALUE!</v>
      </c>
      <c r="J2723" s="14" t="e">
        <f>=Round(14685.55700000,0)</f>
        <v>#VALUE!</v>
      </c>
    </row>
    <row r="2724">
      <c r="A2724" s="11" t="s">
        <v>50</v>
      </c>
      <c r="B2724" s="12">
        <v>3598.1558</v>
      </c>
      <c r="C2724" s="12">
        <v>0</v>
      </c>
      <c r="D2724" s="13">
        <v>0</v>
      </c>
      <c r="E2724" s="12">
        <v>0</v>
      </c>
      <c r="F2724" s="14">
        <v>0</v>
      </c>
      <c r="G2724" s="13">
        <v>398346.2291</v>
      </c>
      <c r="H2724" s="14">
        <v>1433311794.644294</v>
      </c>
      <c r="I2724" s="14" t="e">
        <f>=Round(32308.25770000,0)</f>
        <v>#VALUE!</v>
      </c>
      <c r="J2724" s="14" t="e">
        <f>=Round(14685.55700000,0)</f>
        <v>#VALUE!</v>
      </c>
    </row>
    <row r="2725">
      <c r="A2725" s="11" t="s">
        <v>51</v>
      </c>
      <c r="B2725" s="12">
        <v>3600.124</v>
      </c>
      <c r="C2725" s="12">
        <v>277.7682</v>
      </c>
      <c r="D2725" s="13">
        <v>1000000</v>
      </c>
      <c r="E2725" s="12">
        <v>322.9277</v>
      </c>
      <c r="F2725" s="14">
        <v>1162580</v>
      </c>
      <c r="G2725" s="13">
        <v>400625.1244</v>
      </c>
      <c r="H2725" s="14">
        <v>1442300125.3554261</v>
      </c>
      <c r="I2725" s="14" t="e">
        <f>=Round(32308.25770000,0)</f>
        <v>#VALUE!</v>
      </c>
      <c r="J2725" s="14" t="e">
        <f>=Round(14685.55700000,0)</f>
        <v>#VALUE!</v>
      </c>
    </row>
    <row r="2726">
      <c r="A2726" s="11" t="s">
        <v>52</v>
      </c>
      <c r="B2726" s="12">
        <v>3600.7905</v>
      </c>
      <c r="C2726" s="12">
        <v>83.3151</v>
      </c>
      <c r="D2726" s="13">
        <v>300000</v>
      </c>
      <c r="E2726" s="12">
        <v>0</v>
      </c>
      <c r="F2726" s="14">
        <v>0</v>
      </c>
      <c r="G2726" s="13">
        <v>400579.9649</v>
      </c>
      <c r="H2726" s="14">
        <v>1442404532.102253</v>
      </c>
      <c r="I2726" s="14" t="e">
        <f>=Round(32510.86350000,0)</f>
        <v>#VALUE!</v>
      </c>
      <c r="J2726" s="14" t="e">
        <f>=Round(14777.65040000,0)</f>
        <v>#VALUE!</v>
      </c>
    </row>
    <row r="2727">
      <c r="A2727" s="11" t="s">
        <v>53</v>
      </c>
      <c r="B2727" s="12">
        <v>3601.445</v>
      </c>
      <c r="C2727" s="12">
        <v>555.3327</v>
      </c>
      <c r="D2727" s="13">
        <v>2000000</v>
      </c>
      <c r="E2727" s="12">
        <v>292.1455</v>
      </c>
      <c r="F2727" s="14">
        <v>1052146</v>
      </c>
      <c r="G2727" s="13">
        <v>400663.28</v>
      </c>
      <c r="H2727" s="14">
        <v>1442966766.4396</v>
      </c>
      <c r="I2727" s="14" t="e">
        <f>=Round(32513.21690000,0)</f>
        <v>#VALUE!</v>
      </c>
      <c r="J2727" s="14" t="e">
        <f>=Round(14778.72020000,0)</f>
        <v>#VALUE!</v>
      </c>
    </row>
    <row r="2728">
      <c r="A2728" s="11" t="s">
        <v>54</v>
      </c>
      <c r="B2728" s="12">
        <v>3602.0851</v>
      </c>
      <c r="C2728" s="12">
        <v>1082.9428</v>
      </c>
      <c r="D2728" s="13">
        <v>3900852</v>
      </c>
      <c r="E2728" s="12">
        <v>43.5489</v>
      </c>
      <c r="F2728" s="14">
        <v>156867</v>
      </c>
      <c r="G2728" s="13">
        <v>400926.4672</v>
      </c>
      <c r="H2728" s="14">
        <v>1444171253.696759</v>
      </c>
      <c r="I2728" s="14" t="e">
        <f>=Round(32525.89020000,0)</f>
        <v>#VALUE!</v>
      </c>
      <c r="J2728" s="14" t="e">
        <f>=Round(14784.48080000,0)</f>
        <v>#VALUE!</v>
      </c>
    </row>
    <row r="2729">
      <c r="A2729" s="11" t="s">
        <v>55</v>
      </c>
      <c r="B2729" s="12">
        <v>3602.7417</v>
      </c>
      <c r="C2729" s="12">
        <v>0</v>
      </c>
      <c r="D2729" s="13">
        <v>0</v>
      </c>
      <c r="E2729" s="12">
        <v>0</v>
      </c>
      <c r="F2729" s="14">
        <v>0</v>
      </c>
      <c r="G2729" s="13">
        <v>401965.8611</v>
      </c>
      <c r="H2729" s="14">
        <v>1448179169.7613781</v>
      </c>
      <c r="I2729" s="14" t="e">
        <f>=Round(32553.04060000,0)</f>
        <v>#VALUE!</v>
      </c>
      <c r="J2729" s="14" t="e">
        <f>=Round(14796.82180000,0)</f>
        <v>#VALUE!</v>
      </c>
    </row>
    <row r="2730" ht="-1">
      <c r="A2730" s="15"/>
      <c r="B2730" s="16" t="s">
        <v>56</v>
      </c>
      <c r="C2730" s="15"/>
      <c r="D2730" s="15"/>
      <c r="E2730" s="15"/>
      <c r="F2730" s="15"/>
      <c r="G2730" s="15"/>
      <c r="H2730" s="15"/>
      <c r="I2730" s="17" t="e">
        <f>=Round(SUM(I2704:I2729),0)</f>
        <v>#VALUE!</v>
      </c>
      <c r="J2730" s="17" t="e">
        <f>=Round(SUM(J2704:J2729),0)</f>
        <v>#VALUE!</v>
      </c>
    </row>
    <row r="2731">
      <c r="A2731" s="1" t="s">
        <v>0</v>
      </c>
      <c r="B2731" s="1"/>
      <c r="C2731" s="1"/>
      <c r="D2731" s="1"/>
    </row>
    <row r="2732">
      <c r="A2732" s="0" t="s">
        <v>1</v>
      </c>
      <c r="C2732" s="0" t="s">
        <v>2</v>
      </c>
      <c r="H2732" s="2" t="s">
        <v>3</v>
      </c>
    </row>
    <row r="2733">
      <c r="A2733" s="0" t="s">
        <v>4</v>
      </c>
      <c r="C2733" s="0" t="s">
        <v>128</v>
      </c>
      <c r="H2733" s="3" t="s">
        <v>6</v>
      </c>
    </row>
    <row r="2734">
      <c r="A2734" s="0" t="s">
        <v>7</v>
      </c>
      <c r="C2734" s="4" t="s">
        <v>8</v>
      </c>
      <c r="H2734" s="2" t="s">
        <v>9</v>
      </c>
    </row>
    <row r="2735">
      <c r="A2735" s="0" t="s">
        <v>10</v>
      </c>
      <c r="C2735" s="4" t="s">
        <v>124</v>
      </c>
      <c r="H2735" s="2" t="s">
        <v>12</v>
      </c>
    </row>
    <row r="2736">
      <c r="A2736" s="0" t="s">
        <v>13</v>
      </c>
      <c r="C2736" s="0" t="s">
        <v>14</v>
      </c>
    </row>
    <row r="2737">
      <c r="A2737" s="0" t="s">
        <v>15</v>
      </c>
      <c r="C2737" s="0" t="s">
        <v>16</v>
      </c>
    </row>
    <row r="2738">
      <c r="A2738" s="0" t="s">
        <v>17</v>
      </c>
      <c r="C2738" s="0" t="s">
        <v>18</v>
      </c>
    </row>
    <row r="2741">
      <c r="A2741" s="5" t="s">
        <v>19</v>
      </c>
      <c r="B2741" s="5" t="s">
        <v>20</v>
      </c>
      <c r="C2741" s="7" t="s">
        <v>21</v>
      </c>
      <c r="D2741" s="9"/>
      <c r="E2741" s="7" t="s">
        <v>22</v>
      </c>
      <c r="F2741" s="9"/>
      <c r="G2741" s="5" t="s">
        <v>23</v>
      </c>
      <c r="H2741" s="5" t="s">
        <v>24</v>
      </c>
      <c r="I2741" s="5" t="s">
        <v>25</v>
      </c>
      <c r="J2741" s="5" t="s">
        <v>125</v>
      </c>
    </row>
    <row r="2742">
      <c r="A2742" s="6"/>
      <c r="B2742" s="6"/>
      <c r="C2742" s="8" t="s">
        <v>27</v>
      </c>
      <c r="D2742" s="8" t="s">
        <v>28</v>
      </c>
      <c r="E2742" s="8" t="s">
        <v>27</v>
      </c>
      <c r="F2742" s="8" t="s">
        <v>28</v>
      </c>
      <c r="G2742" s="6"/>
      <c r="H2742" s="6"/>
      <c r="I2742" s="10" t="s">
        <v>29</v>
      </c>
      <c r="J2742" s="6"/>
    </row>
    <row r="2743">
      <c r="A2743" s="11" t="s">
        <v>30</v>
      </c>
      <c r="B2743" s="12">
        <v>3586.4187</v>
      </c>
      <c r="C2743" s="12">
        <v>0</v>
      </c>
      <c r="D2743" s="13">
        <v>0</v>
      </c>
      <c r="E2743" s="12">
        <v>0</v>
      </c>
      <c r="F2743" s="14">
        <v>0</v>
      </c>
      <c r="G2743" s="13">
        <v>583718.0057</v>
      </c>
      <c r="H2743" s="14">
        <v>2093457171.1691871</v>
      </c>
      <c r="I2743" s="14" t="e">
        <f>=Round(47162.63440000,0)</f>
        <v>#VALUE!</v>
      </c>
      <c r="J2743" s="14" t="e">
        <f>=Round(21437.53970000,0)</f>
        <v>#VALUE!</v>
      </c>
    </row>
    <row r="2744">
      <c r="A2744" s="11" t="s">
        <v>31</v>
      </c>
      <c r="B2744" s="12">
        <v>3587.0477</v>
      </c>
      <c r="C2744" s="12">
        <v>0</v>
      </c>
      <c r="D2744" s="13">
        <v>0</v>
      </c>
      <c r="E2744" s="12">
        <v>0</v>
      </c>
      <c r="F2744" s="14">
        <v>0</v>
      </c>
      <c r="G2744" s="13">
        <v>583718.0057</v>
      </c>
      <c r="H2744" s="14">
        <v>2093824329.7947719</v>
      </c>
      <c r="I2744" s="14" t="e">
        <f>=Round(47188.58380000,0)</f>
        <v>#VALUE!</v>
      </c>
      <c r="J2744" s="14" t="e">
        <f>=Round(21449.33480000,0)</f>
        <v>#VALUE!</v>
      </c>
    </row>
    <row r="2745">
      <c r="A2745" s="11" t="s">
        <v>32</v>
      </c>
      <c r="B2745" s="12">
        <v>3587.6685</v>
      </c>
      <c r="C2745" s="12">
        <v>0</v>
      </c>
      <c r="D2745" s="13">
        <v>0</v>
      </c>
      <c r="E2745" s="12">
        <v>0</v>
      </c>
      <c r="F2745" s="14">
        <v>0</v>
      </c>
      <c r="G2745" s="13">
        <v>583718.0057</v>
      </c>
      <c r="H2745" s="14">
        <v>2094186701.93271</v>
      </c>
      <c r="I2745" s="14" t="e">
        <f>=Round(47196.85990000,0)</f>
        <v>#VALUE!</v>
      </c>
      <c r="J2745" s="14" t="e">
        <f>=Round(21453.09670000,0)</f>
        <v>#VALUE!</v>
      </c>
    </row>
    <row r="2746">
      <c r="A2746" s="11" t="s">
        <v>33</v>
      </c>
      <c r="B2746" s="12">
        <v>3588.3573</v>
      </c>
      <c r="C2746" s="12">
        <v>41801.8574</v>
      </c>
      <c r="D2746" s="13">
        <v>150000000</v>
      </c>
      <c r="E2746" s="12">
        <v>0</v>
      </c>
      <c r="F2746" s="14">
        <v>0</v>
      </c>
      <c r="G2746" s="13">
        <v>583718.0057</v>
      </c>
      <c r="H2746" s="14">
        <v>2094588766.8950369</v>
      </c>
      <c r="I2746" s="14" t="e">
        <f>=Round(47205.02810000,0)</f>
        <v>#VALUE!</v>
      </c>
      <c r="J2746" s="14" t="e">
        <f>=Round(21456.80950000,0)</f>
        <v>#VALUE!</v>
      </c>
    </row>
    <row r="2747">
      <c r="A2747" s="11" t="s">
        <v>34</v>
      </c>
      <c r="B2747" s="12">
        <v>3589.0109</v>
      </c>
      <c r="C2747" s="12">
        <v>0</v>
      </c>
      <c r="D2747" s="13">
        <v>0</v>
      </c>
      <c r="E2747" s="12">
        <v>0</v>
      </c>
      <c r="F2747" s="14">
        <v>0</v>
      </c>
      <c r="G2747" s="13">
        <v>625519.8631</v>
      </c>
      <c r="H2747" s="14">
        <v>2244997606.832408</v>
      </c>
      <c r="I2747" s="14" t="e">
        <f>=Round(47214.09110000,0)</f>
        <v>#VALUE!</v>
      </c>
      <c r="J2747" s="14" t="e">
        <f>=Round(21460.92900000,0)</f>
        <v>#VALUE!</v>
      </c>
    </row>
    <row r="2748">
      <c r="A2748" s="11" t="s">
        <v>35</v>
      </c>
      <c r="B2748" s="12">
        <v>3589.0109</v>
      </c>
      <c r="C2748" s="12">
        <v>0</v>
      </c>
      <c r="D2748" s="13">
        <v>0</v>
      </c>
      <c r="E2748" s="12">
        <v>0</v>
      </c>
      <c r="F2748" s="14">
        <v>0</v>
      </c>
      <c r="G2748" s="13">
        <v>625519.8631</v>
      </c>
      <c r="H2748" s="14">
        <v>2244997606.832408</v>
      </c>
      <c r="I2748" s="14" t="e">
        <f>=Round(50604.45430000,0)</f>
        <v>#VALUE!</v>
      </c>
      <c r="J2748" s="14" t="e">
        <f>=Round(23002.00170000,0)</f>
        <v>#VALUE!</v>
      </c>
    </row>
    <row r="2749">
      <c r="A2749" s="11" t="s">
        <v>36</v>
      </c>
      <c r="B2749" s="12">
        <v>3589.0109</v>
      </c>
      <c r="C2749" s="12">
        <v>0</v>
      </c>
      <c r="D2749" s="13">
        <v>0</v>
      </c>
      <c r="E2749" s="12">
        <v>0</v>
      </c>
      <c r="F2749" s="14">
        <v>0</v>
      </c>
      <c r="G2749" s="13">
        <v>625519.8631</v>
      </c>
      <c r="H2749" s="14">
        <v>2244997606.832408</v>
      </c>
      <c r="I2749" s="14" t="e">
        <f>=Round(50604.45430000,0)</f>
        <v>#VALUE!</v>
      </c>
      <c r="J2749" s="14" t="e">
        <f>=Round(23002.00170000,0)</f>
        <v>#VALUE!</v>
      </c>
    </row>
    <row r="2750">
      <c r="A2750" s="11" t="s">
        <v>37</v>
      </c>
      <c r="B2750" s="12">
        <v>3590.972</v>
      </c>
      <c r="C2750" s="12">
        <v>0</v>
      </c>
      <c r="D2750" s="13">
        <v>0</v>
      </c>
      <c r="E2750" s="12">
        <v>0</v>
      </c>
      <c r="F2750" s="14">
        <v>0</v>
      </c>
      <c r="G2750" s="13">
        <v>625519.8631</v>
      </c>
      <c r="H2750" s="14">
        <v>2246224313.8359332</v>
      </c>
      <c r="I2750" s="14" t="e">
        <f>=Round(50604.45430000,0)</f>
        <v>#VALUE!</v>
      </c>
      <c r="J2750" s="14" t="e">
        <f>=Round(23002.00170000,0)</f>
        <v>#VALUE!</v>
      </c>
    </row>
    <row r="2751">
      <c r="A2751" s="11" t="s">
        <v>38</v>
      </c>
      <c r="B2751" s="12">
        <v>3591.6235</v>
      </c>
      <c r="C2751" s="12">
        <v>0</v>
      </c>
      <c r="D2751" s="13">
        <v>0</v>
      </c>
      <c r="E2751" s="12">
        <v>0</v>
      </c>
      <c r="F2751" s="14">
        <v>0</v>
      </c>
      <c r="G2751" s="13">
        <v>625519.8631</v>
      </c>
      <c r="H2751" s="14">
        <v>2246631840.0267429</v>
      </c>
      <c r="I2751" s="14" t="e">
        <f>=Round(50632.10540000,0)</f>
        <v>#VALUE!</v>
      </c>
      <c r="J2751" s="14" t="e">
        <f>=Round(23014.57040000,0)</f>
        <v>#VALUE!</v>
      </c>
    </row>
    <row r="2752">
      <c r="A2752" s="11" t="s">
        <v>39</v>
      </c>
      <c r="B2752" s="12">
        <v>3592.281</v>
      </c>
      <c r="C2752" s="12">
        <v>0</v>
      </c>
      <c r="D2752" s="13">
        <v>0</v>
      </c>
      <c r="E2752" s="12">
        <v>0</v>
      </c>
      <c r="F2752" s="14">
        <v>0</v>
      </c>
      <c r="G2752" s="13">
        <v>625519.8631</v>
      </c>
      <c r="H2752" s="14">
        <v>2247043119.336731</v>
      </c>
      <c r="I2752" s="14" t="e">
        <f>=Round(50641.29150000,0)</f>
        <v>#VALUE!</v>
      </c>
      <c r="J2752" s="14" t="e">
        <f>=Round(23018.74580000,0)</f>
        <v>#VALUE!</v>
      </c>
    </row>
    <row r="2753">
      <c r="A2753" s="11" t="s">
        <v>40</v>
      </c>
      <c r="B2753" s="12">
        <v>3592.9125</v>
      </c>
      <c r="C2753" s="12">
        <v>0</v>
      </c>
      <c r="D2753" s="13">
        <v>0</v>
      </c>
      <c r="E2753" s="12">
        <v>0</v>
      </c>
      <c r="F2753" s="14">
        <v>0</v>
      </c>
      <c r="G2753" s="13">
        <v>625519.8631</v>
      </c>
      <c r="H2753" s="14">
        <v>2247438135.1302791</v>
      </c>
      <c r="I2753" s="14" t="e">
        <f>=Round(50650.56210000,0)</f>
        <v>#VALUE!</v>
      </c>
      <c r="J2753" s="14" t="e">
        <f>=Round(23022.95980000,0)</f>
        <v>#VALUE!</v>
      </c>
    </row>
    <row r="2754">
      <c r="A2754" s="11" t="s">
        <v>41</v>
      </c>
      <c r="B2754" s="12">
        <v>3593.5674</v>
      </c>
      <c r="C2754" s="12">
        <v>0</v>
      </c>
      <c r="D2754" s="13">
        <v>0</v>
      </c>
      <c r="E2754" s="12">
        <v>0</v>
      </c>
      <c r="F2754" s="14">
        <v>0</v>
      </c>
      <c r="G2754" s="13">
        <v>625519.8631</v>
      </c>
      <c r="H2754" s="14">
        <v>2247847788.088623</v>
      </c>
      <c r="I2754" s="14" t="e">
        <f>=Round(50659.46620000,0)</f>
        <v>#VALUE!</v>
      </c>
      <c r="J2754" s="14" t="e">
        <f>=Round(23027.00700000,0)</f>
        <v>#VALUE!</v>
      </c>
    </row>
    <row r="2755">
      <c r="A2755" s="11" t="s">
        <v>42</v>
      </c>
      <c r="B2755" s="12">
        <v>3593.5674</v>
      </c>
      <c r="C2755" s="12">
        <v>0</v>
      </c>
      <c r="D2755" s="13">
        <v>0</v>
      </c>
      <c r="E2755" s="12">
        <v>0</v>
      </c>
      <c r="F2755" s="14">
        <v>0</v>
      </c>
      <c r="G2755" s="13">
        <v>625519.8631</v>
      </c>
      <c r="H2755" s="14">
        <v>2247847788.088623</v>
      </c>
      <c r="I2755" s="14" t="e">
        <f>=Round(50668.70010000,0)</f>
        <v>#VALUE!</v>
      </c>
      <c r="J2755" s="14" t="e">
        <f>=Round(23031.20430000,0)</f>
        <v>#VALUE!</v>
      </c>
    </row>
    <row r="2756">
      <c r="A2756" s="11" t="s">
        <v>43</v>
      </c>
      <c r="B2756" s="12">
        <v>3593.5674</v>
      </c>
      <c r="C2756" s="12">
        <v>0</v>
      </c>
      <c r="D2756" s="13">
        <v>0</v>
      </c>
      <c r="E2756" s="12">
        <v>0</v>
      </c>
      <c r="F2756" s="14">
        <v>0</v>
      </c>
      <c r="G2756" s="13">
        <v>625519.8631</v>
      </c>
      <c r="H2756" s="14">
        <v>2247847788.088623</v>
      </c>
      <c r="I2756" s="14" t="e">
        <f>=Round(50668.70010000,0)</f>
        <v>#VALUE!</v>
      </c>
      <c r="J2756" s="14" t="e">
        <f>=Round(23031.20430000,0)</f>
        <v>#VALUE!</v>
      </c>
    </row>
    <row r="2757">
      <c r="A2757" s="11" t="s">
        <v>44</v>
      </c>
      <c r="B2757" s="12">
        <v>3595.5366</v>
      </c>
      <c r="C2757" s="12">
        <v>0</v>
      </c>
      <c r="D2757" s="13">
        <v>0</v>
      </c>
      <c r="E2757" s="12">
        <v>0</v>
      </c>
      <c r="F2757" s="14">
        <v>0</v>
      </c>
      <c r="G2757" s="13">
        <v>625519.8631</v>
      </c>
      <c r="H2757" s="14">
        <v>2249079561.8030391</v>
      </c>
      <c r="I2757" s="14" t="e">
        <f>=Round(50668.70010000,0)</f>
        <v>#VALUE!</v>
      </c>
      <c r="J2757" s="14" t="e">
        <f>=Round(23031.20430000,0)</f>
        <v>#VALUE!</v>
      </c>
    </row>
    <row r="2758">
      <c r="A2758" s="11" t="s">
        <v>45</v>
      </c>
      <c r="B2758" s="12">
        <v>3596.1915</v>
      </c>
      <c r="C2758" s="12">
        <v>194.6504</v>
      </c>
      <c r="D2758" s="13">
        <v>700000</v>
      </c>
      <c r="E2758" s="12">
        <v>0</v>
      </c>
      <c r="F2758" s="14">
        <v>0</v>
      </c>
      <c r="G2758" s="13">
        <v>625519.8631</v>
      </c>
      <c r="H2758" s="14">
        <v>2249489214.761384</v>
      </c>
      <c r="I2758" s="14" t="e">
        <f>=Round(50696.46550000,0)</f>
        <v>#VALUE!</v>
      </c>
      <c r="J2758" s="14" t="e">
        <f>=Round(23043.82490000,0)</f>
        <v>#VALUE!</v>
      </c>
    </row>
    <row r="2759">
      <c r="A2759" s="11" t="s">
        <v>46</v>
      </c>
      <c r="B2759" s="12">
        <v>3596.8461</v>
      </c>
      <c r="C2759" s="12">
        <v>0</v>
      </c>
      <c r="D2759" s="13">
        <v>0</v>
      </c>
      <c r="E2759" s="12">
        <v>0</v>
      </c>
      <c r="F2759" s="14">
        <v>0</v>
      </c>
      <c r="G2759" s="13">
        <v>625714.5135</v>
      </c>
      <c r="H2759" s="14">
        <v>2250598807.5958719</v>
      </c>
      <c r="I2759" s="14" t="e">
        <f>=Round(50705.69950000,0)</f>
        <v>#VALUE!</v>
      </c>
      <c r="J2759" s="14" t="e">
        <f>=Round(23048.02220000,0)</f>
        <v>#VALUE!</v>
      </c>
    </row>
    <row r="2760">
      <c r="A2760" s="11" t="s">
        <v>47</v>
      </c>
      <c r="B2760" s="12">
        <v>3597.4992</v>
      </c>
      <c r="C2760" s="12">
        <v>0</v>
      </c>
      <c r="D2760" s="13">
        <v>0</v>
      </c>
      <c r="E2760" s="12">
        <v>0</v>
      </c>
      <c r="F2760" s="14">
        <v>0</v>
      </c>
      <c r="G2760" s="13">
        <v>625714.5135</v>
      </c>
      <c r="H2760" s="14">
        <v>2251007461.7446389</v>
      </c>
      <c r="I2760" s="14" t="e">
        <f>=Round(50730.71080000,0)</f>
        <v>#VALUE!</v>
      </c>
      <c r="J2760" s="14" t="e">
        <f>=Round(23059.39100000,0)</f>
        <v>#VALUE!</v>
      </c>
    </row>
    <row r="2761">
      <c r="A2761" s="11" t="s">
        <v>48</v>
      </c>
      <c r="B2761" s="12">
        <v>3598.1558</v>
      </c>
      <c r="C2761" s="12">
        <v>0</v>
      </c>
      <c r="D2761" s="13">
        <v>0</v>
      </c>
      <c r="E2761" s="12">
        <v>0</v>
      </c>
      <c r="F2761" s="14">
        <v>0</v>
      </c>
      <c r="G2761" s="13">
        <v>625714.5135</v>
      </c>
      <c r="H2761" s="14">
        <v>2251418305.8942032</v>
      </c>
      <c r="I2761" s="14" t="e">
        <f>=Round(50739.92230000,0)</f>
        <v>#VALUE!</v>
      </c>
      <c r="J2761" s="14" t="e">
        <f>=Round(23063.57800000,0)</f>
        <v>#VALUE!</v>
      </c>
    </row>
    <row r="2762">
      <c r="A2762" s="11" t="s">
        <v>49</v>
      </c>
      <c r="B2762" s="12">
        <v>3598.1558</v>
      </c>
      <c r="C2762" s="12">
        <v>0</v>
      </c>
      <c r="D2762" s="13">
        <v>0</v>
      </c>
      <c r="E2762" s="12">
        <v>0</v>
      </c>
      <c r="F2762" s="14">
        <v>0</v>
      </c>
      <c r="G2762" s="13">
        <v>625714.5135</v>
      </c>
      <c r="H2762" s="14">
        <v>2251418305.8942032</v>
      </c>
      <c r="I2762" s="14" t="e">
        <f>=Round(50749.18310000,0)</f>
        <v>#VALUE!</v>
      </c>
      <c r="J2762" s="14" t="e">
        <f>=Round(23067.78740000,0)</f>
        <v>#VALUE!</v>
      </c>
    </row>
    <row r="2763">
      <c r="A2763" s="11" t="s">
        <v>50</v>
      </c>
      <c r="B2763" s="12">
        <v>3598.1558</v>
      </c>
      <c r="C2763" s="12">
        <v>0</v>
      </c>
      <c r="D2763" s="13">
        <v>0</v>
      </c>
      <c r="E2763" s="12">
        <v>0</v>
      </c>
      <c r="F2763" s="14">
        <v>0</v>
      </c>
      <c r="G2763" s="13">
        <v>625714.5135</v>
      </c>
      <c r="H2763" s="14">
        <v>2251418305.8942032</v>
      </c>
      <c r="I2763" s="14" t="e">
        <f>=Round(50749.18310000,0)</f>
        <v>#VALUE!</v>
      </c>
      <c r="J2763" s="14" t="e">
        <f>=Round(23067.78740000,0)</f>
        <v>#VALUE!</v>
      </c>
    </row>
    <row r="2764">
      <c r="A2764" s="11" t="s">
        <v>51</v>
      </c>
      <c r="B2764" s="12">
        <v>3600.124</v>
      </c>
      <c r="C2764" s="12">
        <v>0</v>
      </c>
      <c r="D2764" s="13">
        <v>0</v>
      </c>
      <c r="E2764" s="12">
        <v>0</v>
      </c>
      <c r="F2764" s="14">
        <v>0</v>
      </c>
      <c r="G2764" s="13">
        <v>625714.5135</v>
      </c>
      <c r="H2764" s="14">
        <v>2252649837.1996741</v>
      </c>
      <c r="I2764" s="14" t="e">
        <f>=Round(50749.18310000,0)</f>
        <v>#VALUE!</v>
      </c>
      <c r="J2764" s="14" t="e">
        <f>=Round(23067.78740000,0)</f>
        <v>#VALUE!</v>
      </c>
    </row>
    <row r="2765">
      <c r="A2765" s="11" t="s">
        <v>52</v>
      </c>
      <c r="B2765" s="12">
        <v>3600.7905</v>
      </c>
      <c r="C2765" s="12">
        <v>0</v>
      </c>
      <c r="D2765" s="13">
        <v>0</v>
      </c>
      <c r="E2765" s="12">
        <v>0</v>
      </c>
      <c r="F2765" s="14">
        <v>0</v>
      </c>
      <c r="G2765" s="13">
        <v>625714.5135</v>
      </c>
      <c r="H2765" s="14">
        <v>2253066875.9229221</v>
      </c>
      <c r="I2765" s="14" t="e">
        <f>=Round(50776.94310000,0)</f>
        <v>#VALUE!</v>
      </c>
      <c r="J2765" s="14" t="e">
        <f>=Round(23080.40560000,0)</f>
        <v>#VALUE!</v>
      </c>
    </row>
    <row r="2766">
      <c r="A2766" s="11" t="s">
        <v>53</v>
      </c>
      <c r="B2766" s="12">
        <v>3601.445</v>
      </c>
      <c r="C2766" s="12">
        <v>0</v>
      </c>
      <c r="D2766" s="13">
        <v>0</v>
      </c>
      <c r="E2766" s="12">
        <v>0</v>
      </c>
      <c r="F2766" s="14">
        <v>0</v>
      </c>
      <c r="G2766" s="13">
        <v>625714.5135</v>
      </c>
      <c r="H2766" s="14">
        <v>2253476406.0720081</v>
      </c>
      <c r="I2766" s="14" t="e">
        <f>=Round(50786.34350000,0)</f>
        <v>#VALUE!</v>
      </c>
      <c r="J2766" s="14" t="e">
        <f>=Round(23084.67850000,0)</f>
        <v>#VALUE!</v>
      </c>
    </row>
    <row r="2767">
      <c r="A2767" s="11" t="s">
        <v>54</v>
      </c>
      <c r="B2767" s="12">
        <v>3602.0851</v>
      </c>
      <c r="C2767" s="12">
        <v>0</v>
      </c>
      <c r="D2767" s="13">
        <v>0</v>
      </c>
      <c r="E2767" s="12">
        <v>0</v>
      </c>
      <c r="F2767" s="14">
        <v>0</v>
      </c>
      <c r="G2767" s="13">
        <v>625714.5135</v>
      </c>
      <c r="H2767" s="14">
        <v>2253876925.9320989</v>
      </c>
      <c r="I2767" s="14" t="e">
        <f>=Round(50795.57470000,0)</f>
        <v>#VALUE!</v>
      </c>
      <c r="J2767" s="14" t="e">
        <f>=Round(23088.87450000,0)</f>
        <v>#VALUE!</v>
      </c>
    </row>
    <row r="2768">
      <c r="A2768" s="11" t="s">
        <v>55</v>
      </c>
      <c r="B2768" s="12">
        <v>3602.7417</v>
      </c>
      <c r="C2768" s="12">
        <v>83.2699</v>
      </c>
      <c r="D2768" s="13">
        <v>300000</v>
      </c>
      <c r="E2768" s="12">
        <v>0</v>
      </c>
      <c r="F2768" s="14">
        <v>0</v>
      </c>
      <c r="G2768" s="13">
        <v>625714.5135</v>
      </c>
      <c r="H2768" s="14">
        <v>2254287770.0816631</v>
      </c>
      <c r="I2768" s="14" t="e">
        <f>=Round(50804.60280000,0)</f>
        <v>#VALUE!</v>
      </c>
      <c r="J2768" s="14" t="e">
        <f>=Round(23092.97820000,0)</f>
        <v>#VALUE!</v>
      </c>
    </row>
    <row r="2769" ht="-1">
      <c r="A2769" s="15"/>
      <c r="B2769" s="16" t="s">
        <v>56</v>
      </c>
      <c r="C2769" s="15"/>
      <c r="D2769" s="15"/>
      <c r="E2769" s="15"/>
      <c r="F2769" s="15"/>
      <c r="G2769" s="15"/>
      <c r="H2769" s="15"/>
      <c r="I2769" s="17" t="e">
        <f>=Round(SUM(I2743:I2768),0)</f>
        <v>#VALUE!</v>
      </c>
      <c r="J2769" s="17" t="e">
        <f>=Round(SUM(J2743:J2768),0)</f>
        <v>#VALUE!</v>
      </c>
    </row>
    <row r="2770">
      <c r="A2770" s="1" t="s">
        <v>0</v>
      </c>
      <c r="B2770" s="1"/>
      <c r="C2770" s="1"/>
      <c r="D2770" s="1"/>
    </row>
    <row r="2771">
      <c r="A2771" s="0" t="s">
        <v>1</v>
      </c>
      <c r="C2771" s="0" t="s">
        <v>2</v>
      </c>
      <c r="H2771" s="2" t="s">
        <v>3</v>
      </c>
    </row>
    <row r="2772">
      <c r="A2772" s="0" t="s">
        <v>4</v>
      </c>
      <c r="C2772" s="0" t="s">
        <v>129</v>
      </c>
      <c r="H2772" s="3" t="s">
        <v>6</v>
      </c>
    </row>
    <row r="2773">
      <c r="A2773" s="0" t="s">
        <v>7</v>
      </c>
      <c r="C2773" s="4" t="s">
        <v>8</v>
      </c>
      <c r="H2773" s="2" t="s">
        <v>9</v>
      </c>
    </row>
    <row r="2774">
      <c r="A2774" s="0" t="s">
        <v>10</v>
      </c>
      <c r="C2774" s="4" t="s">
        <v>124</v>
      </c>
      <c r="H2774" s="2" t="s">
        <v>12</v>
      </c>
    </row>
    <row r="2775">
      <c r="A2775" s="0" t="s">
        <v>13</v>
      </c>
      <c r="C2775" s="0" t="s">
        <v>14</v>
      </c>
    </row>
    <row r="2776">
      <c r="A2776" s="0" t="s">
        <v>15</v>
      </c>
      <c r="C2776" s="0" t="s">
        <v>16</v>
      </c>
    </row>
    <row r="2777">
      <c r="A2777" s="0" t="s">
        <v>17</v>
      </c>
      <c r="C2777" s="0" t="s">
        <v>18</v>
      </c>
    </row>
    <row r="2780">
      <c r="A2780" s="5" t="s">
        <v>19</v>
      </c>
      <c r="B2780" s="5" t="s">
        <v>20</v>
      </c>
      <c r="C2780" s="7" t="s">
        <v>21</v>
      </c>
      <c r="D2780" s="9"/>
      <c r="E2780" s="7" t="s">
        <v>22</v>
      </c>
      <c r="F2780" s="9"/>
      <c r="G2780" s="5" t="s">
        <v>23</v>
      </c>
      <c r="H2780" s="5" t="s">
        <v>24</v>
      </c>
      <c r="I2780" s="5" t="s">
        <v>25</v>
      </c>
      <c r="J2780" s="5" t="s">
        <v>125</v>
      </c>
    </row>
    <row r="2781">
      <c r="A2781" s="6"/>
      <c r="B2781" s="6"/>
      <c r="C2781" s="8" t="s">
        <v>27</v>
      </c>
      <c r="D2781" s="8" t="s">
        <v>28</v>
      </c>
      <c r="E2781" s="8" t="s">
        <v>27</v>
      </c>
      <c r="F2781" s="8" t="s">
        <v>28</v>
      </c>
      <c r="G2781" s="6"/>
      <c r="H2781" s="6"/>
      <c r="I2781" s="10" t="s">
        <v>29</v>
      </c>
      <c r="J2781" s="6"/>
    </row>
    <row r="2782">
      <c r="A2782" s="11" t="s">
        <v>30</v>
      </c>
      <c r="B2782" s="12">
        <v>3586.4187</v>
      </c>
      <c r="C2782" s="12">
        <v>5040.8122</v>
      </c>
      <c r="D2782" s="13">
        <v>18078462</v>
      </c>
      <c r="E2782" s="12">
        <v>13135.2375</v>
      </c>
      <c r="F2782" s="14">
        <v>47108461</v>
      </c>
      <c r="G2782" s="13">
        <v>2152966.4869</v>
      </c>
      <c r="H2782" s="14">
        <v>7721439269.091465</v>
      </c>
      <c r="I2782" s="14" t="e">
        <f>=Round(175137.49800000,0)</f>
        <v>#VALUE!</v>
      </c>
      <c r="J2782" s="14" t="e">
        <f>=Round(79607.87400000,0)</f>
        <v>#VALUE!</v>
      </c>
    </row>
    <row r="2783">
      <c r="A2783" s="11" t="s">
        <v>31</v>
      </c>
      <c r="B2783" s="12">
        <v>3587.0477</v>
      </c>
      <c r="C2783" s="12">
        <v>12597.9674</v>
      </c>
      <c r="D2783" s="13">
        <v>45189510</v>
      </c>
      <c r="E2783" s="12">
        <v>129.5389</v>
      </c>
      <c r="F2783" s="14">
        <v>464662</v>
      </c>
      <c r="G2783" s="13">
        <v>2144872.0616</v>
      </c>
      <c r="H2783" s="14">
        <v>7693758395.3565378</v>
      </c>
      <c r="I2783" s="14" t="e">
        <f>=Round(174048.83600000,0)</f>
        <v>#VALUE!</v>
      </c>
      <c r="J2783" s="14" t="e">
        <f>=Round(79113.02820000,0)</f>
        <v>#VALUE!</v>
      </c>
    </row>
    <row r="2784">
      <c r="A2784" s="11" t="s">
        <v>32</v>
      </c>
      <c r="B2784" s="12">
        <v>3587.6685</v>
      </c>
      <c r="C2784" s="12">
        <v>4970.3516</v>
      </c>
      <c r="D2784" s="13">
        <v>17831974</v>
      </c>
      <c r="E2784" s="12">
        <v>2436.7702</v>
      </c>
      <c r="F2784" s="14">
        <v>8742324</v>
      </c>
      <c r="G2784" s="13">
        <v>2157340.4901</v>
      </c>
      <c r="H2784" s="14">
        <v>7739822520.1063318</v>
      </c>
      <c r="I2784" s="14" t="e">
        <f>=Round(173424.88190000,0)</f>
        <v>#VALUE!</v>
      </c>
      <c r="J2784" s="14" t="e">
        <f>=Round(78829.41290000,0)</f>
        <v>#VALUE!</v>
      </c>
    </row>
    <row r="2785">
      <c r="A2785" s="11" t="s">
        <v>33</v>
      </c>
      <c r="B2785" s="12">
        <v>3588.3573</v>
      </c>
      <c r="C2785" s="12">
        <v>242.6899</v>
      </c>
      <c r="D2785" s="13">
        <v>870858</v>
      </c>
      <c r="E2785" s="12">
        <v>350.0001</v>
      </c>
      <c r="F2785" s="14">
        <v>1255925</v>
      </c>
      <c r="G2785" s="13">
        <v>2159874.0715</v>
      </c>
      <c r="H2785" s="14">
        <v>7750399891.5477467</v>
      </c>
      <c r="I2785" s="14" t="e">
        <f>=Round(174463.21250000,0)</f>
        <v>#VALUE!</v>
      </c>
      <c r="J2785" s="14" t="e">
        <f>=Round(79301.38090000,0)</f>
        <v>#VALUE!</v>
      </c>
    </row>
    <row r="2786">
      <c r="A2786" s="11" t="s">
        <v>34</v>
      </c>
      <c r="B2786" s="12">
        <v>3589.0109</v>
      </c>
      <c r="C2786" s="12">
        <v>12872.6274</v>
      </c>
      <c r="D2786" s="13">
        <v>46200000</v>
      </c>
      <c r="E2786" s="12">
        <v>6745.6053</v>
      </c>
      <c r="F2786" s="14">
        <v>24210051</v>
      </c>
      <c r="G2786" s="13">
        <v>2159766.7613</v>
      </c>
      <c r="H2786" s="14">
        <v>7751426447.7633982</v>
      </c>
      <c r="I2786" s="14" t="e">
        <f>=Round(174701.63690000,0)</f>
        <v>#VALUE!</v>
      </c>
      <c r="J2786" s="14" t="e">
        <f>=Round(79409.75550000,0)</f>
        <v>#VALUE!</v>
      </c>
    </row>
    <row r="2787">
      <c r="A2787" s="11" t="s">
        <v>35</v>
      </c>
      <c r="B2787" s="12">
        <v>3589.0109</v>
      </c>
      <c r="C2787" s="12">
        <v>0</v>
      </c>
      <c r="D2787" s="13">
        <v>0</v>
      </c>
      <c r="E2787" s="12">
        <v>0</v>
      </c>
      <c r="F2787" s="14">
        <v>0</v>
      </c>
      <c r="G2787" s="13">
        <v>2159766.7613</v>
      </c>
      <c r="H2787" s="14">
        <v>7751426447.7633982</v>
      </c>
      <c r="I2787" s="14" t="e">
        <f>=Round(174724.77650000,0)</f>
        <v>#VALUE!</v>
      </c>
      <c r="J2787" s="14" t="e">
        <f>=Round(79420.27350000,0)</f>
        <v>#VALUE!</v>
      </c>
    </row>
    <row r="2788">
      <c r="A2788" s="11" t="s">
        <v>36</v>
      </c>
      <c r="B2788" s="12">
        <v>3589.0109</v>
      </c>
      <c r="C2788" s="12">
        <v>0</v>
      </c>
      <c r="D2788" s="13">
        <v>0</v>
      </c>
      <c r="E2788" s="12">
        <v>0</v>
      </c>
      <c r="F2788" s="14">
        <v>0</v>
      </c>
      <c r="G2788" s="13">
        <v>2159766.7613</v>
      </c>
      <c r="H2788" s="14">
        <v>7751426447.7633982</v>
      </c>
      <c r="I2788" s="14" t="e">
        <f>=Round(174724.77650000,0)</f>
        <v>#VALUE!</v>
      </c>
      <c r="J2788" s="14" t="e">
        <f>=Round(79420.27350000,0)</f>
        <v>#VALUE!</v>
      </c>
    </row>
    <row r="2789">
      <c r="A2789" s="11" t="s">
        <v>37</v>
      </c>
      <c r="B2789" s="12">
        <v>3590.972</v>
      </c>
      <c r="C2789" s="12">
        <v>11987.7231</v>
      </c>
      <c r="D2789" s="13">
        <v>43047578</v>
      </c>
      <c r="E2789" s="12">
        <v>1288.5542</v>
      </c>
      <c r="F2789" s="14">
        <v>4627162</v>
      </c>
      <c r="G2789" s="13">
        <v>2165893.7834</v>
      </c>
      <c r="H2789" s="14">
        <v>7777663931.1634645</v>
      </c>
      <c r="I2789" s="14" t="e">
        <f>=Round(174724.77650000,0)</f>
        <v>#VALUE!</v>
      </c>
      <c r="J2789" s="14" t="e">
        <f>=Round(79420.27350000,0)</f>
        <v>#VALUE!</v>
      </c>
    </row>
    <row r="2790">
      <c r="A2790" s="11" t="s">
        <v>38</v>
      </c>
      <c r="B2790" s="12">
        <v>3591.6235</v>
      </c>
      <c r="C2790" s="12">
        <v>2065.9181</v>
      </c>
      <c r="D2790" s="13">
        <v>7420000</v>
      </c>
      <c r="E2790" s="12">
        <v>944.1484</v>
      </c>
      <c r="F2790" s="14">
        <v>3391026</v>
      </c>
      <c r="G2790" s="13">
        <v>2176592.9523</v>
      </c>
      <c r="H2790" s="14">
        <v>7817502397.4150591</v>
      </c>
      <c r="I2790" s="14" t="e">
        <f>=Round(175316.19520000,0)</f>
        <v>#VALUE!</v>
      </c>
      <c r="J2790" s="14" t="e">
        <f>=Round(79689.09990000,0)</f>
        <v>#VALUE!</v>
      </c>
    </row>
    <row r="2791">
      <c r="A2791" s="11" t="s">
        <v>39</v>
      </c>
      <c r="B2791" s="12">
        <v>3592.281</v>
      </c>
      <c r="C2791" s="12">
        <v>0</v>
      </c>
      <c r="D2791" s="13">
        <v>0</v>
      </c>
      <c r="E2791" s="12">
        <v>3441.4578</v>
      </c>
      <c r="F2791" s="14">
        <v>12362683</v>
      </c>
      <c r="G2791" s="13">
        <v>2177714.722</v>
      </c>
      <c r="H2791" s="14">
        <v>7822963219.2608824</v>
      </c>
      <c r="I2791" s="14" t="e">
        <f>=Round(176214.19340000,0)</f>
        <v>#VALUE!</v>
      </c>
      <c r="J2791" s="14" t="e">
        <f>=Round(80097.28050000,0)</f>
        <v>#VALUE!</v>
      </c>
    </row>
    <row r="2792">
      <c r="A2792" s="11" t="s">
        <v>40</v>
      </c>
      <c r="B2792" s="12">
        <v>3592.9125</v>
      </c>
      <c r="C2792" s="12">
        <v>1903.7483</v>
      </c>
      <c r="D2792" s="13">
        <v>6840001</v>
      </c>
      <c r="E2792" s="12">
        <v>5818.0978</v>
      </c>
      <c r="F2792" s="14">
        <v>20903916</v>
      </c>
      <c r="G2792" s="13">
        <v>2174273.2642</v>
      </c>
      <c r="H2792" s="14">
        <v>7811973589.3599834</v>
      </c>
      <c r="I2792" s="14" t="e">
        <f>=Round(176337.28570000,0)</f>
        <v>#VALUE!</v>
      </c>
      <c r="J2792" s="14" t="e">
        <f>=Round(80153.23150000,0)</f>
        <v>#VALUE!</v>
      </c>
    </row>
    <row r="2793">
      <c r="A2793" s="11" t="s">
        <v>41</v>
      </c>
      <c r="B2793" s="12">
        <v>3593.5674</v>
      </c>
      <c r="C2793" s="12">
        <v>55.655</v>
      </c>
      <c r="D2793" s="13">
        <v>200000</v>
      </c>
      <c r="E2793" s="12">
        <v>3967.4004</v>
      </c>
      <c r="F2793" s="14">
        <v>14257121</v>
      </c>
      <c r="G2793" s="13">
        <v>2170358.9147</v>
      </c>
      <c r="H2793" s="14">
        <v>7799331042.1653013</v>
      </c>
      <c r="I2793" s="14" t="e">
        <f>=Round(176089.56860000,0)</f>
        <v>#VALUE!</v>
      </c>
      <c r="J2793" s="14" t="e">
        <f>=Round(80040.63300000,0)</f>
        <v>#VALUE!</v>
      </c>
    </row>
    <row r="2794">
      <c r="A2794" s="11" t="s">
        <v>42</v>
      </c>
      <c r="B2794" s="12">
        <v>3593.5674</v>
      </c>
      <c r="C2794" s="12">
        <v>0</v>
      </c>
      <c r="D2794" s="13">
        <v>0</v>
      </c>
      <c r="E2794" s="12">
        <v>0</v>
      </c>
      <c r="F2794" s="14">
        <v>0</v>
      </c>
      <c r="G2794" s="13">
        <v>2170358.9147</v>
      </c>
      <c r="H2794" s="14">
        <v>7799331042.1653013</v>
      </c>
      <c r="I2794" s="14" t="e">
        <f>=Round(175804.59320000,0)</f>
        <v>#VALUE!</v>
      </c>
      <c r="J2794" s="14" t="e">
        <f>=Round(79911.09880000,0)</f>
        <v>#VALUE!</v>
      </c>
    </row>
    <row r="2795">
      <c r="A2795" s="11" t="s">
        <v>43</v>
      </c>
      <c r="B2795" s="12">
        <v>3593.5674</v>
      </c>
      <c r="C2795" s="12">
        <v>0</v>
      </c>
      <c r="D2795" s="13">
        <v>0</v>
      </c>
      <c r="E2795" s="12">
        <v>0</v>
      </c>
      <c r="F2795" s="14">
        <v>0</v>
      </c>
      <c r="G2795" s="13">
        <v>2170358.9147</v>
      </c>
      <c r="H2795" s="14">
        <v>7799331042.1653013</v>
      </c>
      <c r="I2795" s="14" t="e">
        <f>=Round(175804.59320000,0)</f>
        <v>#VALUE!</v>
      </c>
      <c r="J2795" s="14" t="e">
        <f>=Round(79911.09880000,0)</f>
        <v>#VALUE!</v>
      </c>
    </row>
    <row r="2796">
      <c r="A2796" s="11" t="s">
        <v>44</v>
      </c>
      <c r="B2796" s="12">
        <v>3595.5366</v>
      </c>
      <c r="C2796" s="12">
        <v>34483.5676</v>
      </c>
      <c r="D2796" s="13">
        <v>123986929</v>
      </c>
      <c r="E2796" s="12">
        <v>7519.5227</v>
      </c>
      <c r="F2796" s="14">
        <v>27036719</v>
      </c>
      <c r="G2796" s="13">
        <v>2166447.1693</v>
      </c>
      <c r="H2796" s="14">
        <v>7789540089.1845465</v>
      </c>
      <c r="I2796" s="14" t="e">
        <f>=Round(175804.59320000,0)</f>
        <v>#VALUE!</v>
      </c>
      <c r="J2796" s="14" t="e">
        <f>=Round(79911.09880000,0)</f>
        <v>#VALUE!</v>
      </c>
    </row>
    <row r="2797">
      <c r="A2797" s="11" t="s">
        <v>45</v>
      </c>
      <c r="B2797" s="12">
        <v>3596.1915</v>
      </c>
      <c r="C2797" s="12">
        <v>139.036</v>
      </c>
      <c r="D2797" s="13">
        <v>500000</v>
      </c>
      <c r="E2797" s="12">
        <v>1125.32</v>
      </c>
      <c r="F2797" s="14">
        <v>4046866</v>
      </c>
      <c r="G2797" s="13">
        <v>2193411.2142</v>
      </c>
      <c r="H2797" s="14">
        <v>7887926764.5107193</v>
      </c>
      <c r="I2797" s="14" t="e">
        <f>=Round(175583.89550000,0)</f>
        <v>#VALUE!</v>
      </c>
      <c r="J2797" s="14" t="e">
        <f>=Round(79810.78180000,0)</f>
        <v>#VALUE!</v>
      </c>
    </row>
    <row r="2798">
      <c r="A2798" s="11" t="s">
        <v>46</v>
      </c>
      <c r="B2798" s="12">
        <v>3596.8461</v>
      </c>
      <c r="C2798" s="12">
        <v>12631.6219</v>
      </c>
      <c r="D2798" s="13">
        <v>45434000</v>
      </c>
      <c r="E2798" s="12">
        <v>626.7341</v>
      </c>
      <c r="F2798" s="14">
        <v>2254266</v>
      </c>
      <c r="G2798" s="13">
        <v>2192424.9302</v>
      </c>
      <c r="H2798" s="14">
        <v>7885815059.7326422</v>
      </c>
      <c r="I2798" s="14" t="e">
        <f>=Round(177801.62790000,0)</f>
        <v>#VALUE!</v>
      </c>
      <c r="J2798" s="14" t="e">
        <f>=Round(80818.84090000,0)</f>
        <v>#VALUE!</v>
      </c>
    </row>
    <row r="2799">
      <c r="A2799" s="11" t="s">
        <v>47</v>
      </c>
      <c r="B2799" s="12">
        <v>3597.4992</v>
      </c>
      <c r="C2799" s="12">
        <v>55.5942</v>
      </c>
      <c r="D2799" s="13">
        <v>200000</v>
      </c>
      <c r="E2799" s="12">
        <v>383.9259</v>
      </c>
      <c r="F2799" s="14">
        <v>1381173</v>
      </c>
      <c r="G2799" s="13">
        <v>2204429.818</v>
      </c>
      <c r="H2799" s="14">
        <v>7930434506.7111464</v>
      </c>
      <c r="I2799" s="14" t="e">
        <f>=Round(177754.02800000,0)</f>
        <v>#VALUE!</v>
      </c>
      <c r="J2799" s="14" t="e">
        <f>=Round(80797.20470000,0)</f>
        <v>#VALUE!</v>
      </c>
    </row>
    <row r="2800">
      <c r="A2800" s="11" t="s">
        <v>48</v>
      </c>
      <c r="B2800" s="12">
        <v>3598.1558</v>
      </c>
      <c r="C2800" s="12">
        <v>97.2721</v>
      </c>
      <c r="D2800" s="13">
        <v>350000</v>
      </c>
      <c r="E2800" s="12">
        <v>55.5942</v>
      </c>
      <c r="F2800" s="14">
        <v>200037</v>
      </c>
      <c r="G2800" s="13">
        <v>2204101.4863</v>
      </c>
      <c r="H2800" s="14">
        <v>7930700546.7189655</v>
      </c>
      <c r="I2800" s="14" t="e">
        <f>=Round(178759.79420000,0)</f>
        <v>#VALUE!</v>
      </c>
      <c r="J2800" s="14" t="e">
        <f>=Round(81254.37070000,0)</f>
        <v>#VALUE!</v>
      </c>
    </row>
    <row r="2801">
      <c r="A2801" s="11" t="s">
        <v>49</v>
      </c>
      <c r="B2801" s="12">
        <v>3598.1558</v>
      </c>
      <c r="C2801" s="12">
        <v>0</v>
      </c>
      <c r="D2801" s="13">
        <v>0</v>
      </c>
      <c r="E2801" s="12">
        <v>0</v>
      </c>
      <c r="F2801" s="14">
        <v>0</v>
      </c>
      <c r="G2801" s="13">
        <v>2204101.4863</v>
      </c>
      <c r="H2801" s="14">
        <v>7930700546.7189655</v>
      </c>
      <c r="I2801" s="14" t="e">
        <f>=Round(178765.79100000,0)</f>
        <v>#VALUE!</v>
      </c>
      <c r="J2801" s="14" t="e">
        <f>=Round(81257.09650000,0)</f>
        <v>#VALUE!</v>
      </c>
    </row>
    <row r="2802">
      <c r="A2802" s="11" t="s">
        <v>50</v>
      </c>
      <c r="B2802" s="12">
        <v>3598.1558</v>
      </c>
      <c r="C2802" s="12">
        <v>0</v>
      </c>
      <c r="D2802" s="13">
        <v>0</v>
      </c>
      <c r="E2802" s="12">
        <v>0</v>
      </c>
      <c r="F2802" s="14">
        <v>0</v>
      </c>
      <c r="G2802" s="13">
        <v>2204101.4863</v>
      </c>
      <c r="H2802" s="14">
        <v>7930700546.7189655</v>
      </c>
      <c r="I2802" s="14" t="e">
        <f>=Round(178765.79100000,0)</f>
        <v>#VALUE!</v>
      </c>
      <c r="J2802" s="14" t="e">
        <f>=Round(81257.09650000,0)</f>
        <v>#VALUE!</v>
      </c>
    </row>
    <row r="2803">
      <c r="A2803" s="11" t="s">
        <v>51</v>
      </c>
      <c r="B2803" s="12">
        <v>3600.124</v>
      </c>
      <c r="C2803" s="12">
        <v>6652.207</v>
      </c>
      <c r="D2803" s="13">
        <v>23948770</v>
      </c>
      <c r="E2803" s="12">
        <v>8742.0381</v>
      </c>
      <c r="F2803" s="14">
        <v>31472421</v>
      </c>
      <c r="G2803" s="13">
        <v>2204143.1642</v>
      </c>
      <c r="H2803" s="14">
        <v>7935188704.8723612</v>
      </c>
      <c r="I2803" s="14" t="e">
        <f>=Round(178765.79100000,0)</f>
        <v>#VALUE!</v>
      </c>
      <c r="J2803" s="14" t="e">
        <f>=Round(81257.09650000,0)</f>
        <v>#VALUE!</v>
      </c>
    </row>
    <row r="2804">
      <c r="A2804" s="11" t="s">
        <v>52</v>
      </c>
      <c r="B2804" s="12">
        <v>3600.7905</v>
      </c>
      <c r="C2804" s="12">
        <v>3625.6192</v>
      </c>
      <c r="D2804" s="13">
        <v>13055095</v>
      </c>
      <c r="E2804" s="12">
        <v>264.7215</v>
      </c>
      <c r="F2804" s="14">
        <v>953207</v>
      </c>
      <c r="G2804" s="13">
        <v>2202053.3331</v>
      </c>
      <c r="H2804" s="14">
        <v>7929132722.3198156</v>
      </c>
      <c r="I2804" s="14" t="e">
        <f>=Round(178866.95850000,0)</f>
        <v>#VALUE!</v>
      </c>
      <c r="J2804" s="14" t="e">
        <f>=Round(81303.08170000,0)</f>
        <v>#VALUE!</v>
      </c>
    </row>
    <row r="2805">
      <c r="A2805" s="11" t="s">
        <v>53</v>
      </c>
      <c r="B2805" s="12">
        <v>3601.445</v>
      </c>
      <c r="C2805" s="12">
        <v>7083.7958</v>
      </c>
      <c r="D2805" s="13">
        <v>25511901</v>
      </c>
      <c r="E2805" s="12">
        <v>0</v>
      </c>
      <c r="F2805" s="14">
        <v>0</v>
      </c>
      <c r="G2805" s="13">
        <v>2205414.2308</v>
      </c>
      <c r="H2805" s="14">
        <v>7942678054.4435062</v>
      </c>
      <c r="I2805" s="14" t="e">
        <f>=Round(178730.45070000,0)</f>
        <v>#VALUE!</v>
      </c>
      <c r="J2805" s="14" t="e">
        <f>=Round(81241.03270000,0)</f>
        <v>#VALUE!</v>
      </c>
    </row>
    <row r="2806">
      <c r="A2806" s="11" t="s">
        <v>54</v>
      </c>
      <c r="B2806" s="12">
        <v>3602.0851</v>
      </c>
      <c r="C2806" s="12">
        <v>1888.4862</v>
      </c>
      <c r="D2806" s="13">
        <v>6802488</v>
      </c>
      <c r="E2806" s="12">
        <v>17576.9797</v>
      </c>
      <c r="F2806" s="14">
        <v>63313777</v>
      </c>
      <c r="G2806" s="13">
        <v>2212498.0266</v>
      </c>
      <c r="H2806" s="14">
        <v>7969606175.3952637</v>
      </c>
      <c r="I2806" s="14" t="e">
        <f>=Round(179035.77580000,0)</f>
        <v>#VALUE!</v>
      </c>
      <c r="J2806" s="14" t="e">
        <f>=Round(81379.81670000,0)</f>
        <v>#VALUE!</v>
      </c>
    </row>
    <row r="2807">
      <c r="A2807" s="11" t="s">
        <v>55</v>
      </c>
      <c r="B2807" s="12">
        <v>3602.7417</v>
      </c>
      <c r="C2807" s="12">
        <v>2668.2795</v>
      </c>
      <c r="D2807" s="13">
        <v>9613122</v>
      </c>
      <c r="E2807" s="12">
        <v>36368.6442</v>
      </c>
      <c r="F2807" s="14">
        <v>131026831</v>
      </c>
      <c r="G2807" s="13">
        <v>2196809.5331</v>
      </c>
      <c r="H2807" s="14">
        <v>7914537311.8569</v>
      </c>
      <c r="I2807" s="14" t="e">
        <f>=Round(179642.76220000,0)</f>
        <v>#VALUE!</v>
      </c>
      <c r="J2807" s="14" t="e">
        <f>=Round(81655.71930000,0)</f>
        <v>#VALUE!</v>
      </c>
    </row>
    <row r="2808" ht="-1">
      <c r="A2808" s="15"/>
      <c r="B2808" s="16" t="s">
        <v>56</v>
      </c>
      <c r="C2808" s="15"/>
      <c r="D2808" s="15"/>
      <c r="E2808" s="15"/>
      <c r="F2808" s="15"/>
      <c r="G2808" s="15"/>
      <c r="H2808" s="15"/>
      <c r="I2808" s="17" t="e">
        <f>=Round(SUM(I2782:I2807),0)</f>
        <v>#VALUE!</v>
      </c>
      <c r="J2808" s="17" t="e">
        <f>=Round(SUM(J2782:J2807),0)</f>
        <v>#VALUE!</v>
      </c>
    </row>
    <row r="2809">
      <c r="A2809" s="1" t="s">
        <v>0</v>
      </c>
      <c r="B2809" s="1"/>
      <c r="C2809" s="1"/>
      <c r="D2809" s="1"/>
    </row>
    <row r="2810">
      <c r="A2810" s="0" t="s">
        <v>1</v>
      </c>
      <c r="C2810" s="0" t="s">
        <v>2</v>
      </c>
      <c r="H2810" s="2" t="s">
        <v>3</v>
      </c>
    </row>
    <row r="2811">
      <c r="A2811" s="0" t="s">
        <v>4</v>
      </c>
      <c r="C2811" s="0" t="s">
        <v>130</v>
      </c>
      <c r="H2811" s="3" t="s">
        <v>6</v>
      </c>
    </row>
    <row r="2812">
      <c r="A2812" s="0" t="s">
        <v>7</v>
      </c>
      <c r="C2812" s="4" t="s">
        <v>8</v>
      </c>
      <c r="H2812" s="2" t="s">
        <v>9</v>
      </c>
    </row>
    <row r="2813">
      <c r="A2813" s="0" t="s">
        <v>10</v>
      </c>
      <c r="C2813" s="4" t="s">
        <v>124</v>
      </c>
      <c r="H2813" s="2" t="s">
        <v>12</v>
      </c>
    </row>
    <row r="2814">
      <c r="A2814" s="0" t="s">
        <v>13</v>
      </c>
      <c r="C2814" s="0" t="s">
        <v>14</v>
      </c>
    </row>
    <row r="2815">
      <c r="A2815" s="0" t="s">
        <v>15</v>
      </c>
      <c r="C2815" s="0" t="s">
        <v>16</v>
      </c>
    </row>
    <row r="2816">
      <c r="A2816" s="0" t="s">
        <v>17</v>
      </c>
      <c r="C2816" s="0" t="s">
        <v>18</v>
      </c>
    </row>
    <row r="2819">
      <c r="A2819" s="5" t="s">
        <v>19</v>
      </c>
      <c r="B2819" s="5" t="s">
        <v>20</v>
      </c>
      <c r="C2819" s="7" t="s">
        <v>21</v>
      </c>
      <c r="D2819" s="9"/>
      <c r="E2819" s="7" t="s">
        <v>22</v>
      </c>
      <c r="F2819" s="9"/>
      <c r="G2819" s="5" t="s">
        <v>23</v>
      </c>
      <c r="H2819" s="5" t="s">
        <v>24</v>
      </c>
      <c r="I2819" s="5" t="s">
        <v>25</v>
      </c>
      <c r="J2819" s="5" t="s">
        <v>125</v>
      </c>
    </row>
    <row r="2820">
      <c r="A2820" s="6"/>
      <c r="B2820" s="6"/>
      <c r="C2820" s="8" t="s">
        <v>27</v>
      </c>
      <c r="D2820" s="8" t="s">
        <v>28</v>
      </c>
      <c r="E2820" s="8" t="s">
        <v>27</v>
      </c>
      <c r="F2820" s="8" t="s">
        <v>28</v>
      </c>
      <c r="G2820" s="6"/>
      <c r="H2820" s="6"/>
      <c r="I2820" s="10" t="s">
        <v>29</v>
      </c>
      <c r="J2820" s="6"/>
    </row>
    <row r="2821">
      <c r="A2821" s="11" t="s">
        <v>30</v>
      </c>
      <c r="B2821" s="12">
        <v>3586.4187</v>
      </c>
      <c r="C2821" s="12">
        <v>306.7127</v>
      </c>
      <c r="D2821" s="13">
        <v>1100000</v>
      </c>
      <c r="E2821" s="12">
        <v>1350.1416</v>
      </c>
      <c r="F2821" s="14">
        <v>4842173</v>
      </c>
      <c r="G2821" s="13">
        <v>1037147.6325</v>
      </c>
      <c r="H2821" s="14">
        <v>3719645663.8587279</v>
      </c>
      <c r="I2821" s="14" t="e">
        <f>=Round(83764.55120000,0)</f>
        <v>#VALUE!</v>
      </c>
      <c r="J2821" s="14" t="e">
        <f>=Round(38074.75790000,0)</f>
        <v>#VALUE!</v>
      </c>
    </row>
    <row r="2822">
      <c r="A2822" s="11" t="s">
        <v>31</v>
      </c>
      <c r="B2822" s="12">
        <v>3587.0477</v>
      </c>
      <c r="C2822" s="12">
        <v>440.3343</v>
      </c>
      <c r="D2822" s="13">
        <v>1579500</v>
      </c>
      <c r="E2822" s="12">
        <v>4258.5954</v>
      </c>
      <c r="F2822" s="14">
        <v>15275785</v>
      </c>
      <c r="G2822" s="13">
        <v>1036104.2036</v>
      </c>
      <c r="H2822" s="14">
        <v>3716555200.4837122</v>
      </c>
      <c r="I2822" s="14" t="e">
        <f>=Round(83844.47190000,0)</f>
        <v>#VALUE!</v>
      </c>
      <c r="J2822" s="14" t="e">
        <f>=Round(38111.08550000,0)</f>
        <v>#VALUE!</v>
      </c>
    </row>
    <row r="2823">
      <c r="A2823" s="11" t="s">
        <v>32</v>
      </c>
      <c r="B2823" s="12">
        <v>3587.6685</v>
      </c>
      <c r="C2823" s="12">
        <v>864.071</v>
      </c>
      <c r="D2823" s="13">
        <v>3100000</v>
      </c>
      <c r="E2823" s="12">
        <v>0</v>
      </c>
      <c r="F2823" s="14">
        <v>0</v>
      </c>
      <c r="G2823" s="13">
        <v>1032285.9425</v>
      </c>
      <c r="H2823" s="14">
        <v>3703499758.9000611</v>
      </c>
      <c r="I2823" s="14" t="e">
        <f>=Round(83774.80980000,0)</f>
        <v>#VALUE!</v>
      </c>
      <c r="J2823" s="14" t="e">
        <f>=Round(38079.42090000,0)</f>
        <v>#VALUE!</v>
      </c>
    </row>
    <row r="2824">
      <c r="A2824" s="11" t="s">
        <v>33</v>
      </c>
      <c r="B2824" s="12">
        <v>3588.3573</v>
      </c>
      <c r="C2824" s="12">
        <v>2034.3571</v>
      </c>
      <c r="D2824" s="13">
        <v>7300000</v>
      </c>
      <c r="E2824" s="12">
        <v>0.0001</v>
      </c>
      <c r="F2824" s="14">
        <v>0</v>
      </c>
      <c r="G2824" s="13">
        <v>1033150.0135</v>
      </c>
      <c r="H2824" s="14">
        <v>3707311392.9378238</v>
      </c>
      <c r="I2824" s="14" t="e">
        <f>=Round(83480.52740000,0)</f>
        <v>#VALUE!</v>
      </c>
      <c r="J2824" s="14" t="e">
        <f>=Round(37945.65630000,0)</f>
        <v>#VALUE!</v>
      </c>
    </row>
    <row r="2825">
      <c r="A2825" s="11" t="s">
        <v>34</v>
      </c>
      <c r="B2825" s="12">
        <v>3589.0109</v>
      </c>
      <c r="C2825" s="12">
        <v>564.2223</v>
      </c>
      <c r="D2825" s="13">
        <v>2025000</v>
      </c>
      <c r="E2825" s="12">
        <v>0</v>
      </c>
      <c r="F2825" s="14">
        <v>0</v>
      </c>
      <c r="G2825" s="13">
        <v>1035184.3705</v>
      </c>
      <c r="H2825" s="14">
        <v>3715287989.234138</v>
      </c>
      <c r="I2825" s="14" t="e">
        <f>=Round(83566.44530000,0)</f>
        <v>#VALUE!</v>
      </c>
      <c r="J2825" s="14" t="e">
        <f>=Round(37984.70990000,0)</f>
        <v>#VALUE!</v>
      </c>
    </row>
    <row r="2826">
      <c r="A2826" s="11" t="s">
        <v>35</v>
      </c>
      <c r="B2826" s="12">
        <v>3589.0109</v>
      </c>
      <c r="C2826" s="12">
        <v>0</v>
      </c>
      <c r="D2826" s="13">
        <v>0</v>
      </c>
      <c r="E2826" s="12">
        <v>0</v>
      </c>
      <c r="F2826" s="14">
        <v>0</v>
      </c>
      <c r="G2826" s="13">
        <v>1035184.3705</v>
      </c>
      <c r="H2826" s="14">
        <v>3715287989.234138</v>
      </c>
      <c r="I2826" s="14" t="e">
        <f>=Round(83746.24570000,0)</f>
        <v>#VALUE!</v>
      </c>
      <c r="J2826" s="14" t="e">
        <f>=Round(38066.43720000,0)</f>
        <v>#VALUE!</v>
      </c>
    </row>
    <row r="2827">
      <c r="A2827" s="11" t="s">
        <v>36</v>
      </c>
      <c r="B2827" s="12">
        <v>3589.0109</v>
      </c>
      <c r="C2827" s="12">
        <v>0</v>
      </c>
      <c r="D2827" s="13">
        <v>0</v>
      </c>
      <c r="E2827" s="12">
        <v>0</v>
      </c>
      <c r="F2827" s="14">
        <v>0</v>
      </c>
      <c r="G2827" s="13">
        <v>1035184.3705</v>
      </c>
      <c r="H2827" s="14">
        <v>3715287989.234138</v>
      </c>
      <c r="I2827" s="14" t="e">
        <f>=Round(83746.24570000,0)</f>
        <v>#VALUE!</v>
      </c>
      <c r="J2827" s="14" t="e">
        <f>=Round(38066.43720000,0)</f>
        <v>#VALUE!</v>
      </c>
    </row>
    <row r="2828">
      <c r="A2828" s="11" t="s">
        <v>37</v>
      </c>
      <c r="B2828" s="12">
        <v>3590.972</v>
      </c>
      <c r="C2828" s="12">
        <v>167.0857</v>
      </c>
      <c r="D2828" s="13">
        <v>600000</v>
      </c>
      <c r="E2828" s="12">
        <v>27.8681</v>
      </c>
      <c r="F2828" s="14">
        <v>100073</v>
      </c>
      <c r="G2828" s="13">
        <v>1035748.5928</v>
      </c>
      <c r="H2828" s="14">
        <v>3719344195.7842021</v>
      </c>
      <c r="I2828" s="14" t="e">
        <f>=Round(83746.24570000,0)</f>
        <v>#VALUE!</v>
      </c>
      <c r="J2828" s="14" t="e">
        <f>=Round(38066.43720000,0)</f>
        <v>#VALUE!</v>
      </c>
    </row>
    <row r="2829">
      <c r="A2829" s="11" t="s">
        <v>38</v>
      </c>
      <c r="B2829" s="12">
        <v>3591.6235</v>
      </c>
      <c r="C2829" s="12">
        <v>55.6852</v>
      </c>
      <c r="D2829" s="13">
        <v>200000</v>
      </c>
      <c r="E2829" s="12">
        <v>2863.3662</v>
      </c>
      <c r="F2829" s="14">
        <v>10284133</v>
      </c>
      <c r="G2829" s="13">
        <v>1035887.8104</v>
      </c>
      <c r="H2829" s="14">
        <v>3720519003.1961842</v>
      </c>
      <c r="I2829" s="14" t="e">
        <f>=Round(83837.67650000,0)</f>
        <v>#VALUE!</v>
      </c>
      <c r="J2829" s="14" t="e">
        <f>=Round(38107.99670000,0)</f>
        <v>#VALUE!</v>
      </c>
    </row>
    <row r="2830">
      <c r="A2830" s="11" t="s">
        <v>39</v>
      </c>
      <c r="B2830" s="12">
        <v>3592.281</v>
      </c>
      <c r="C2830" s="12">
        <v>1280.5234</v>
      </c>
      <c r="D2830" s="13">
        <v>4600000</v>
      </c>
      <c r="E2830" s="12">
        <v>0</v>
      </c>
      <c r="F2830" s="14">
        <v>0</v>
      </c>
      <c r="G2830" s="13">
        <v>1033080.1294</v>
      </c>
      <c r="H2830" s="14">
        <v>3711114120.3211608</v>
      </c>
      <c r="I2830" s="14" t="e">
        <f>=Round(83864.15790000,0)</f>
        <v>#VALUE!</v>
      </c>
      <c r="J2830" s="14" t="e">
        <f>=Round(38120.03360000,0)</f>
        <v>#VALUE!</v>
      </c>
    </row>
    <row r="2831">
      <c r="A2831" s="11" t="s">
        <v>40</v>
      </c>
      <c r="B2831" s="12">
        <v>3592.9125</v>
      </c>
      <c r="C2831" s="12">
        <v>14194.6123</v>
      </c>
      <c r="D2831" s="13">
        <v>51000000</v>
      </c>
      <c r="E2831" s="12">
        <v>0</v>
      </c>
      <c r="F2831" s="14">
        <v>0</v>
      </c>
      <c r="G2831" s="13">
        <v>1034360.6528</v>
      </c>
      <c r="H2831" s="14">
        <v>3716367318.95328</v>
      </c>
      <c r="I2831" s="14" t="e">
        <f>=Round(83652.16250000,0)</f>
        <v>#VALUE!</v>
      </c>
      <c r="J2831" s="14" t="e">
        <f>=Round(38023.67220000,0)</f>
        <v>#VALUE!</v>
      </c>
    </row>
    <row r="2832">
      <c r="A2832" s="11" t="s">
        <v>41</v>
      </c>
      <c r="B2832" s="12">
        <v>3593.5674</v>
      </c>
      <c r="C2832" s="12">
        <v>0</v>
      </c>
      <c r="D2832" s="13">
        <v>0</v>
      </c>
      <c r="E2832" s="12">
        <v>29.7075</v>
      </c>
      <c r="F2832" s="14">
        <v>106756</v>
      </c>
      <c r="G2832" s="13">
        <v>1048555.2651</v>
      </c>
      <c r="H2832" s="14">
        <v>3768054017.7617178</v>
      </c>
      <c r="I2832" s="14" t="e">
        <f>=Round(83770.57480000,0)</f>
        <v>#VALUE!</v>
      </c>
      <c r="J2832" s="14" t="e">
        <f>=Round(38077.49590000,0)</f>
        <v>#VALUE!</v>
      </c>
    </row>
    <row r="2833">
      <c r="A2833" s="11" t="s">
        <v>42</v>
      </c>
      <c r="B2833" s="12">
        <v>3593.5674</v>
      </c>
      <c r="C2833" s="12">
        <v>0</v>
      </c>
      <c r="D2833" s="13">
        <v>0</v>
      </c>
      <c r="E2833" s="12">
        <v>0</v>
      </c>
      <c r="F2833" s="14">
        <v>0</v>
      </c>
      <c r="G2833" s="13">
        <v>1048555.2651</v>
      </c>
      <c r="H2833" s="14">
        <v>3768054017.7617178</v>
      </c>
      <c r="I2833" s="14" t="e">
        <f>=Round(84935.64380000,0)</f>
        <v>#VALUE!</v>
      </c>
      <c r="J2833" s="14" t="e">
        <f>=Round(38607.07220000,0)</f>
        <v>#VALUE!</v>
      </c>
    </row>
    <row r="2834">
      <c r="A2834" s="11" t="s">
        <v>43</v>
      </c>
      <c r="B2834" s="12">
        <v>3593.5674</v>
      </c>
      <c r="C2834" s="12">
        <v>0</v>
      </c>
      <c r="D2834" s="13">
        <v>0</v>
      </c>
      <c r="E2834" s="12">
        <v>0</v>
      </c>
      <c r="F2834" s="14">
        <v>0</v>
      </c>
      <c r="G2834" s="13">
        <v>1048555.2651</v>
      </c>
      <c r="H2834" s="14">
        <v>3768054017.7617178</v>
      </c>
      <c r="I2834" s="14" t="e">
        <f>=Round(84935.64380000,0)</f>
        <v>#VALUE!</v>
      </c>
      <c r="J2834" s="14" t="e">
        <f>=Round(38607.07220000,0)</f>
        <v>#VALUE!</v>
      </c>
    </row>
    <row r="2835">
      <c r="A2835" s="11" t="s">
        <v>44</v>
      </c>
      <c r="B2835" s="12">
        <v>3595.5366</v>
      </c>
      <c r="C2835" s="12">
        <v>31356.9329</v>
      </c>
      <c r="D2835" s="13">
        <v>112745000</v>
      </c>
      <c r="E2835" s="12">
        <v>0</v>
      </c>
      <c r="F2835" s="14">
        <v>0</v>
      </c>
      <c r="G2835" s="13">
        <v>1048525.5576</v>
      </c>
      <c r="H2835" s="14">
        <v>3770012018.3862081</v>
      </c>
      <c r="I2835" s="14" t="e">
        <f>=Round(84935.64380000,0)</f>
        <v>#VALUE!</v>
      </c>
      <c r="J2835" s="14" t="e">
        <f>=Round(38607.07220000,0)</f>
        <v>#VALUE!</v>
      </c>
    </row>
    <row r="2836">
      <c r="A2836" s="11" t="s">
        <v>45</v>
      </c>
      <c r="B2836" s="12">
        <v>3596.1915</v>
      </c>
      <c r="C2836" s="12">
        <v>347.59</v>
      </c>
      <c r="D2836" s="13">
        <v>1250000</v>
      </c>
      <c r="E2836" s="12">
        <v>0</v>
      </c>
      <c r="F2836" s="14">
        <v>0</v>
      </c>
      <c r="G2836" s="13">
        <v>1079882.4905</v>
      </c>
      <c r="H2836" s="14">
        <v>3883464233.3349309</v>
      </c>
      <c r="I2836" s="14" t="e">
        <f>=Round(84979.77910000,0)</f>
        <v>#VALUE!</v>
      </c>
      <c r="J2836" s="14" t="e">
        <f>=Round(38627.13370000,0)</f>
        <v>#VALUE!</v>
      </c>
    </row>
    <row r="2837">
      <c r="A2837" s="11" t="s">
        <v>46</v>
      </c>
      <c r="B2837" s="12">
        <v>3596.8461</v>
      </c>
      <c r="C2837" s="12">
        <v>500.4384</v>
      </c>
      <c r="D2837" s="13">
        <v>1800000</v>
      </c>
      <c r="E2837" s="12">
        <v>808.3244</v>
      </c>
      <c r="F2837" s="14">
        <v>2907418</v>
      </c>
      <c r="G2837" s="13">
        <v>1080230.0805</v>
      </c>
      <c r="H2837" s="14">
        <v>3885421352.1491108</v>
      </c>
      <c r="I2837" s="14" t="e">
        <f>=Round(87537.10360000,0)</f>
        <v>#VALUE!</v>
      </c>
      <c r="J2837" s="14" t="e">
        <f>=Round(39789.55280000,0)</f>
        <v>#VALUE!</v>
      </c>
    </row>
    <row r="2838">
      <c r="A2838" s="11" t="s">
        <v>47</v>
      </c>
      <c r="B2838" s="12">
        <v>3597.4992</v>
      </c>
      <c r="C2838" s="12">
        <v>277.9709</v>
      </c>
      <c r="D2838" s="13">
        <v>1000000</v>
      </c>
      <c r="E2838" s="12">
        <v>28.3904</v>
      </c>
      <c r="F2838" s="14">
        <v>102134</v>
      </c>
      <c r="G2838" s="13">
        <v>1079922.1945</v>
      </c>
      <c r="H2838" s="14">
        <v>3885019230.7759938</v>
      </c>
      <c r="I2838" s="14" t="e">
        <f>=Round(87581.21900000,0)</f>
        <v>#VALUE!</v>
      </c>
      <c r="J2838" s="14" t="e">
        <f>=Round(39809.60520000,0)</f>
        <v>#VALUE!</v>
      </c>
    </row>
    <row r="2839">
      <c r="A2839" s="11" t="s">
        <v>48</v>
      </c>
      <c r="B2839" s="12">
        <v>3598.1558</v>
      </c>
      <c r="C2839" s="12">
        <v>125.0641</v>
      </c>
      <c r="D2839" s="13">
        <v>450000</v>
      </c>
      <c r="E2839" s="12">
        <v>3242.2069</v>
      </c>
      <c r="F2839" s="14">
        <v>11665966</v>
      </c>
      <c r="G2839" s="13">
        <v>1080171.775</v>
      </c>
      <c r="H2839" s="14">
        <v>3886626337.2125449</v>
      </c>
      <c r="I2839" s="14" t="e">
        <f>=Round(87572.15480000,0)</f>
        <v>#VALUE!</v>
      </c>
      <c r="J2839" s="14" t="e">
        <f>=Round(39805.48510000,0)</f>
        <v>#VALUE!</v>
      </c>
    </row>
    <row r="2840">
      <c r="A2840" s="11" t="s">
        <v>49</v>
      </c>
      <c r="B2840" s="12">
        <v>3598.1558</v>
      </c>
      <c r="C2840" s="12">
        <v>0</v>
      </c>
      <c r="D2840" s="13">
        <v>0</v>
      </c>
      <c r="E2840" s="12">
        <v>0</v>
      </c>
      <c r="F2840" s="14">
        <v>0</v>
      </c>
      <c r="G2840" s="13">
        <v>1080171.775</v>
      </c>
      <c r="H2840" s="14">
        <v>3886626337.2125449</v>
      </c>
      <c r="I2840" s="14" t="e">
        <f>=Round(87608.38060000,0)</f>
        <v>#VALUE!</v>
      </c>
      <c r="J2840" s="14" t="e">
        <f>=Round(39821.95130000,0)</f>
        <v>#VALUE!</v>
      </c>
    </row>
    <row r="2841">
      <c r="A2841" s="11" t="s">
        <v>50</v>
      </c>
      <c r="B2841" s="12">
        <v>3598.1558</v>
      </c>
      <c r="C2841" s="12">
        <v>0</v>
      </c>
      <c r="D2841" s="13">
        <v>0</v>
      </c>
      <c r="E2841" s="12">
        <v>0</v>
      </c>
      <c r="F2841" s="14">
        <v>0</v>
      </c>
      <c r="G2841" s="13">
        <v>1080171.775</v>
      </c>
      <c r="H2841" s="14">
        <v>3886626337.2125449</v>
      </c>
      <c r="I2841" s="14" t="e">
        <f>=Round(87608.38060000,0)</f>
        <v>#VALUE!</v>
      </c>
      <c r="J2841" s="14" t="e">
        <f>=Round(39821.95130000,0)</f>
        <v>#VALUE!</v>
      </c>
    </row>
    <row r="2842">
      <c r="A2842" s="11" t="s">
        <v>51</v>
      </c>
      <c r="B2842" s="12">
        <v>3600.124</v>
      </c>
      <c r="C2842" s="12">
        <v>929.5513</v>
      </c>
      <c r="D2842" s="13">
        <v>3346500</v>
      </c>
      <c r="E2842" s="12">
        <v>586.3755</v>
      </c>
      <c r="F2842" s="14">
        <v>2111025</v>
      </c>
      <c r="G2842" s="13">
        <v>1077054.6322</v>
      </c>
      <c r="H2842" s="14">
        <v>3877530230.6943932</v>
      </c>
      <c r="I2842" s="14" t="e">
        <f>=Round(87608.38060000,0)</f>
        <v>#VALUE!</v>
      </c>
      <c r="J2842" s="14" t="e">
        <f>=Round(39821.95130000,0)</f>
        <v>#VALUE!</v>
      </c>
    </row>
    <row r="2843">
      <c r="A2843" s="11" t="s">
        <v>52</v>
      </c>
      <c r="B2843" s="12">
        <v>3600.7905</v>
      </c>
      <c r="C2843" s="12">
        <v>27.7717</v>
      </c>
      <c r="D2843" s="13">
        <v>100000</v>
      </c>
      <c r="E2843" s="12">
        <v>0</v>
      </c>
      <c r="F2843" s="14">
        <v>0</v>
      </c>
      <c r="G2843" s="13">
        <v>1077397.808</v>
      </c>
      <c r="H2843" s="14">
        <v>3879483791.7672238</v>
      </c>
      <c r="I2843" s="14" t="e">
        <f>=Round(87403.34540000,0)</f>
        <v>#VALUE!</v>
      </c>
      <c r="J2843" s="14" t="e">
        <f>=Round(39728.75360000,0)</f>
        <v>#VALUE!</v>
      </c>
    </row>
    <row r="2844">
      <c r="A2844" s="11" t="s">
        <v>53</v>
      </c>
      <c r="B2844" s="12">
        <v>3601.445</v>
      </c>
      <c r="C2844" s="12">
        <v>1721.5312</v>
      </c>
      <c r="D2844" s="13">
        <v>6200000</v>
      </c>
      <c r="E2844" s="12">
        <v>281.1262</v>
      </c>
      <c r="F2844" s="14">
        <v>1012461</v>
      </c>
      <c r="G2844" s="13">
        <v>1077425.5797</v>
      </c>
      <c r="H2844" s="14">
        <v>3880288966.8826671</v>
      </c>
      <c r="I2844" s="14" t="e">
        <f>=Round(87447.38060000,0)</f>
        <v>#VALUE!</v>
      </c>
      <c r="J2844" s="14" t="e">
        <f>=Round(39748.76960000,0)</f>
        <v>#VALUE!</v>
      </c>
    </row>
    <row r="2845">
      <c r="A2845" s="11" t="s">
        <v>54</v>
      </c>
      <c r="B2845" s="12">
        <v>3602.0851</v>
      </c>
      <c r="C2845" s="12">
        <v>2484.672</v>
      </c>
      <c r="D2845" s="13">
        <v>8950000</v>
      </c>
      <c r="E2845" s="12">
        <v>0</v>
      </c>
      <c r="F2845" s="14">
        <v>0</v>
      </c>
      <c r="G2845" s="13">
        <v>1078865.9847</v>
      </c>
      <c r="H2845" s="14">
        <v>3886167088.3846979</v>
      </c>
      <c r="I2845" s="14" t="e">
        <f>=Round(87465.53000000,0)</f>
        <v>#VALUE!</v>
      </c>
      <c r="J2845" s="14" t="e">
        <f>=Round(39757.01930000,0)</f>
        <v>#VALUE!</v>
      </c>
    </row>
    <row r="2846">
      <c r="A2846" s="11" t="s">
        <v>55</v>
      </c>
      <c r="B2846" s="12">
        <v>3602.7417</v>
      </c>
      <c r="C2846" s="12">
        <v>1414.2008</v>
      </c>
      <c r="D2846" s="13">
        <v>5095000</v>
      </c>
      <c r="E2846" s="12">
        <v>277.6666</v>
      </c>
      <c r="F2846" s="14">
        <v>1000361</v>
      </c>
      <c r="G2846" s="13">
        <v>1081350.6567</v>
      </c>
      <c r="H2846" s="14">
        <v>3895827103.2154741</v>
      </c>
      <c r="I2846" s="14" t="e">
        <f>=Round(87598.02860000,0)</f>
        <v>#VALUE!</v>
      </c>
      <c r="J2846" s="14" t="e">
        <f>=Round(39817.24590000,0)</f>
        <v>#VALUE!</v>
      </c>
    </row>
    <row r="2847" ht="-1">
      <c r="A2847" s="15"/>
      <c r="B2847" s="16" t="s">
        <v>56</v>
      </c>
      <c r="C2847" s="15"/>
      <c r="D2847" s="15"/>
      <c r="E2847" s="15"/>
      <c r="F2847" s="15"/>
      <c r="G2847" s="15"/>
      <c r="H2847" s="15"/>
      <c r="I2847" s="17" t="e">
        <f>=Round(SUM(I2821:I2846),0)</f>
        <v>#VALUE!</v>
      </c>
      <c r="J2847" s="17" t="e">
        <f>=Round(SUM(J2821:J2846),0)</f>
        <v>#VALUE!</v>
      </c>
    </row>
    <row r="2848">
      <c r="A2848" s="1" t="s">
        <v>0</v>
      </c>
      <c r="B2848" s="1"/>
      <c r="C2848" s="1"/>
      <c r="D2848" s="1"/>
    </row>
    <row r="2849">
      <c r="A2849" s="0" t="s">
        <v>1</v>
      </c>
      <c r="C2849" s="0" t="s">
        <v>2</v>
      </c>
      <c r="H2849" s="2" t="s">
        <v>3</v>
      </c>
    </row>
    <row r="2850">
      <c r="A2850" s="0" t="s">
        <v>4</v>
      </c>
      <c r="C2850" s="0" t="s">
        <v>131</v>
      </c>
      <c r="H2850" s="3" t="s">
        <v>6</v>
      </c>
    </row>
    <row r="2851">
      <c r="A2851" s="0" t="s">
        <v>7</v>
      </c>
      <c r="C2851" s="4" t="s">
        <v>8</v>
      </c>
      <c r="H2851" s="2" t="s">
        <v>9</v>
      </c>
    </row>
    <row r="2852">
      <c r="A2852" s="0" t="s">
        <v>10</v>
      </c>
      <c r="C2852" s="4" t="s">
        <v>11</v>
      </c>
      <c r="H2852" s="2" t="s">
        <v>12</v>
      </c>
    </row>
    <row r="2853">
      <c r="A2853" s="0" t="s">
        <v>13</v>
      </c>
      <c r="C2853" s="0" t="s">
        <v>14</v>
      </c>
    </row>
    <row r="2854">
      <c r="A2854" s="0" t="s">
        <v>15</v>
      </c>
      <c r="C2854" s="0" t="s">
        <v>16</v>
      </c>
    </row>
    <row r="2855">
      <c r="A2855" s="0" t="s">
        <v>17</v>
      </c>
      <c r="C2855" s="0" t="s">
        <v>18</v>
      </c>
    </row>
    <row r="2858">
      <c r="A2858" s="5" t="s">
        <v>19</v>
      </c>
      <c r="B2858" s="5" t="s">
        <v>20</v>
      </c>
      <c r="C2858" s="7" t="s">
        <v>21</v>
      </c>
      <c r="D2858" s="9"/>
      <c r="E2858" s="7" t="s">
        <v>22</v>
      </c>
      <c r="F2858" s="9"/>
      <c r="G2858" s="5" t="s">
        <v>23</v>
      </c>
      <c r="H2858" s="5" t="s">
        <v>24</v>
      </c>
      <c r="I2858" s="5" t="s">
        <v>25</v>
      </c>
      <c r="J2858" s="5" t="s">
        <v>26</v>
      </c>
    </row>
    <row r="2859">
      <c r="A2859" s="6"/>
      <c r="B2859" s="6"/>
      <c r="C2859" s="8" t="s">
        <v>27</v>
      </c>
      <c r="D2859" s="8" t="s">
        <v>28</v>
      </c>
      <c r="E2859" s="8" t="s">
        <v>27</v>
      </c>
      <c r="F2859" s="8" t="s">
        <v>28</v>
      </c>
      <c r="G2859" s="6"/>
      <c r="H2859" s="6"/>
      <c r="I2859" s="10" t="s">
        <v>29</v>
      </c>
      <c r="J2859" s="6"/>
    </row>
    <row r="2860">
      <c r="A2860" s="11" t="s">
        <v>30</v>
      </c>
      <c r="B2860" s="12">
        <v>3586.4187</v>
      </c>
      <c r="C2860" s="12">
        <v>0</v>
      </c>
      <c r="D2860" s="13">
        <v>0</v>
      </c>
      <c r="E2860" s="12">
        <v>0</v>
      </c>
      <c r="F2860" s="14">
        <v>0</v>
      </c>
      <c r="G2860" s="13">
        <v>257202.7807</v>
      </c>
      <c r="H2860" s="14">
        <v>922436862.394479</v>
      </c>
      <c r="I2860" s="14" t="e">
        <f>=Round(20781.20020000,0)</f>
        <v>#VALUE!</v>
      </c>
      <c r="J2860" s="14" t="e">
        <f>=Round(0.00000000,0)</f>
        <v>#VALUE!</v>
      </c>
    </row>
    <row r="2861">
      <c r="A2861" s="11" t="s">
        <v>31</v>
      </c>
      <c r="B2861" s="12">
        <v>3587.0477</v>
      </c>
      <c r="C2861" s="12">
        <v>1893.9065</v>
      </c>
      <c r="D2861" s="13">
        <v>6793533</v>
      </c>
      <c r="E2861" s="12">
        <v>794.6175</v>
      </c>
      <c r="F2861" s="14">
        <v>2850331</v>
      </c>
      <c r="G2861" s="13">
        <v>257202.7807</v>
      </c>
      <c r="H2861" s="14">
        <v>922598642.943539</v>
      </c>
      <c r="I2861" s="14" t="e">
        <f>=Round(20792.63420000,0)</f>
        <v>#VALUE!</v>
      </c>
      <c r="J2861" s="14" t="e">
        <f>=Round(0.00000000,0)</f>
        <v>#VALUE!</v>
      </c>
    </row>
    <row r="2862">
      <c r="A2862" s="11" t="s">
        <v>32</v>
      </c>
      <c r="B2862" s="12">
        <v>3587.6685</v>
      </c>
      <c r="C2862" s="12">
        <v>0</v>
      </c>
      <c r="D2862" s="13">
        <v>0</v>
      </c>
      <c r="E2862" s="12">
        <v>0</v>
      </c>
      <c r="F2862" s="14">
        <v>0</v>
      </c>
      <c r="G2862" s="13">
        <v>258302.0697</v>
      </c>
      <c r="H2862" s="14">
        <v>926702198.947494</v>
      </c>
      <c r="I2862" s="14" t="e">
        <f>=Round(20796.28090000,0)</f>
        <v>#VALUE!</v>
      </c>
      <c r="J2862" s="14" t="e">
        <f>=Round(0.00000000,0)</f>
        <v>#VALUE!</v>
      </c>
    </row>
    <row r="2863">
      <c r="A2863" s="11" t="s">
        <v>33</v>
      </c>
      <c r="B2863" s="12">
        <v>3588.3573</v>
      </c>
      <c r="C2863" s="12">
        <v>0</v>
      </c>
      <c r="D2863" s="13">
        <v>0</v>
      </c>
      <c r="E2863" s="12">
        <v>0</v>
      </c>
      <c r="F2863" s="14">
        <v>0</v>
      </c>
      <c r="G2863" s="13">
        <v>258302.0697</v>
      </c>
      <c r="H2863" s="14">
        <v>926880117.413104</v>
      </c>
      <c r="I2863" s="14" t="e">
        <f>=Round(20888.77910000,0)</f>
        <v>#VALUE!</v>
      </c>
      <c r="J2863" s="14" t="e">
        <f>=Round(0.00000000,0)</f>
        <v>#VALUE!</v>
      </c>
    </row>
    <row r="2864">
      <c r="A2864" s="11" t="s">
        <v>34</v>
      </c>
      <c r="B2864" s="12">
        <v>3589.0109</v>
      </c>
      <c r="C2864" s="12">
        <v>0</v>
      </c>
      <c r="D2864" s="13">
        <v>0</v>
      </c>
      <c r="E2864" s="12">
        <v>0</v>
      </c>
      <c r="F2864" s="14">
        <v>0</v>
      </c>
      <c r="G2864" s="13">
        <v>258302.0697</v>
      </c>
      <c r="H2864" s="14">
        <v>927048943.64586</v>
      </c>
      <c r="I2864" s="14" t="e">
        <f>=Round(20892.78950000,0)</f>
        <v>#VALUE!</v>
      </c>
      <c r="J2864" s="14" t="e">
        <f>=Round(0.00000000,0)</f>
        <v>#VALUE!</v>
      </c>
    </row>
    <row r="2865">
      <c r="A2865" s="11" t="s">
        <v>35</v>
      </c>
      <c r="B2865" s="12">
        <v>3589.0109</v>
      </c>
      <c r="C2865" s="12">
        <v>0</v>
      </c>
      <c r="D2865" s="13">
        <v>0</v>
      </c>
      <c r="E2865" s="12">
        <v>0</v>
      </c>
      <c r="F2865" s="14">
        <v>0</v>
      </c>
      <c r="G2865" s="13">
        <v>258302.0697</v>
      </c>
      <c r="H2865" s="14">
        <v>927048943.64586</v>
      </c>
      <c r="I2865" s="14" t="e">
        <f>=Round(20896.59500000,0)</f>
        <v>#VALUE!</v>
      </c>
      <c r="J2865" s="14" t="e">
        <f>=Round(0.00000000,0)</f>
        <v>#VALUE!</v>
      </c>
    </row>
    <row r="2866">
      <c r="A2866" s="11" t="s">
        <v>36</v>
      </c>
      <c r="B2866" s="12">
        <v>3589.0109</v>
      </c>
      <c r="C2866" s="12">
        <v>0</v>
      </c>
      <c r="D2866" s="13">
        <v>0</v>
      </c>
      <c r="E2866" s="12">
        <v>0</v>
      </c>
      <c r="F2866" s="14">
        <v>0</v>
      </c>
      <c r="G2866" s="13">
        <v>258302.0697</v>
      </c>
      <c r="H2866" s="14">
        <v>927048943.64586</v>
      </c>
      <c r="I2866" s="14" t="e">
        <f>=Round(20896.59500000,0)</f>
        <v>#VALUE!</v>
      </c>
      <c r="J2866" s="14" t="e">
        <f>=Round(0.00000000,0)</f>
        <v>#VALUE!</v>
      </c>
    </row>
    <row r="2867">
      <c r="A2867" s="11" t="s">
        <v>37</v>
      </c>
      <c r="B2867" s="12">
        <v>3590.972</v>
      </c>
      <c r="C2867" s="12">
        <v>0</v>
      </c>
      <c r="D2867" s="13">
        <v>0</v>
      </c>
      <c r="E2867" s="12">
        <v>0</v>
      </c>
      <c r="F2867" s="14">
        <v>0</v>
      </c>
      <c r="G2867" s="13">
        <v>258302.0697</v>
      </c>
      <c r="H2867" s="14">
        <v>927555499.834748</v>
      </c>
      <c r="I2867" s="14" t="e">
        <f>=Round(20896.59500000,0)</f>
        <v>#VALUE!</v>
      </c>
      <c r="J2867" s="14" t="e">
        <f>=Round(0.00000000,0)</f>
        <v>#VALUE!</v>
      </c>
    </row>
    <row r="2868">
      <c r="A2868" s="11" t="s">
        <v>38</v>
      </c>
      <c r="B2868" s="12">
        <v>3591.6235</v>
      </c>
      <c r="C2868" s="12">
        <v>0</v>
      </c>
      <c r="D2868" s="13">
        <v>0</v>
      </c>
      <c r="E2868" s="12">
        <v>0</v>
      </c>
      <c r="F2868" s="14">
        <v>0</v>
      </c>
      <c r="G2868" s="13">
        <v>258302.0697</v>
      </c>
      <c r="H2868" s="14">
        <v>927723783.633158</v>
      </c>
      <c r="I2868" s="14" t="e">
        <f>=Round(20908.01330000,0)</f>
        <v>#VALUE!</v>
      </c>
      <c r="J2868" s="14" t="e">
        <f>=Round(0.00000000,0)</f>
        <v>#VALUE!</v>
      </c>
    </row>
    <row r="2869">
      <c r="A2869" s="11" t="s">
        <v>39</v>
      </c>
      <c r="B2869" s="12">
        <v>3592.281</v>
      </c>
      <c r="C2869" s="12">
        <v>0</v>
      </c>
      <c r="D2869" s="13">
        <v>0</v>
      </c>
      <c r="E2869" s="12">
        <v>0</v>
      </c>
      <c r="F2869" s="14">
        <v>0</v>
      </c>
      <c r="G2869" s="13">
        <v>258302.0697</v>
      </c>
      <c r="H2869" s="14">
        <v>927893617.243986</v>
      </c>
      <c r="I2869" s="14" t="e">
        <f>=Round(20911.80660000,0)</f>
        <v>#VALUE!</v>
      </c>
      <c r="J2869" s="14" t="e">
        <f>=Round(0.00000000,0)</f>
        <v>#VALUE!</v>
      </c>
    </row>
    <row r="2870">
      <c r="A2870" s="11" t="s">
        <v>40</v>
      </c>
      <c r="B2870" s="12">
        <v>3592.9125</v>
      </c>
      <c r="C2870" s="12">
        <v>0</v>
      </c>
      <c r="D2870" s="13">
        <v>0</v>
      </c>
      <c r="E2870" s="12">
        <v>0</v>
      </c>
      <c r="F2870" s="14">
        <v>0</v>
      </c>
      <c r="G2870" s="13">
        <v>258302.0697</v>
      </c>
      <c r="H2870" s="14">
        <v>928056735.001001</v>
      </c>
      <c r="I2870" s="14" t="e">
        <f>=Round(20915.63480000,0)</f>
        <v>#VALUE!</v>
      </c>
      <c r="J2870" s="14" t="e">
        <f>=Round(0.00000000,0)</f>
        <v>#VALUE!</v>
      </c>
    </row>
    <row r="2871">
      <c r="A2871" s="11" t="s">
        <v>41</v>
      </c>
      <c r="B2871" s="12">
        <v>3593.5674</v>
      </c>
      <c r="C2871" s="12">
        <v>0</v>
      </c>
      <c r="D2871" s="13">
        <v>0</v>
      </c>
      <c r="E2871" s="12">
        <v>0</v>
      </c>
      <c r="F2871" s="14">
        <v>0</v>
      </c>
      <c r="G2871" s="13">
        <v>258302.0697</v>
      </c>
      <c r="H2871" s="14">
        <v>928225897.026448</v>
      </c>
      <c r="I2871" s="14" t="e">
        <f>=Round(20919.31160000,0)</f>
        <v>#VALUE!</v>
      </c>
      <c r="J2871" s="14" t="e">
        <f>=Round(0.00000000,0)</f>
        <v>#VALUE!</v>
      </c>
    </row>
    <row r="2872">
      <c r="A2872" s="11" t="s">
        <v>42</v>
      </c>
      <c r="B2872" s="12">
        <v>3593.5674</v>
      </c>
      <c r="C2872" s="12">
        <v>0</v>
      </c>
      <c r="D2872" s="13">
        <v>0</v>
      </c>
      <c r="E2872" s="12">
        <v>0</v>
      </c>
      <c r="F2872" s="14">
        <v>0</v>
      </c>
      <c r="G2872" s="13">
        <v>258302.0697</v>
      </c>
      <c r="H2872" s="14">
        <v>928225897.026448</v>
      </c>
      <c r="I2872" s="14" t="e">
        <f>=Round(20923.12470000,0)</f>
        <v>#VALUE!</v>
      </c>
      <c r="J2872" s="14" t="e">
        <f>=Round(0.00000000,0)</f>
        <v>#VALUE!</v>
      </c>
    </row>
    <row r="2873">
      <c r="A2873" s="11" t="s">
        <v>43</v>
      </c>
      <c r="B2873" s="12">
        <v>3593.5674</v>
      </c>
      <c r="C2873" s="12">
        <v>0</v>
      </c>
      <c r="D2873" s="13">
        <v>0</v>
      </c>
      <c r="E2873" s="12">
        <v>0</v>
      </c>
      <c r="F2873" s="14">
        <v>0</v>
      </c>
      <c r="G2873" s="13">
        <v>258302.0697</v>
      </c>
      <c r="H2873" s="14">
        <v>928225897.026448</v>
      </c>
      <c r="I2873" s="14" t="e">
        <f>=Round(20923.12470000,0)</f>
        <v>#VALUE!</v>
      </c>
      <c r="J2873" s="14" t="e">
        <f>=Round(0.00000000,0)</f>
        <v>#VALUE!</v>
      </c>
    </row>
    <row r="2874">
      <c r="A2874" s="11" t="s">
        <v>44</v>
      </c>
      <c r="B2874" s="12">
        <v>3595.5366</v>
      </c>
      <c r="C2874" s="12">
        <v>0</v>
      </c>
      <c r="D2874" s="13">
        <v>0</v>
      </c>
      <c r="E2874" s="12">
        <v>0</v>
      </c>
      <c r="F2874" s="14">
        <v>0</v>
      </c>
      <c r="G2874" s="13">
        <v>258302.0697</v>
      </c>
      <c r="H2874" s="14">
        <v>928734545.462101</v>
      </c>
      <c r="I2874" s="14" t="e">
        <f>=Round(20923.12470000,0)</f>
        <v>#VALUE!</v>
      </c>
      <c r="J2874" s="14" t="e">
        <f>=Round(0.00000000,0)</f>
        <v>#VALUE!</v>
      </c>
    </row>
    <row r="2875">
      <c r="A2875" s="11" t="s">
        <v>45</v>
      </c>
      <c r="B2875" s="12">
        <v>3596.1915</v>
      </c>
      <c r="C2875" s="12">
        <v>0</v>
      </c>
      <c r="D2875" s="13">
        <v>0</v>
      </c>
      <c r="E2875" s="12">
        <v>0</v>
      </c>
      <c r="F2875" s="14">
        <v>0</v>
      </c>
      <c r="G2875" s="13">
        <v>258302.0697</v>
      </c>
      <c r="H2875" s="14">
        <v>928903707.487548</v>
      </c>
      <c r="I2875" s="14" t="e">
        <f>=Round(20934.59020000,0)</f>
        <v>#VALUE!</v>
      </c>
      <c r="J2875" s="14" t="e">
        <f>=Round(0.00000000,0)</f>
        <v>#VALUE!</v>
      </c>
    </row>
    <row r="2876">
      <c r="A2876" s="11" t="s">
        <v>46</v>
      </c>
      <c r="B2876" s="12">
        <v>3596.8461</v>
      </c>
      <c r="C2876" s="12">
        <v>263.1436</v>
      </c>
      <c r="D2876" s="13">
        <v>946487</v>
      </c>
      <c r="E2876" s="12">
        <v>0</v>
      </c>
      <c r="F2876" s="14">
        <v>0</v>
      </c>
      <c r="G2876" s="13">
        <v>258302.0697</v>
      </c>
      <c r="H2876" s="14">
        <v>929072792.022373</v>
      </c>
      <c r="I2876" s="14" t="e">
        <f>=Round(20938.40320000,0)</f>
        <v>#VALUE!</v>
      </c>
      <c r="J2876" s="14" t="e">
        <f>=Round(0.00000000,0)</f>
        <v>#VALUE!</v>
      </c>
    </row>
    <row r="2877">
      <c r="A2877" s="11" t="s">
        <v>47</v>
      </c>
      <c r="B2877" s="12">
        <v>3597.4992</v>
      </c>
      <c r="C2877" s="12">
        <v>0</v>
      </c>
      <c r="D2877" s="13">
        <v>0</v>
      </c>
      <c r="E2877" s="12">
        <v>0</v>
      </c>
      <c r="F2877" s="14">
        <v>0</v>
      </c>
      <c r="G2877" s="13">
        <v>258565.2133</v>
      </c>
      <c r="H2877" s="14">
        <v>930188147.994579</v>
      </c>
      <c r="I2877" s="14" t="e">
        <f>=Round(20942.21460000,0)</f>
        <v>#VALUE!</v>
      </c>
      <c r="J2877" s="14" t="e">
        <f>=Round(0.00000000,0)</f>
        <v>#VALUE!</v>
      </c>
    </row>
    <row r="2878">
      <c r="A2878" s="11" t="s">
        <v>48</v>
      </c>
      <c r="B2878" s="12">
        <v>3598.1558</v>
      </c>
      <c r="C2878" s="12">
        <v>0</v>
      </c>
      <c r="D2878" s="13">
        <v>0</v>
      </c>
      <c r="E2878" s="12">
        <v>0</v>
      </c>
      <c r="F2878" s="14">
        <v>0</v>
      </c>
      <c r="G2878" s="13">
        <v>258565.2133</v>
      </c>
      <c r="H2878" s="14">
        <v>930357921.913632</v>
      </c>
      <c r="I2878" s="14" t="e">
        <f>=Round(20967.35580000,0)</f>
        <v>#VALUE!</v>
      </c>
      <c r="J2878" s="14" t="e">
        <f>=Round(0.00000000,0)</f>
        <v>#VALUE!</v>
      </c>
    </row>
    <row r="2879">
      <c r="A2879" s="11" t="s">
        <v>49</v>
      </c>
      <c r="B2879" s="12">
        <v>3598.1558</v>
      </c>
      <c r="C2879" s="12">
        <v>0</v>
      </c>
      <c r="D2879" s="13">
        <v>0</v>
      </c>
      <c r="E2879" s="12">
        <v>0</v>
      </c>
      <c r="F2879" s="14">
        <v>0</v>
      </c>
      <c r="G2879" s="13">
        <v>258565.2133</v>
      </c>
      <c r="H2879" s="14">
        <v>930357921.913632</v>
      </c>
      <c r="I2879" s="14" t="e">
        <f>=Round(20971.18270000,0)</f>
        <v>#VALUE!</v>
      </c>
      <c r="J2879" s="14" t="e">
        <f>=Round(0.00000000,0)</f>
        <v>#VALUE!</v>
      </c>
    </row>
    <row r="2880">
      <c r="A2880" s="11" t="s">
        <v>50</v>
      </c>
      <c r="B2880" s="12">
        <v>3598.1558</v>
      </c>
      <c r="C2880" s="12">
        <v>0</v>
      </c>
      <c r="D2880" s="13">
        <v>0</v>
      </c>
      <c r="E2880" s="12">
        <v>0</v>
      </c>
      <c r="F2880" s="14">
        <v>0</v>
      </c>
      <c r="G2880" s="13">
        <v>258565.2133</v>
      </c>
      <c r="H2880" s="14">
        <v>930357921.913632</v>
      </c>
      <c r="I2880" s="14" t="e">
        <f>=Round(20971.18270000,0)</f>
        <v>#VALUE!</v>
      </c>
      <c r="J2880" s="14" t="e">
        <f>=Round(0.00000000,0)</f>
        <v>#VALUE!</v>
      </c>
    </row>
    <row r="2881">
      <c r="A2881" s="11" t="s">
        <v>51</v>
      </c>
      <c r="B2881" s="12">
        <v>3600.124</v>
      </c>
      <c r="C2881" s="12">
        <v>0</v>
      </c>
      <c r="D2881" s="13">
        <v>0</v>
      </c>
      <c r="E2881" s="12">
        <v>0</v>
      </c>
      <c r="F2881" s="14">
        <v>0</v>
      </c>
      <c r="G2881" s="13">
        <v>258565.2133</v>
      </c>
      <c r="H2881" s="14">
        <v>930866829.966449</v>
      </c>
      <c r="I2881" s="14" t="e">
        <f>=Round(20971.18270000,0)</f>
        <v>#VALUE!</v>
      </c>
      <c r="J2881" s="14" t="e">
        <f>=Round(0.00000000,0)</f>
        <v>#VALUE!</v>
      </c>
    </row>
    <row r="2882">
      <c r="A2882" s="11" t="s">
        <v>52</v>
      </c>
      <c r="B2882" s="12">
        <v>3600.7905</v>
      </c>
      <c r="C2882" s="12">
        <v>0</v>
      </c>
      <c r="D2882" s="13">
        <v>0</v>
      </c>
      <c r="E2882" s="12">
        <v>0</v>
      </c>
      <c r="F2882" s="14">
        <v>0</v>
      </c>
      <c r="G2882" s="13">
        <v>258565.2133</v>
      </c>
      <c r="H2882" s="14">
        <v>931039163.681114</v>
      </c>
      <c r="I2882" s="14" t="e">
        <f>=Round(20982.65400000,0)</f>
        <v>#VALUE!</v>
      </c>
      <c r="J2882" s="14" t="e">
        <f>=Round(0.00000000,0)</f>
        <v>#VALUE!</v>
      </c>
    </row>
    <row r="2883">
      <c r="A2883" s="11" t="s">
        <v>53</v>
      </c>
      <c r="B2883" s="12">
        <v>3601.445</v>
      </c>
      <c r="C2883" s="12">
        <v>0</v>
      </c>
      <c r="D2883" s="13">
        <v>0</v>
      </c>
      <c r="E2883" s="12">
        <v>0</v>
      </c>
      <c r="F2883" s="14">
        <v>0</v>
      </c>
      <c r="G2883" s="13">
        <v>258565.2133</v>
      </c>
      <c r="H2883" s="14">
        <v>931208394.613219</v>
      </c>
      <c r="I2883" s="14" t="e">
        <f>=Round(20986.53850000,0)</f>
        <v>#VALUE!</v>
      </c>
      <c r="J2883" s="14" t="e">
        <f>=Round(0.00000000,0)</f>
        <v>#VALUE!</v>
      </c>
    </row>
    <row r="2884">
      <c r="A2884" s="11" t="s">
        <v>54</v>
      </c>
      <c r="B2884" s="12">
        <v>3602.0851</v>
      </c>
      <c r="C2884" s="12">
        <v>0</v>
      </c>
      <c r="D2884" s="13">
        <v>0</v>
      </c>
      <c r="E2884" s="12">
        <v>0</v>
      </c>
      <c r="F2884" s="14">
        <v>0</v>
      </c>
      <c r="G2884" s="13">
        <v>258565.2133</v>
      </c>
      <c r="H2884" s="14">
        <v>931373902.206252</v>
      </c>
      <c r="I2884" s="14" t="e">
        <f>=Round(20990.35320000,0)</f>
        <v>#VALUE!</v>
      </c>
      <c r="J2884" s="14" t="e">
        <f>=Round(0.00000000,0)</f>
        <v>#VALUE!</v>
      </c>
    </row>
    <row r="2885">
      <c r="A2885" s="11" t="s">
        <v>55</v>
      </c>
      <c r="B2885" s="12">
        <v>3602.7417</v>
      </c>
      <c r="C2885" s="12">
        <v>111.2361</v>
      </c>
      <c r="D2885" s="13">
        <v>400755</v>
      </c>
      <c r="E2885" s="12">
        <v>0</v>
      </c>
      <c r="F2885" s="14">
        <v>0</v>
      </c>
      <c r="G2885" s="13">
        <v>258565.2133</v>
      </c>
      <c r="H2885" s="14">
        <v>931543676.125305</v>
      </c>
      <c r="I2885" s="14" t="e">
        <f>=Round(20994.08390000,0)</f>
        <v>#VALUE!</v>
      </c>
      <c r="J2885" s="14" t="e">
        <f>=Round(0.00000000,0)</f>
        <v>#VALUE!</v>
      </c>
    </row>
    <row r="2886" ht="-1">
      <c r="A2886" s="15"/>
      <c r="B2886" s="16" t="s">
        <v>56</v>
      </c>
      <c r="C2886" s="15"/>
      <c r="D2886" s="15"/>
      <c r="E2886" s="15"/>
      <c r="F2886" s="15"/>
      <c r="G2886" s="15"/>
      <c r="H2886" s="15"/>
      <c r="I2886" s="17" t="e">
        <f>=Round(SUM(I2860:I2885),0)</f>
        <v>#VALUE!</v>
      </c>
      <c r="J2886" s="17" t="e">
        <f>=Round(SUM(J2860:J2885),0)</f>
        <v>#VALUE!</v>
      </c>
    </row>
    <row r="2887">
      <c r="A2887" s="1" t="s">
        <v>0</v>
      </c>
      <c r="B2887" s="1"/>
      <c r="C2887" s="1"/>
      <c r="D2887" s="1"/>
    </row>
    <row r="2888">
      <c r="A2888" s="0" t="s">
        <v>1</v>
      </c>
      <c r="C2888" s="0" t="s">
        <v>2</v>
      </c>
      <c r="H2888" s="2" t="s">
        <v>3</v>
      </c>
    </row>
    <row r="2889">
      <c r="A2889" s="0" t="s">
        <v>4</v>
      </c>
      <c r="C2889" s="0" t="s">
        <v>132</v>
      </c>
      <c r="H2889" s="3" t="s">
        <v>6</v>
      </c>
    </row>
    <row r="2890">
      <c r="A2890" s="0" t="s">
        <v>7</v>
      </c>
      <c r="C2890" s="4" t="s">
        <v>8</v>
      </c>
      <c r="H2890" s="2" t="s">
        <v>9</v>
      </c>
    </row>
    <row r="2891">
      <c r="A2891" s="0" t="s">
        <v>10</v>
      </c>
      <c r="C2891" s="4" t="s">
        <v>124</v>
      </c>
      <c r="H2891" s="2" t="s">
        <v>12</v>
      </c>
    </row>
    <row r="2892">
      <c r="A2892" s="0" t="s">
        <v>13</v>
      </c>
      <c r="C2892" s="0" t="s">
        <v>14</v>
      </c>
    </row>
    <row r="2893">
      <c r="A2893" s="0" t="s">
        <v>15</v>
      </c>
      <c r="C2893" s="0" t="s">
        <v>16</v>
      </c>
    </row>
    <row r="2894">
      <c r="A2894" s="0" t="s">
        <v>17</v>
      </c>
      <c r="C2894" s="0" t="s">
        <v>18</v>
      </c>
    </row>
    <row r="2897">
      <c r="A2897" s="5" t="s">
        <v>19</v>
      </c>
      <c r="B2897" s="5" t="s">
        <v>20</v>
      </c>
      <c r="C2897" s="7" t="s">
        <v>21</v>
      </c>
      <c r="D2897" s="9"/>
      <c r="E2897" s="7" t="s">
        <v>22</v>
      </c>
      <c r="F2897" s="9"/>
      <c r="G2897" s="5" t="s">
        <v>23</v>
      </c>
      <c r="H2897" s="5" t="s">
        <v>24</v>
      </c>
      <c r="I2897" s="5" t="s">
        <v>25</v>
      </c>
      <c r="J2897" s="5" t="s">
        <v>125</v>
      </c>
    </row>
    <row r="2898">
      <c r="A2898" s="6"/>
      <c r="B2898" s="6"/>
      <c r="C2898" s="8" t="s">
        <v>27</v>
      </c>
      <c r="D2898" s="8" t="s">
        <v>28</v>
      </c>
      <c r="E2898" s="8" t="s">
        <v>27</v>
      </c>
      <c r="F2898" s="8" t="s">
        <v>28</v>
      </c>
      <c r="G2898" s="6"/>
      <c r="H2898" s="6"/>
      <c r="I2898" s="10" t="s">
        <v>29</v>
      </c>
      <c r="J2898" s="6"/>
    </row>
    <row r="2899">
      <c r="A2899" s="11" t="s">
        <v>30</v>
      </c>
      <c r="B2899" s="12">
        <v>3586.4187</v>
      </c>
      <c r="C2899" s="12">
        <v>27.883</v>
      </c>
      <c r="D2899" s="13">
        <v>100000</v>
      </c>
      <c r="E2899" s="12">
        <v>953.6447</v>
      </c>
      <c r="F2899" s="14">
        <v>3420169</v>
      </c>
      <c r="G2899" s="13">
        <v>134557.909</v>
      </c>
      <c r="H2899" s="14">
        <v>482581001.070498</v>
      </c>
      <c r="I2899" s="14" t="e">
        <f>=Round(10871.86860000,0)</f>
        <v>#VALUE!</v>
      </c>
      <c r="J2899" s="14" t="e">
        <f>=Round(4941.75350000,0)</f>
        <v>#VALUE!</v>
      </c>
    </row>
    <row r="2900">
      <c r="A2900" s="11" t="s">
        <v>31</v>
      </c>
      <c r="B2900" s="12">
        <v>3587.0477</v>
      </c>
      <c r="C2900" s="12">
        <v>0</v>
      </c>
      <c r="D2900" s="13">
        <v>0</v>
      </c>
      <c r="E2900" s="12">
        <v>0</v>
      </c>
      <c r="F2900" s="14">
        <v>0</v>
      </c>
      <c r="G2900" s="13">
        <v>133632.1473</v>
      </c>
      <c r="H2900" s="14">
        <v>479344886.618526</v>
      </c>
      <c r="I2900" s="14" t="e">
        <f>=Round(10877.85040000,0)</f>
        <v>#VALUE!</v>
      </c>
      <c r="J2900" s="14" t="e">
        <f>=Round(4944.47250000,0)</f>
        <v>#VALUE!</v>
      </c>
    </row>
    <row r="2901">
      <c r="A2901" s="11" t="s">
        <v>32</v>
      </c>
      <c r="B2901" s="12">
        <v>3587.6685</v>
      </c>
      <c r="C2901" s="12">
        <v>69.6831</v>
      </c>
      <c r="D2901" s="13">
        <v>250000</v>
      </c>
      <c r="E2901" s="12">
        <v>0</v>
      </c>
      <c r="F2901" s="14">
        <v>0</v>
      </c>
      <c r="G2901" s="13">
        <v>133632.1473</v>
      </c>
      <c r="H2901" s="14">
        <v>479427845.45557</v>
      </c>
      <c r="I2901" s="14" t="e">
        <f>=Round(10804.90520000,0)</f>
        <v>#VALUE!</v>
      </c>
      <c r="J2901" s="14" t="e">
        <f>=Round(4911.31560000,0)</f>
        <v>#VALUE!</v>
      </c>
    </row>
    <row r="2902">
      <c r="A2902" s="11" t="s">
        <v>33</v>
      </c>
      <c r="B2902" s="12">
        <v>3588.3573</v>
      </c>
      <c r="C2902" s="12">
        <v>209.0093</v>
      </c>
      <c r="D2902" s="13">
        <v>750000</v>
      </c>
      <c r="E2902" s="12">
        <v>0</v>
      </c>
      <c r="F2902" s="14">
        <v>0</v>
      </c>
      <c r="G2902" s="13">
        <v>133701.8304</v>
      </c>
      <c r="H2902" s="14">
        <v>479769939.139202</v>
      </c>
      <c r="I2902" s="14" t="e">
        <f>=Round(10806.77520000,0)</f>
        <v>#VALUE!</v>
      </c>
      <c r="J2902" s="14" t="e">
        <f>=Round(4912.16560000,0)</f>
        <v>#VALUE!</v>
      </c>
    </row>
    <row r="2903">
      <c r="A2903" s="11" t="s">
        <v>34</v>
      </c>
      <c r="B2903" s="12">
        <v>3589.0109</v>
      </c>
      <c r="C2903" s="12">
        <v>83.5885</v>
      </c>
      <c r="D2903" s="13">
        <v>300000</v>
      </c>
      <c r="E2903" s="12">
        <v>0</v>
      </c>
      <c r="F2903" s="14">
        <v>0</v>
      </c>
      <c r="G2903" s="13">
        <v>133910.8397</v>
      </c>
      <c r="H2903" s="14">
        <v>480607463.311453</v>
      </c>
      <c r="I2903" s="14" t="e">
        <f>=Round(10814.48630000,0)</f>
        <v>#VALUE!</v>
      </c>
      <c r="J2903" s="14" t="e">
        <f>=Round(4915.67070000,0)</f>
        <v>#VALUE!</v>
      </c>
    </row>
    <row r="2904">
      <c r="A2904" s="11" t="s">
        <v>35</v>
      </c>
      <c r="B2904" s="12">
        <v>3589.0109</v>
      </c>
      <c r="C2904" s="12">
        <v>0</v>
      </c>
      <c r="D2904" s="13">
        <v>0</v>
      </c>
      <c r="E2904" s="12">
        <v>0</v>
      </c>
      <c r="F2904" s="14">
        <v>0</v>
      </c>
      <c r="G2904" s="13">
        <v>133910.8397</v>
      </c>
      <c r="H2904" s="14">
        <v>480607463.311453</v>
      </c>
      <c r="I2904" s="14" t="e">
        <f>=Round(10833.36500000,0)</f>
        <v>#VALUE!</v>
      </c>
      <c r="J2904" s="14" t="e">
        <f>=Round(4924.25190000,0)</f>
        <v>#VALUE!</v>
      </c>
    </row>
    <row r="2905">
      <c r="A2905" s="11" t="s">
        <v>36</v>
      </c>
      <c r="B2905" s="12">
        <v>3589.0109</v>
      </c>
      <c r="C2905" s="12">
        <v>0</v>
      </c>
      <c r="D2905" s="13">
        <v>0</v>
      </c>
      <c r="E2905" s="12">
        <v>0</v>
      </c>
      <c r="F2905" s="14">
        <v>0</v>
      </c>
      <c r="G2905" s="13">
        <v>133910.8397</v>
      </c>
      <c r="H2905" s="14">
        <v>480607463.311453</v>
      </c>
      <c r="I2905" s="14" t="e">
        <f>=Round(10833.36500000,0)</f>
        <v>#VALUE!</v>
      </c>
      <c r="J2905" s="14" t="e">
        <f>=Round(4924.25190000,0)</f>
        <v>#VALUE!</v>
      </c>
    </row>
    <row r="2906">
      <c r="A2906" s="11" t="s">
        <v>37</v>
      </c>
      <c r="B2906" s="12">
        <v>3590.972</v>
      </c>
      <c r="C2906" s="12">
        <v>0</v>
      </c>
      <c r="D2906" s="13">
        <v>0</v>
      </c>
      <c r="E2906" s="12">
        <v>0</v>
      </c>
      <c r="F2906" s="14">
        <v>0</v>
      </c>
      <c r="G2906" s="13">
        <v>133994.4282</v>
      </c>
      <c r="H2906" s="14">
        <v>481170239.82221</v>
      </c>
      <c r="I2906" s="14" t="e">
        <f>=Round(10833.36500000,0)</f>
        <v>#VALUE!</v>
      </c>
      <c r="J2906" s="14" t="e">
        <f>=Round(4924.25190000,0)</f>
        <v>#VALUE!</v>
      </c>
    </row>
    <row r="2907">
      <c r="A2907" s="11" t="s">
        <v>38</v>
      </c>
      <c r="B2907" s="12">
        <v>3591.6235</v>
      </c>
      <c r="C2907" s="12">
        <v>55.6851</v>
      </c>
      <c r="D2907" s="13">
        <v>200000</v>
      </c>
      <c r="E2907" s="12">
        <v>0</v>
      </c>
      <c r="F2907" s="14">
        <v>0</v>
      </c>
      <c r="G2907" s="13">
        <v>133994.4282</v>
      </c>
      <c r="H2907" s="14">
        <v>481257537.192183</v>
      </c>
      <c r="I2907" s="14" t="e">
        <f>=Round(10846.05050000,0)</f>
        <v>#VALUE!</v>
      </c>
      <c r="J2907" s="14" t="e">
        <f>=Round(4930.01800000,0)</f>
        <v>#VALUE!</v>
      </c>
    </row>
    <row r="2908">
      <c r="A2908" s="11" t="s">
        <v>39</v>
      </c>
      <c r="B2908" s="12">
        <v>3592.281</v>
      </c>
      <c r="C2908" s="12">
        <v>0</v>
      </c>
      <c r="D2908" s="13">
        <v>0</v>
      </c>
      <c r="E2908" s="12">
        <v>28200</v>
      </c>
      <c r="F2908" s="14">
        <v>101302324</v>
      </c>
      <c r="G2908" s="13">
        <v>134050.1133</v>
      </c>
      <c r="H2908" s="14">
        <v>481545675.055437</v>
      </c>
      <c r="I2908" s="14" t="e">
        <f>=Round(10848.01830000,0)</f>
        <v>#VALUE!</v>
      </c>
      <c r="J2908" s="14" t="e">
        <f>=Round(4930.91250000,0)</f>
        <v>#VALUE!</v>
      </c>
    </row>
    <row r="2909">
      <c r="A2909" s="11" t="s">
        <v>40</v>
      </c>
      <c r="B2909" s="12">
        <v>3592.9125</v>
      </c>
      <c r="C2909" s="12">
        <v>0</v>
      </c>
      <c r="D2909" s="13">
        <v>0</v>
      </c>
      <c r="E2909" s="12">
        <v>3762.9391</v>
      </c>
      <c r="F2909" s="14">
        <v>13519911</v>
      </c>
      <c r="G2909" s="13">
        <v>105850.1133</v>
      </c>
      <c r="H2909" s="14">
        <v>380310195.201986</v>
      </c>
      <c r="I2909" s="14" t="e">
        <f>=Round(10854.51320000,0)</f>
        <v>#VALUE!</v>
      </c>
      <c r="J2909" s="14" t="e">
        <f>=Round(4933.86470000,0)</f>
        <v>#VALUE!</v>
      </c>
    </row>
    <row r="2910">
      <c r="A2910" s="11" t="s">
        <v>41</v>
      </c>
      <c r="B2910" s="12">
        <v>3593.5674</v>
      </c>
      <c r="C2910" s="12">
        <v>0</v>
      </c>
      <c r="D2910" s="13">
        <v>0</v>
      </c>
      <c r="E2910" s="12">
        <v>0</v>
      </c>
      <c r="F2910" s="14">
        <v>0</v>
      </c>
      <c r="G2910" s="13">
        <v>102087.1742</v>
      </c>
      <c r="H2910" s="14">
        <v>366857141.163241</v>
      </c>
      <c r="I2910" s="14" t="e">
        <f>=Round(8572.56590000,0)</f>
        <v>#VALUE!</v>
      </c>
      <c r="J2910" s="14" t="e">
        <f>=Round(3896.61700000,0)</f>
        <v>#VALUE!</v>
      </c>
    </row>
    <row r="2911">
      <c r="A2911" s="11" t="s">
        <v>42</v>
      </c>
      <c r="B2911" s="12">
        <v>3593.5674</v>
      </c>
      <c r="C2911" s="12">
        <v>0</v>
      </c>
      <c r="D2911" s="13">
        <v>0</v>
      </c>
      <c r="E2911" s="12">
        <v>0</v>
      </c>
      <c r="F2911" s="14">
        <v>0</v>
      </c>
      <c r="G2911" s="13">
        <v>102087.1742</v>
      </c>
      <c r="H2911" s="14">
        <v>366857141.163241</v>
      </c>
      <c r="I2911" s="14" t="e">
        <f>=Round(8269.32080000,0)</f>
        <v>#VALUE!</v>
      </c>
      <c r="J2911" s="14" t="e">
        <f>=Round(3758.77840000,0)</f>
        <v>#VALUE!</v>
      </c>
    </row>
    <row r="2912">
      <c r="A2912" s="11" t="s">
        <v>43</v>
      </c>
      <c r="B2912" s="12">
        <v>3593.5674</v>
      </c>
      <c r="C2912" s="12">
        <v>0</v>
      </c>
      <c r="D2912" s="13">
        <v>0</v>
      </c>
      <c r="E2912" s="12">
        <v>0</v>
      </c>
      <c r="F2912" s="14">
        <v>0</v>
      </c>
      <c r="G2912" s="13">
        <v>102087.1742</v>
      </c>
      <c r="H2912" s="14">
        <v>366857141.163241</v>
      </c>
      <c r="I2912" s="14" t="e">
        <f>=Round(8269.32080000,0)</f>
        <v>#VALUE!</v>
      </c>
      <c r="J2912" s="14" t="e">
        <f>=Round(3758.77840000,0)</f>
        <v>#VALUE!</v>
      </c>
    </row>
    <row r="2913">
      <c r="A2913" s="11" t="s">
        <v>44</v>
      </c>
      <c r="B2913" s="12">
        <v>3595.5366</v>
      </c>
      <c r="C2913" s="12">
        <v>0</v>
      </c>
      <c r="D2913" s="13">
        <v>0</v>
      </c>
      <c r="E2913" s="12">
        <v>0</v>
      </c>
      <c r="F2913" s="14">
        <v>0</v>
      </c>
      <c r="G2913" s="13">
        <v>102087.1742</v>
      </c>
      <c r="H2913" s="14">
        <v>367058171.226676</v>
      </c>
      <c r="I2913" s="14" t="e">
        <f>=Round(8269.32080000,0)</f>
        <v>#VALUE!</v>
      </c>
      <c r="J2913" s="14" t="e">
        <f>=Round(3758.77840000,0)</f>
        <v>#VALUE!</v>
      </c>
    </row>
    <row r="2914">
      <c r="A2914" s="11" t="s">
        <v>45</v>
      </c>
      <c r="B2914" s="12">
        <v>3596.1915</v>
      </c>
      <c r="C2914" s="12">
        <v>0</v>
      </c>
      <c r="D2914" s="13">
        <v>0</v>
      </c>
      <c r="E2914" s="12">
        <v>0</v>
      </c>
      <c r="F2914" s="14">
        <v>0</v>
      </c>
      <c r="G2914" s="13">
        <v>102087.1742</v>
      </c>
      <c r="H2914" s="14">
        <v>367125028.117059</v>
      </c>
      <c r="I2914" s="14" t="e">
        <f>=Round(8273.85220000,0)</f>
        <v>#VALUE!</v>
      </c>
      <c r="J2914" s="14" t="e">
        <f>=Round(3760.83820000,0)</f>
        <v>#VALUE!</v>
      </c>
    </row>
    <row r="2915">
      <c r="A2915" s="11" t="s">
        <v>46</v>
      </c>
      <c r="B2915" s="12">
        <v>3596.8461</v>
      </c>
      <c r="C2915" s="12">
        <v>0</v>
      </c>
      <c r="D2915" s="13">
        <v>0</v>
      </c>
      <c r="E2915" s="12">
        <v>0</v>
      </c>
      <c r="F2915" s="14">
        <v>0</v>
      </c>
      <c r="G2915" s="13">
        <v>102087.1742</v>
      </c>
      <c r="H2915" s="14">
        <v>367191854.381291</v>
      </c>
      <c r="I2915" s="14" t="e">
        <f>=Round(8275.35920000,0)</f>
        <v>#VALUE!</v>
      </c>
      <c r="J2915" s="14" t="e">
        <f>=Round(3761.52320000,0)</f>
        <v>#VALUE!</v>
      </c>
    </row>
    <row r="2916">
      <c r="A2916" s="11" t="s">
        <v>47</v>
      </c>
      <c r="B2916" s="12">
        <v>3597.4992</v>
      </c>
      <c r="C2916" s="12">
        <v>0</v>
      </c>
      <c r="D2916" s="13">
        <v>0</v>
      </c>
      <c r="E2916" s="12">
        <v>0</v>
      </c>
      <c r="F2916" s="14">
        <v>0</v>
      </c>
      <c r="G2916" s="13">
        <v>102087.1742</v>
      </c>
      <c r="H2916" s="14">
        <v>367258527.514761</v>
      </c>
      <c r="I2916" s="14" t="e">
        <f>=Round(8276.86560000,0)</f>
        <v>#VALUE!</v>
      </c>
      <c r="J2916" s="14" t="e">
        <f>=Round(3762.20790000,0)</f>
        <v>#VALUE!</v>
      </c>
    </row>
    <row r="2917">
      <c r="A2917" s="11" t="s">
        <v>48</v>
      </c>
      <c r="B2917" s="12">
        <v>3598.1558</v>
      </c>
      <c r="C2917" s="12">
        <v>0</v>
      </c>
      <c r="D2917" s="13">
        <v>0</v>
      </c>
      <c r="E2917" s="12">
        <v>1556.6969</v>
      </c>
      <c r="F2917" s="14">
        <v>5601238</v>
      </c>
      <c r="G2917" s="13">
        <v>102087.1742</v>
      </c>
      <c r="H2917" s="14">
        <v>367325557.95334</v>
      </c>
      <c r="I2917" s="14" t="e">
        <f>=Round(8278.36840000,0)</f>
        <v>#VALUE!</v>
      </c>
      <c r="J2917" s="14" t="e">
        <f>=Round(3762.89100000,0)</f>
        <v>#VALUE!</v>
      </c>
    </row>
    <row r="2918">
      <c r="A2918" s="11" t="s">
        <v>49</v>
      </c>
      <c r="B2918" s="12">
        <v>3598.1558</v>
      </c>
      <c r="C2918" s="12">
        <v>0</v>
      </c>
      <c r="D2918" s="13">
        <v>0</v>
      </c>
      <c r="E2918" s="12">
        <v>0</v>
      </c>
      <c r="F2918" s="14">
        <v>0</v>
      </c>
      <c r="G2918" s="13">
        <v>102087.1742</v>
      </c>
      <c r="H2918" s="14">
        <v>367325557.95334</v>
      </c>
      <c r="I2918" s="14" t="e">
        <f>=Round(8279.87940000,0)</f>
        <v>#VALUE!</v>
      </c>
      <c r="J2918" s="14" t="e">
        <f>=Round(3763.57780000,0)</f>
        <v>#VALUE!</v>
      </c>
    </row>
    <row r="2919">
      <c r="A2919" s="11" t="s">
        <v>50</v>
      </c>
      <c r="B2919" s="12">
        <v>3598.1558</v>
      </c>
      <c r="C2919" s="12">
        <v>0</v>
      </c>
      <c r="D2919" s="13">
        <v>0</v>
      </c>
      <c r="E2919" s="12">
        <v>0</v>
      </c>
      <c r="F2919" s="14">
        <v>0</v>
      </c>
      <c r="G2919" s="13">
        <v>102087.1742</v>
      </c>
      <c r="H2919" s="14">
        <v>367325557.95334</v>
      </c>
      <c r="I2919" s="14" t="e">
        <f>=Round(8279.87940000,0)</f>
        <v>#VALUE!</v>
      </c>
      <c r="J2919" s="14" t="e">
        <f>=Round(3763.57780000,0)</f>
        <v>#VALUE!</v>
      </c>
    </row>
    <row r="2920">
      <c r="A2920" s="11" t="s">
        <v>51</v>
      </c>
      <c r="B2920" s="12">
        <v>3600.124</v>
      </c>
      <c r="C2920" s="12">
        <v>0</v>
      </c>
      <c r="D2920" s="13">
        <v>0</v>
      </c>
      <c r="E2920" s="12">
        <v>4814.5808</v>
      </c>
      <c r="F2920" s="14">
        <v>17333088</v>
      </c>
      <c r="G2920" s="13">
        <v>100530.4773</v>
      </c>
      <c r="H2920" s="14">
        <v>361922184.059185</v>
      </c>
      <c r="I2920" s="14" t="e">
        <f>=Round(8279.87940000,0)</f>
        <v>#VALUE!</v>
      </c>
      <c r="J2920" s="14" t="e">
        <f>=Round(3763.57780000,0)</f>
        <v>#VALUE!</v>
      </c>
    </row>
    <row r="2921">
      <c r="A2921" s="11" t="s">
        <v>52</v>
      </c>
      <c r="B2921" s="12">
        <v>3600.7905</v>
      </c>
      <c r="C2921" s="12">
        <v>277.7168</v>
      </c>
      <c r="D2921" s="13">
        <v>1000000</v>
      </c>
      <c r="E2921" s="12">
        <v>0</v>
      </c>
      <c r="F2921" s="14">
        <v>0</v>
      </c>
      <c r="G2921" s="13">
        <v>95715.8965</v>
      </c>
      <c r="H2921" s="14">
        <v>344652890.816183</v>
      </c>
      <c r="I2921" s="14" t="e">
        <f>=Round(8158.08200000,0)</f>
        <v>#VALUE!</v>
      </c>
      <c r="J2921" s="14" t="e">
        <f>=Round(3708.21540000,0)</f>
        <v>#VALUE!</v>
      </c>
    </row>
    <row r="2922">
      <c r="A2922" s="11" t="s">
        <v>53</v>
      </c>
      <c r="B2922" s="12">
        <v>3601.445</v>
      </c>
      <c r="C2922" s="12">
        <v>1665.998</v>
      </c>
      <c r="D2922" s="13">
        <v>6000000</v>
      </c>
      <c r="E2922" s="12">
        <v>0</v>
      </c>
      <c r="F2922" s="14">
        <v>0</v>
      </c>
      <c r="G2922" s="13">
        <v>95993.6133</v>
      </c>
      <c r="H2922" s="14">
        <v>345715718.651219</v>
      </c>
      <c r="I2922" s="14" t="e">
        <f>=Round(7768.81520000,0)</f>
        <v>#VALUE!</v>
      </c>
      <c r="J2922" s="14" t="e">
        <f>=Round(3531.27610000,0)</f>
        <v>#VALUE!</v>
      </c>
    </row>
    <row r="2923">
      <c r="A2923" s="11" t="s">
        <v>54</v>
      </c>
      <c r="B2923" s="12">
        <v>3602.0851</v>
      </c>
      <c r="C2923" s="12">
        <v>41684.1901</v>
      </c>
      <c r="D2923" s="13">
        <v>150150000</v>
      </c>
      <c r="E2923" s="12">
        <v>0</v>
      </c>
      <c r="F2923" s="14">
        <v>0</v>
      </c>
      <c r="G2923" s="13">
        <v>97659.6113</v>
      </c>
      <c r="H2923" s="14">
        <v>351778230.735522</v>
      </c>
      <c r="I2923" s="14" t="e">
        <f>=Round(7792.77230000,0)</f>
        <v>#VALUE!</v>
      </c>
      <c r="J2923" s="14" t="e">
        <f>=Round(3542.16570000,0)</f>
        <v>#VALUE!</v>
      </c>
    </row>
    <row r="2924">
      <c r="A2924" s="11" t="s">
        <v>55</v>
      </c>
      <c r="B2924" s="12">
        <v>3602.7417</v>
      </c>
      <c r="C2924" s="12">
        <v>83.2699</v>
      </c>
      <c r="D2924" s="13">
        <v>300000</v>
      </c>
      <c r="E2924" s="12">
        <v>0.0002</v>
      </c>
      <c r="F2924" s="14">
        <v>0</v>
      </c>
      <c r="G2924" s="13">
        <v>139343.8014</v>
      </c>
      <c r="H2924" s="14">
        <v>502019723.940298</v>
      </c>
      <c r="I2924" s="14" t="e">
        <f>=Round(7929.42730000,0)</f>
        <v>#VALUE!</v>
      </c>
      <c r="J2924" s="14" t="e">
        <f>=Round(3604.28150000,0)</f>
        <v>#VALUE!</v>
      </c>
    </row>
    <row r="2925" ht="-1">
      <c r="A2925" s="15"/>
      <c r="B2925" s="16" t="s">
        <v>56</v>
      </c>
      <c r="C2925" s="15"/>
      <c r="D2925" s="15"/>
      <c r="E2925" s="15"/>
      <c r="F2925" s="15"/>
      <c r="G2925" s="15"/>
      <c r="H2925" s="15"/>
      <c r="I2925" s="17" t="e">
        <f>=Round(SUM(I2899:I2924),0)</f>
        <v>#VALUE!</v>
      </c>
      <c r="J2925" s="17" t="e">
        <f>=Round(SUM(J2899:J2924),0)</f>
        <v>#VALUE!</v>
      </c>
    </row>
    <row r="2926">
      <c r="A2926" s="1" t="s">
        <v>0</v>
      </c>
      <c r="B2926" s="1"/>
      <c r="C2926" s="1"/>
      <c r="D2926" s="1"/>
    </row>
    <row r="2927">
      <c r="A2927" s="0" t="s">
        <v>1</v>
      </c>
      <c r="C2927" s="0" t="s">
        <v>2</v>
      </c>
      <c r="H2927" s="2" t="s">
        <v>3</v>
      </c>
    </row>
    <row r="2928">
      <c r="A2928" s="0" t="s">
        <v>4</v>
      </c>
      <c r="C2928" s="0" t="s">
        <v>133</v>
      </c>
      <c r="H2928" s="3" t="s">
        <v>6</v>
      </c>
    </row>
    <row r="2929">
      <c r="A2929" s="0" t="s">
        <v>7</v>
      </c>
      <c r="C2929" s="4" t="s">
        <v>8</v>
      </c>
      <c r="H2929" s="2" t="s">
        <v>9</v>
      </c>
    </row>
    <row r="2930">
      <c r="A2930" s="0" t="s">
        <v>10</v>
      </c>
      <c r="C2930" s="4" t="s">
        <v>124</v>
      </c>
      <c r="H2930" s="2" t="s">
        <v>12</v>
      </c>
    </row>
    <row r="2931">
      <c r="A2931" s="0" t="s">
        <v>13</v>
      </c>
      <c r="C2931" s="0" t="s">
        <v>14</v>
      </c>
    </row>
    <row r="2932">
      <c r="A2932" s="0" t="s">
        <v>15</v>
      </c>
      <c r="C2932" s="0" t="s">
        <v>16</v>
      </c>
    </row>
    <row r="2933">
      <c r="A2933" s="0" t="s">
        <v>17</v>
      </c>
      <c r="C2933" s="0" t="s">
        <v>18</v>
      </c>
    </row>
    <row r="2936">
      <c r="A2936" s="5" t="s">
        <v>19</v>
      </c>
      <c r="B2936" s="5" t="s">
        <v>20</v>
      </c>
      <c r="C2936" s="7" t="s">
        <v>21</v>
      </c>
      <c r="D2936" s="9"/>
      <c r="E2936" s="7" t="s">
        <v>22</v>
      </c>
      <c r="F2936" s="9"/>
      <c r="G2936" s="5" t="s">
        <v>23</v>
      </c>
      <c r="H2936" s="5" t="s">
        <v>24</v>
      </c>
      <c r="I2936" s="5" t="s">
        <v>25</v>
      </c>
      <c r="J2936" s="5" t="s">
        <v>125</v>
      </c>
    </row>
    <row r="2937">
      <c r="A2937" s="6"/>
      <c r="B2937" s="6"/>
      <c r="C2937" s="8" t="s">
        <v>27</v>
      </c>
      <c r="D2937" s="8" t="s">
        <v>28</v>
      </c>
      <c r="E2937" s="8" t="s">
        <v>27</v>
      </c>
      <c r="F2937" s="8" t="s">
        <v>28</v>
      </c>
      <c r="G2937" s="6"/>
      <c r="H2937" s="6"/>
      <c r="I2937" s="10" t="s">
        <v>29</v>
      </c>
      <c r="J2937" s="6"/>
    </row>
    <row r="2938">
      <c r="A2938" s="11" t="s">
        <v>30</v>
      </c>
      <c r="B2938" s="12">
        <v>3586.4187</v>
      </c>
      <c r="C2938" s="12">
        <v>2000.6031</v>
      </c>
      <c r="D2938" s="13">
        <v>7175000</v>
      </c>
      <c r="E2938" s="12">
        <v>1306.1122</v>
      </c>
      <c r="F2938" s="14">
        <v>4684265</v>
      </c>
      <c r="G2938" s="13">
        <v>481146.8015</v>
      </c>
      <c r="H2938" s="14">
        <v>1725593886.3447881</v>
      </c>
      <c r="I2938" s="14" t="e">
        <f>=Round(38772.05030000,0)</f>
        <v>#VALUE!</v>
      </c>
      <c r="J2938" s="14" t="e">
        <f>=Round(17623.64160000,0)</f>
        <v>#VALUE!</v>
      </c>
    </row>
    <row r="2939">
      <c r="A2939" s="11" t="s">
        <v>31</v>
      </c>
      <c r="B2939" s="12">
        <v>3587.0477</v>
      </c>
      <c r="C2939" s="12">
        <v>6202.8726</v>
      </c>
      <c r="D2939" s="13">
        <v>22250000</v>
      </c>
      <c r="E2939" s="12">
        <v>0</v>
      </c>
      <c r="F2939" s="14">
        <v>0</v>
      </c>
      <c r="G2939" s="13">
        <v>481841.2924</v>
      </c>
      <c r="H2939" s="14">
        <v>1728387699.668447</v>
      </c>
      <c r="I2939" s="14" t="e">
        <f>=Round(38896.58350000,0)</f>
        <v>#VALUE!</v>
      </c>
      <c r="J2939" s="14" t="e">
        <f>=Round(17680.24750000,0)</f>
        <v>#VALUE!</v>
      </c>
    </row>
    <row r="2940">
      <c r="A2940" s="11" t="s">
        <v>32</v>
      </c>
      <c r="B2940" s="12">
        <v>3587.6685</v>
      </c>
      <c r="C2940" s="12">
        <v>445.9721</v>
      </c>
      <c r="D2940" s="13">
        <v>1600000</v>
      </c>
      <c r="E2940" s="12">
        <v>281.2784</v>
      </c>
      <c r="F2940" s="14">
        <v>1009134</v>
      </c>
      <c r="G2940" s="13">
        <v>488044.165</v>
      </c>
      <c r="H2940" s="14">
        <v>1750940677.379303</v>
      </c>
      <c r="I2940" s="14" t="e">
        <f>=Round(38959.55880000,0)</f>
        <v>#VALUE!</v>
      </c>
      <c r="J2940" s="14" t="e">
        <f>=Round(17708.87270000,0)</f>
        <v>#VALUE!</v>
      </c>
    </row>
    <row r="2941">
      <c r="A2941" s="11" t="s">
        <v>33</v>
      </c>
      <c r="B2941" s="12">
        <v>3588.3573</v>
      </c>
      <c r="C2941" s="12">
        <v>0</v>
      </c>
      <c r="D2941" s="13">
        <v>0</v>
      </c>
      <c r="E2941" s="12">
        <v>3571.316</v>
      </c>
      <c r="F2941" s="14">
        <v>12815158</v>
      </c>
      <c r="G2941" s="13">
        <v>488208.8587</v>
      </c>
      <c r="H2941" s="14">
        <v>1751867822.0408139</v>
      </c>
      <c r="I2941" s="14" t="e">
        <f>=Round(39467.92510000,0)</f>
        <v>#VALUE!</v>
      </c>
      <c r="J2941" s="14" t="e">
        <f>=Round(17939.94800000,0)</f>
        <v>#VALUE!</v>
      </c>
    </row>
    <row r="2942">
      <c r="A2942" s="11" t="s">
        <v>34</v>
      </c>
      <c r="B2942" s="12">
        <v>3589.0109</v>
      </c>
      <c r="C2942" s="12">
        <v>111.4513</v>
      </c>
      <c r="D2942" s="13">
        <v>400000</v>
      </c>
      <c r="E2942" s="12">
        <v>336.2402</v>
      </c>
      <c r="F2942" s="14">
        <v>1206770</v>
      </c>
      <c r="G2942" s="13">
        <v>484637.5427</v>
      </c>
      <c r="H2942" s="14">
        <v>1739369423.299515</v>
      </c>
      <c r="I2942" s="14" t="e">
        <f>=Round(39488.82390000,0)</f>
        <v>#VALUE!</v>
      </c>
      <c r="J2942" s="14" t="e">
        <f>=Round(17949.44740000,0)</f>
        <v>#VALUE!</v>
      </c>
    </row>
    <row r="2943">
      <c r="A2943" s="11" t="s">
        <v>35</v>
      </c>
      <c r="B2943" s="12">
        <v>3589.0109</v>
      </c>
      <c r="C2943" s="12">
        <v>0</v>
      </c>
      <c r="D2943" s="13">
        <v>0</v>
      </c>
      <c r="E2943" s="12">
        <v>0</v>
      </c>
      <c r="F2943" s="14">
        <v>0</v>
      </c>
      <c r="G2943" s="13">
        <v>484637.5427</v>
      </c>
      <c r="H2943" s="14">
        <v>1739369423.299515</v>
      </c>
      <c r="I2943" s="14" t="e">
        <f>=Round(39207.09770000,0)</f>
        <v>#VALUE!</v>
      </c>
      <c r="J2943" s="14" t="e">
        <f>=Round(17821.39020000,0)</f>
        <v>#VALUE!</v>
      </c>
    </row>
    <row r="2944">
      <c r="A2944" s="11" t="s">
        <v>36</v>
      </c>
      <c r="B2944" s="12">
        <v>3589.0109</v>
      </c>
      <c r="C2944" s="12">
        <v>0</v>
      </c>
      <c r="D2944" s="13">
        <v>0</v>
      </c>
      <c r="E2944" s="12">
        <v>0</v>
      </c>
      <c r="F2944" s="14">
        <v>0</v>
      </c>
      <c r="G2944" s="13">
        <v>484637.5427</v>
      </c>
      <c r="H2944" s="14">
        <v>1739369423.299515</v>
      </c>
      <c r="I2944" s="14" t="e">
        <f>=Round(39207.09770000,0)</f>
        <v>#VALUE!</v>
      </c>
      <c r="J2944" s="14" t="e">
        <f>=Round(17821.39020000,0)</f>
        <v>#VALUE!</v>
      </c>
    </row>
    <row r="2945">
      <c r="A2945" s="11" t="s">
        <v>37</v>
      </c>
      <c r="B2945" s="12">
        <v>3590.972</v>
      </c>
      <c r="C2945" s="12">
        <v>236.7047</v>
      </c>
      <c r="D2945" s="13">
        <v>850000</v>
      </c>
      <c r="E2945" s="12">
        <v>29062.3668</v>
      </c>
      <c r="F2945" s="14">
        <v>104362145</v>
      </c>
      <c r="G2945" s="13">
        <v>484412.7538</v>
      </c>
      <c r="H2945" s="14">
        <v>1739512635.3386941</v>
      </c>
      <c r="I2945" s="14" t="e">
        <f>=Round(39207.09770000,0)</f>
        <v>#VALUE!</v>
      </c>
      <c r="J2945" s="14" t="e">
        <f>=Round(17821.39020000,0)</f>
        <v>#VALUE!</v>
      </c>
    </row>
    <row r="2946">
      <c r="A2946" s="11" t="s">
        <v>38</v>
      </c>
      <c r="B2946" s="12">
        <v>3591.6235</v>
      </c>
      <c r="C2946" s="12">
        <v>250.5831</v>
      </c>
      <c r="D2946" s="13">
        <v>900000</v>
      </c>
      <c r="E2946" s="12">
        <v>0</v>
      </c>
      <c r="F2946" s="14">
        <v>0</v>
      </c>
      <c r="G2946" s="13">
        <v>455587.0917</v>
      </c>
      <c r="H2946" s="14">
        <v>1636297304.846375</v>
      </c>
      <c r="I2946" s="14" t="e">
        <f>=Round(39210.32580000,0)</f>
        <v>#VALUE!</v>
      </c>
      <c r="J2946" s="14" t="e">
        <f>=Round(17822.85750000,0)</f>
        <v>#VALUE!</v>
      </c>
    </row>
    <row r="2947">
      <c r="A2947" s="11" t="s">
        <v>39</v>
      </c>
      <c r="B2947" s="12">
        <v>3592.281</v>
      </c>
      <c r="C2947" s="12">
        <v>25359.9315</v>
      </c>
      <c r="D2947" s="13">
        <v>91100000</v>
      </c>
      <c r="E2947" s="12">
        <v>0</v>
      </c>
      <c r="F2947" s="14">
        <v>0</v>
      </c>
      <c r="G2947" s="13">
        <v>455837.6748</v>
      </c>
      <c r="H2947" s="14">
        <v>1637497018.268219</v>
      </c>
      <c r="I2947" s="14" t="e">
        <f>=Round(36883.75070000,0)</f>
        <v>#VALUE!</v>
      </c>
      <c r="J2947" s="14" t="e">
        <f>=Round(16765.32450000,0)</f>
        <v>#VALUE!</v>
      </c>
    </row>
    <row r="2948">
      <c r="A2948" s="11" t="s">
        <v>40</v>
      </c>
      <c r="B2948" s="12">
        <v>3592.9125</v>
      </c>
      <c r="C2948" s="12">
        <v>4639.69</v>
      </c>
      <c r="D2948" s="13">
        <v>16670000</v>
      </c>
      <c r="E2948" s="12">
        <v>0</v>
      </c>
      <c r="F2948" s="14">
        <v>0</v>
      </c>
      <c r="G2948" s="13">
        <v>481197.6063</v>
      </c>
      <c r="H2948" s="14">
        <v>1728900894.645349</v>
      </c>
      <c r="I2948" s="14" t="e">
        <f>=Round(36910.79340000,0)</f>
        <v>#VALUE!</v>
      </c>
      <c r="J2948" s="14" t="e">
        <f>=Round(16777.61660000,0)</f>
        <v>#VALUE!</v>
      </c>
    </row>
    <row r="2949">
      <c r="A2949" s="11" t="s">
        <v>41</v>
      </c>
      <c r="B2949" s="12">
        <v>3593.5674</v>
      </c>
      <c r="C2949" s="12">
        <v>0</v>
      </c>
      <c r="D2949" s="13">
        <v>0</v>
      </c>
      <c r="E2949" s="12">
        <v>0</v>
      </c>
      <c r="F2949" s="14">
        <v>0</v>
      </c>
      <c r="G2949" s="13">
        <v>485837.2963</v>
      </c>
      <c r="H2949" s="14">
        <v>1745889069.6878209</v>
      </c>
      <c r="I2949" s="14" t="e">
        <f>=Round(38971.12670000,0)</f>
        <v>#VALUE!</v>
      </c>
      <c r="J2949" s="14" t="e">
        <f>=Round(17714.13080000,0)</f>
        <v>#VALUE!</v>
      </c>
    </row>
    <row r="2950">
      <c r="A2950" s="11" t="s">
        <v>42</v>
      </c>
      <c r="B2950" s="12">
        <v>3593.5674</v>
      </c>
      <c r="C2950" s="12">
        <v>0</v>
      </c>
      <c r="D2950" s="13">
        <v>0</v>
      </c>
      <c r="E2950" s="12">
        <v>0</v>
      </c>
      <c r="F2950" s="14">
        <v>0</v>
      </c>
      <c r="G2950" s="13">
        <v>485837.2963</v>
      </c>
      <c r="H2950" s="14">
        <v>1745889069.6878209</v>
      </c>
      <c r="I2950" s="14" t="e">
        <f>=Round(39354.05690000,0)</f>
        <v>#VALUE!</v>
      </c>
      <c r="J2950" s="14" t="e">
        <f>=Round(17888.18980000,0)</f>
        <v>#VALUE!</v>
      </c>
    </row>
    <row r="2951">
      <c r="A2951" s="11" t="s">
        <v>43</v>
      </c>
      <c r="B2951" s="12">
        <v>3593.5674</v>
      </c>
      <c r="C2951" s="12">
        <v>0</v>
      </c>
      <c r="D2951" s="13">
        <v>0</v>
      </c>
      <c r="E2951" s="12">
        <v>0</v>
      </c>
      <c r="F2951" s="14">
        <v>0</v>
      </c>
      <c r="G2951" s="13">
        <v>485837.2963</v>
      </c>
      <c r="H2951" s="14">
        <v>1745889069.6878209</v>
      </c>
      <c r="I2951" s="14" t="e">
        <f>=Round(39354.05690000,0)</f>
        <v>#VALUE!</v>
      </c>
      <c r="J2951" s="14" t="e">
        <f>=Round(17888.18980000,0)</f>
        <v>#VALUE!</v>
      </c>
    </row>
    <row r="2952">
      <c r="A2952" s="11" t="s">
        <v>44</v>
      </c>
      <c r="B2952" s="12">
        <v>3595.5366</v>
      </c>
      <c r="C2952" s="12">
        <v>24036.7461</v>
      </c>
      <c r="D2952" s="13">
        <v>86425000</v>
      </c>
      <c r="E2952" s="12">
        <v>1428.1538</v>
      </c>
      <c r="F2952" s="14">
        <v>5134979</v>
      </c>
      <c r="G2952" s="13">
        <v>485837.2963</v>
      </c>
      <c r="H2952" s="14">
        <v>1746845780.4916949</v>
      </c>
      <c r="I2952" s="14" t="e">
        <f>=Round(39354.05690000,0)</f>
        <v>#VALUE!</v>
      </c>
      <c r="J2952" s="14" t="e">
        <f>=Round(17888.18980000,0)</f>
        <v>#VALUE!</v>
      </c>
    </row>
    <row r="2953">
      <c r="A2953" s="11" t="s">
        <v>45</v>
      </c>
      <c r="B2953" s="12">
        <v>3596.1915</v>
      </c>
      <c r="C2953" s="12">
        <v>486.626</v>
      </c>
      <c r="D2953" s="13">
        <v>1750000</v>
      </c>
      <c r="E2953" s="12">
        <v>29.5944</v>
      </c>
      <c r="F2953" s="14">
        <v>106427</v>
      </c>
      <c r="G2953" s="13">
        <v>508445.8886</v>
      </c>
      <c r="H2953" s="14">
        <v>1828468782.793267</v>
      </c>
      <c r="I2953" s="14" t="e">
        <f>=Round(39375.62210000,0)</f>
        <v>#VALUE!</v>
      </c>
      <c r="J2953" s="14" t="e">
        <f>=Round(17897.99210000,0)</f>
        <v>#VALUE!</v>
      </c>
    </row>
    <row r="2954">
      <c r="A2954" s="11" t="s">
        <v>46</v>
      </c>
      <c r="B2954" s="12">
        <v>3596.8461</v>
      </c>
      <c r="C2954" s="12">
        <v>750.6577</v>
      </c>
      <c r="D2954" s="13">
        <v>2700000</v>
      </c>
      <c r="E2954" s="12">
        <v>55.9</v>
      </c>
      <c r="F2954" s="14">
        <v>201064</v>
      </c>
      <c r="G2954" s="13">
        <v>508902.9202</v>
      </c>
      <c r="H2954" s="14">
        <v>1830445483.7999811</v>
      </c>
      <c r="I2954" s="14" t="e">
        <f>=Round(41215.48490000,0)</f>
        <v>#VALUE!</v>
      </c>
      <c r="J2954" s="14" t="e">
        <f>=Round(18734.29260000,0)</f>
        <v>#VALUE!</v>
      </c>
    </row>
    <row r="2955">
      <c r="A2955" s="11" t="s">
        <v>47</v>
      </c>
      <c r="B2955" s="12">
        <v>3597.4992</v>
      </c>
      <c r="C2955" s="12">
        <v>19068.802</v>
      </c>
      <c r="D2955" s="13">
        <v>68600000</v>
      </c>
      <c r="E2955" s="12">
        <v>3012.9918</v>
      </c>
      <c r="F2955" s="14">
        <v>10839235</v>
      </c>
      <c r="G2955" s="13">
        <v>509597.6779</v>
      </c>
      <c r="H2955" s="14">
        <v>1833277238.5671079</v>
      </c>
      <c r="I2955" s="14" t="e">
        <f>=Round(41260.04160000,0)</f>
        <v>#VALUE!</v>
      </c>
      <c r="J2955" s="14" t="e">
        <f>=Round(18754.54560000,0)</f>
        <v>#VALUE!</v>
      </c>
    </row>
    <row r="2956">
      <c r="A2956" s="11" t="s">
        <v>48</v>
      </c>
      <c r="B2956" s="12">
        <v>3598.1558</v>
      </c>
      <c r="C2956" s="12">
        <v>138.9601</v>
      </c>
      <c r="D2956" s="13">
        <v>500000</v>
      </c>
      <c r="E2956" s="12">
        <v>0</v>
      </c>
      <c r="F2956" s="14">
        <v>0</v>
      </c>
      <c r="G2956" s="13">
        <v>525653.4881</v>
      </c>
      <c r="H2956" s="14">
        <v>1891383146.997246</v>
      </c>
      <c r="I2956" s="14" t="e">
        <f>=Round(41323.87220000,0)</f>
        <v>#VALUE!</v>
      </c>
      <c r="J2956" s="14" t="e">
        <f>=Round(18783.55950000,0)</f>
        <v>#VALUE!</v>
      </c>
    </row>
    <row r="2957">
      <c r="A2957" s="11" t="s">
        <v>49</v>
      </c>
      <c r="B2957" s="12">
        <v>3598.1558</v>
      </c>
      <c r="C2957" s="12">
        <v>0</v>
      </c>
      <c r="D2957" s="13">
        <v>0</v>
      </c>
      <c r="E2957" s="12">
        <v>0</v>
      </c>
      <c r="F2957" s="14">
        <v>0</v>
      </c>
      <c r="G2957" s="13">
        <v>525653.4881</v>
      </c>
      <c r="H2957" s="14">
        <v>1891383146.997246</v>
      </c>
      <c r="I2957" s="14" t="e">
        <f>=Round(42633.63650000,0)</f>
        <v>#VALUE!</v>
      </c>
      <c r="J2957" s="14" t="e">
        <f>=Round(19378.90630000,0)</f>
        <v>#VALUE!</v>
      </c>
    </row>
    <row r="2958">
      <c r="A2958" s="11" t="s">
        <v>50</v>
      </c>
      <c r="B2958" s="12">
        <v>3598.1558</v>
      </c>
      <c r="C2958" s="12">
        <v>0</v>
      </c>
      <c r="D2958" s="13">
        <v>0</v>
      </c>
      <c r="E2958" s="12">
        <v>0</v>
      </c>
      <c r="F2958" s="14">
        <v>0</v>
      </c>
      <c r="G2958" s="13">
        <v>525653.4881</v>
      </c>
      <c r="H2958" s="14">
        <v>1891383146.997246</v>
      </c>
      <c r="I2958" s="14" t="e">
        <f>=Round(42633.63650000,0)</f>
        <v>#VALUE!</v>
      </c>
      <c r="J2958" s="14" t="e">
        <f>=Round(19378.90630000,0)</f>
        <v>#VALUE!</v>
      </c>
    </row>
    <row r="2959">
      <c r="A2959" s="11" t="s">
        <v>51</v>
      </c>
      <c r="B2959" s="12">
        <v>3600.124</v>
      </c>
      <c r="C2959" s="12">
        <v>2861.0126</v>
      </c>
      <c r="D2959" s="13">
        <v>10300000</v>
      </c>
      <c r="E2959" s="12">
        <v>1014.1824</v>
      </c>
      <c r="F2959" s="14">
        <v>3651183</v>
      </c>
      <c r="G2959" s="13">
        <v>525792.4482</v>
      </c>
      <c r="H2959" s="14">
        <v>1892918011.783577</v>
      </c>
      <c r="I2959" s="14" t="e">
        <f>=Round(42633.63650000,0)</f>
        <v>#VALUE!</v>
      </c>
      <c r="J2959" s="14" t="e">
        <f>=Round(19378.90630000,0)</f>
        <v>#VALUE!</v>
      </c>
    </row>
    <row r="2960">
      <c r="A2960" s="11" t="s">
        <v>52</v>
      </c>
      <c r="B2960" s="12">
        <v>3600.7905</v>
      </c>
      <c r="C2960" s="12">
        <v>749.5576</v>
      </c>
      <c r="D2960" s="13">
        <v>2699000</v>
      </c>
      <c r="E2960" s="12">
        <v>0</v>
      </c>
      <c r="F2960" s="14">
        <v>0</v>
      </c>
      <c r="G2960" s="13">
        <v>527639.2784</v>
      </c>
      <c r="H2960" s="14">
        <v>1899918501.0895751</v>
      </c>
      <c r="I2960" s="14" t="e">
        <f>=Round(42668.23390000,0)</f>
        <v>#VALUE!</v>
      </c>
      <c r="J2960" s="14" t="e">
        <f>=Round(19394.63240000,0)</f>
        <v>#VALUE!</v>
      </c>
    </row>
    <row r="2961">
      <c r="A2961" s="11" t="s">
        <v>53</v>
      </c>
      <c r="B2961" s="12">
        <v>3601.445</v>
      </c>
      <c r="C2961" s="12">
        <v>2419.869</v>
      </c>
      <c r="D2961" s="13">
        <v>8715025</v>
      </c>
      <c r="E2961" s="12">
        <v>0</v>
      </c>
      <c r="F2961" s="14">
        <v>0</v>
      </c>
      <c r="G2961" s="13">
        <v>528388.836</v>
      </c>
      <c r="H2961" s="14">
        <v>1902963331.46802</v>
      </c>
      <c r="I2961" s="14" t="e">
        <f>=Round(42826.03180000,0)</f>
        <v>#VALUE!</v>
      </c>
      <c r="J2961" s="14" t="e">
        <f>=Round(19466.35860000,0)</f>
        <v>#VALUE!</v>
      </c>
    </row>
    <row r="2962">
      <c r="A2962" s="11" t="s">
        <v>54</v>
      </c>
      <c r="B2962" s="12">
        <v>3602.0851</v>
      </c>
      <c r="C2962" s="12">
        <v>1332.5615</v>
      </c>
      <c r="D2962" s="13">
        <v>4800000</v>
      </c>
      <c r="E2962" s="12">
        <v>0</v>
      </c>
      <c r="F2962" s="14">
        <v>0</v>
      </c>
      <c r="G2962" s="13">
        <v>530808.705</v>
      </c>
      <c r="H2962" s="14">
        <v>1912018127.2307961</v>
      </c>
      <c r="I2962" s="14" t="e">
        <f>=Round(42894.66530000,0)</f>
        <v>#VALUE!</v>
      </c>
      <c r="J2962" s="14" t="e">
        <f>=Round(19497.55560000,0)</f>
        <v>#VALUE!</v>
      </c>
    </row>
    <row r="2963">
      <c r="A2963" s="11" t="s">
        <v>55</v>
      </c>
      <c r="B2963" s="12">
        <v>3602.7417</v>
      </c>
      <c r="C2963" s="12">
        <v>585.3127</v>
      </c>
      <c r="D2963" s="13">
        <v>2108730</v>
      </c>
      <c r="E2963" s="12">
        <v>0</v>
      </c>
      <c r="F2963" s="14">
        <v>0</v>
      </c>
      <c r="G2963" s="13">
        <v>532141.2665</v>
      </c>
      <c r="H2963" s="14">
        <v>1917167531.110363</v>
      </c>
      <c r="I2963" s="14" t="e">
        <f>=Round(43098.76930000,0)</f>
        <v>#VALUE!</v>
      </c>
      <c r="J2963" s="14" t="e">
        <f>=Round(19590.33010000,0)</f>
        <v>#VALUE!</v>
      </c>
    </row>
    <row r="2964" ht="-1">
      <c r="A2964" s="15"/>
      <c r="B2964" s="16" t="s">
        <v>56</v>
      </c>
      <c r="C2964" s="15"/>
      <c r="D2964" s="15"/>
      <c r="E2964" s="15"/>
      <c r="F2964" s="15"/>
      <c r="G2964" s="15"/>
      <c r="H2964" s="15"/>
      <c r="I2964" s="17" t="e">
        <f>=Round(SUM(I2938:I2963),0)</f>
        <v>#VALUE!</v>
      </c>
      <c r="J2964" s="17" t="e">
        <f>=Round(SUM(J2938:J2963),0)</f>
        <v>#VALUE!</v>
      </c>
    </row>
    <row r="2965">
      <c r="A2965" s="1" t="s">
        <v>0</v>
      </c>
      <c r="B2965" s="1"/>
      <c r="C2965" s="1"/>
      <c r="D2965" s="1"/>
    </row>
    <row r="2966">
      <c r="A2966" s="0" t="s">
        <v>1</v>
      </c>
      <c r="C2966" s="0" t="s">
        <v>2</v>
      </c>
      <c r="H2966" s="2" t="s">
        <v>3</v>
      </c>
    </row>
    <row r="2967">
      <c r="A2967" s="0" t="s">
        <v>4</v>
      </c>
      <c r="C2967" s="0" t="s">
        <v>134</v>
      </c>
      <c r="H2967" s="3" t="s">
        <v>6</v>
      </c>
    </row>
    <row r="2968">
      <c r="A2968" s="0" t="s">
        <v>7</v>
      </c>
      <c r="C2968" s="4" t="s">
        <v>8</v>
      </c>
      <c r="H2968" s="2" t="s">
        <v>9</v>
      </c>
    </row>
    <row r="2969">
      <c r="A2969" s="0" t="s">
        <v>10</v>
      </c>
      <c r="C2969" s="4" t="s">
        <v>11</v>
      </c>
      <c r="H2969" s="2" t="s">
        <v>12</v>
      </c>
    </row>
    <row r="2970">
      <c r="A2970" s="0" t="s">
        <v>13</v>
      </c>
      <c r="C2970" s="0" t="s">
        <v>14</v>
      </c>
    </row>
    <row r="2971">
      <c r="A2971" s="0" t="s">
        <v>15</v>
      </c>
      <c r="C2971" s="0" t="s">
        <v>16</v>
      </c>
    </row>
    <row r="2972">
      <c r="A2972" s="0" t="s">
        <v>17</v>
      </c>
      <c r="C2972" s="0" t="s">
        <v>18</v>
      </c>
    </row>
    <row r="2975">
      <c r="A2975" s="5" t="s">
        <v>19</v>
      </c>
      <c r="B2975" s="5" t="s">
        <v>20</v>
      </c>
      <c r="C2975" s="7" t="s">
        <v>21</v>
      </c>
      <c r="D2975" s="9"/>
      <c r="E2975" s="7" t="s">
        <v>22</v>
      </c>
      <c r="F2975" s="9"/>
      <c r="G2975" s="5" t="s">
        <v>23</v>
      </c>
      <c r="H2975" s="5" t="s">
        <v>24</v>
      </c>
      <c r="I2975" s="5" t="s">
        <v>25</v>
      </c>
      <c r="J2975" s="5" t="s">
        <v>26</v>
      </c>
    </row>
    <row r="2976">
      <c r="A2976" s="6"/>
      <c r="B2976" s="6"/>
      <c r="C2976" s="8" t="s">
        <v>27</v>
      </c>
      <c r="D2976" s="8" t="s">
        <v>28</v>
      </c>
      <c r="E2976" s="8" t="s">
        <v>27</v>
      </c>
      <c r="F2976" s="8" t="s">
        <v>28</v>
      </c>
      <c r="G2976" s="6"/>
      <c r="H2976" s="6"/>
      <c r="I2976" s="10" t="s">
        <v>29</v>
      </c>
      <c r="J2976" s="6"/>
    </row>
    <row r="2977">
      <c r="A2977" s="11" t="s">
        <v>30</v>
      </c>
      <c r="B2977" s="12">
        <v>3586.4187</v>
      </c>
      <c r="C2977" s="12">
        <v>0</v>
      </c>
      <c r="D2977" s="13">
        <v>0</v>
      </c>
      <c r="E2977" s="12">
        <v>0</v>
      </c>
      <c r="F2977" s="14">
        <v>0</v>
      </c>
      <c r="G2977" s="13">
        <v>1120183.1634</v>
      </c>
      <c r="H2977" s="14">
        <v>4017445844.6429162</v>
      </c>
      <c r="I2977" s="14" t="e">
        <f>=Round(90507.38280000,0)</f>
        <v>#VALUE!</v>
      </c>
      <c r="J2977" s="14" t="e">
        <f>=Round(0.00000000,0)</f>
        <v>#VALUE!</v>
      </c>
    </row>
    <row r="2978">
      <c r="A2978" s="11" t="s">
        <v>31</v>
      </c>
      <c r="B2978" s="12">
        <v>3587.0477</v>
      </c>
      <c r="C2978" s="12">
        <v>0</v>
      </c>
      <c r="D2978" s="13">
        <v>0</v>
      </c>
      <c r="E2978" s="12">
        <v>0</v>
      </c>
      <c r="F2978" s="14">
        <v>0</v>
      </c>
      <c r="G2978" s="13">
        <v>1120183.1634</v>
      </c>
      <c r="H2978" s="14">
        <v>4018150439.852694</v>
      </c>
      <c r="I2978" s="14" t="e">
        <f>=Round(90557.18090000,0)</f>
        <v>#VALUE!</v>
      </c>
      <c r="J2978" s="14" t="e">
        <f>=Round(0.00000000,0)</f>
        <v>#VALUE!</v>
      </c>
    </row>
    <row r="2979">
      <c r="A2979" s="11" t="s">
        <v>32</v>
      </c>
      <c r="B2979" s="12">
        <v>3587.6685</v>
      </c>
      <c r="C2979" s="12">
        <v>0</v>
      </c>
      <c r="D2979" s="13">
        <v>0</v>
      </c>
      <c r="E2979" s="12">
        <v>0</v>
      </c>
      <c r="F2979" s="14">
        <v>0</v>
      </c>
      <c r="G2979" s="13">
        <v>1120183.1634</v>
      </c>
      <c r="H2979" s="14">
        <v>4018845849.560533</v>
      </c>
      <c r="I2979" s="14" t="e">
        <f>=Round(90573.06320000,0)</f>
        <v>#VALUE!</v>
      </c>
      <c r="J2979" s="14" t="e">
        <f>=Round(0.00000000,0)</f>
        <v>#VALUE!</v>
      </c>
    </row>
    <row r="2980">
      <c r="A2980" s="11" t="s">
        <v>33</v>
      </c>
      <c r="B2980" s="12">
        <v>3588.3573</v>
      </c>
      <c r="C2980" s="12">
        <v>0</v>
      </c>
      <c r="D2980" s="13">
        <v>0</v>
      </c>
      <c r="E2980" s="12">
        <v>0</v>
      </c>
      <c r="F2980" s="14">
        <v>0</v>
      </c>
      <c r="G2980" s="13">
        <v>1120183.1634</v>
      </c>
      <c r="H2980" s="14">
        <v>4019617431.7234831</v>
      </c>
      <c r="I2980" s="14" t="e">
        <f>=Round(90588.73840000,0)</f>
        <v>#VALUE!</v>
      </c>
      <c r="J2980" s="14" t="e">
        <f>=Round(0.00000000,0)</f>
        <v>#VALUE!</v>
      </c>
    </row>
    <row r="2981">
      <c r="A2981" s="11" t="s">
        <v>34</v>
      </c>
      <c r="B2981" s="12">
        <v>3589.0109</v>
      </c>
      <c r="C2981" s="12">
        <v>0</v>
      </c>
      <c r="D2981" s="13">
        <v>0</v>
      </c>
      <c r="E2981" s="12">
        <v>0</v>
      </c>
      <c r="F2981" s="14">
        <v>0</v>
      </c>
      <c r="G2981" s="13">
        <v>1120183.1634</v>
      </c>
      <c r="H2981" s="14">
        <v>4020349583.4390812</v>
      </c>
      <c r="I2981" s="14" t="e">
        <f>=Round(90606.13060000,0)</f>
        <v>#VALUE!</v>
      </c>
      <c r="J2981" s="14" t="e">
        <f>=Round(0.00000000,0)</f>
        <v>#VALUE!</v>
      </c>
    </row>
    <row r="2982">
      <c r="A2982" s="11" t="s">
        <v>35</v>
      </c>
      <c r="B2982" s="12">
        <v>3589.0109</v>
      </c>
      <c r="C2982" s="12">
        <v>0</v>
      </c>
      <c r="D2982" s="13">
        <v>0</v>
      </c>
      <c r="E2982" s="12">
        <v>0</v>
      </c>
      <c r="F2982" s="14">
        <v>0</v>
      </c>
      <c r="G2982" s="13">
        <v>1120183.1634</v>
      </c>
      <c r="H2982" s="14">
        <v>4020349583.4390812</v>
      </c>
      <c r="I2982" s="14" t="e">
        <f>=Round(90622.63410000,0)</f>
        <v>#VALUE!</v>
      </c>
      <c r="J2982" s="14" t="e">
        <f>=Round(0.00000000,0)</f>
        <v>#VALUE!</v>
      </c>
    </row>
    <row r="2983">
      <c r="A2983" s="11" t="s">
        <v>36</v>
      </c>
      <c r="B2983" s="12">
        <v>3589.0109</v>
      </c>
      <c r="C2983" s="12">
        <v>0</v>
      </c>
      <c r="D2983" s="13">
        <v>0</v>
      </c>
      <c r="E2983" s="12">
        <v>0</v>
      </c>
      <c r="F2983" s="14">
        <v>0</v>
      </c>
      <c r="G2983" s="13">
        <v>1120183.1634</v>
      </c>
      <c r="H2983" s="14">
        <v>4020349583.4390812</v>
      </c>
      <c r="I2983" s="14" t="e">
        <f>=Round(90622.63410000,0)</f>
        <v>#VALUE!</v>
      </c>
      <c r="J2983" s="14" t="e">
        <f>=Round(0.00000000,0)</f>
        <v>#VALUE!</v>
      </c>
    </row>
    <row r="2984">
      <c r="A2984" s="11" t="s">
        <v>37</v>
      </c>
      <c r="B2984" s="12">
        <v>3590.972</v>
      </c>
      <c r="C2984" s="12">
        <v>0</v>
      </c>
      <c r="D2984" s="13">
        <v>0</v>
      </c>
      <c r="E2984" s="12">
        <v>0</v>
      </c>
      <c r="F2984" s="14">
        <v>0</v>
      </c>
      <c r="G2984" s="13">
        <v>1120183.1634</v>
      </c>
      <c r="H2984" s="14">
        <v>4022546374.6408248</v>
      </c>
      <c r="I2984" s="14" t="e">
        <f>=Round(90622.63410000,0)</f>
        <v>#VALUE!</v>
      </c>
      <c r="J2984" s="14" t="e">
        <f>=Round(0.00000000,0)</f>
        <v>#VALUE!</v>
      </c>
    </row>
    <row r="2985">
      <c r="A2985" s="11" t="s">
        <v>38</v>
      </c>
      <c r="B2985" s="12">
        <v>3591.6235</v>
      </c>
      <c r="C2985" s="12">
        <v>0</v>
      </c>
      <c r="D2985" s="13">
        <v>0</v>
      </c>
      <c r="E2985" s="12">
        <v>0</v>
      </c>
      <c r="F2985" s="14">
        <v>0</v>
      </c>
      <c r="G2985" s="13">
        <v>1120183.1634</v>
      </c>
      <c r="H2985" s="14">
        <v>4023276173.97178</v>
      </c>
      <c r="I2985" s="14" t="e">
        <f>=Round(90672.15190000,0)</f>
        <v>#VALUE!</v>
      </c>
      <c r="J2985" s="14" t="e">
        <f>=Round(0.00000000,0)</f>
        <v>#VALUE!</v>
      </c>
    </row>
    <row r="2986">
      <c r="A2986" s="11" t="s">
        <v>39</v>
      </c>
      <c r="B2986" s="12">
        <v>3592.281</v>
      </c>
      <c r="C2986" s="12">
        <v>0</v>
      </c>
      <c r="D2986" s="13">
        <v>0</v>
      </c>
      <c r="E2986" s="12">
        <v>0</v>
      </c>
      <c r="F2986" s="14">
        <v>0</v>
      </c>
      <c r="G2986" s="13">
        <v>1120183.1634</v>
      </c>
      <c r="H2986" s="14">
        <v>4024012694.4017148</v>
      </c>
      <c r="I2986" s="14" t="e">
        <f>=Round(90688.60230000,0)</f>
        <v>#VALUE!</v>
      </c>
      <c r="J2986" s="14" t="e">
        <f>=Round(0.00000000,0)</f>
        <v>#VALUE!</v>
      </c>
    </row>
    <row r="2987">
      <c r="A2987" s="11" t="s">
        <v>40</v>
      </c>
      <c r="B2987" s="12">
        <v>3592.9125</v>
      </c>
      <c r="C2987" s="12">
        <v>0</v>
      </c>
      <c r="D2987" s="13">
        <v>0</v>
      </c>
      <c r="E2987" s="12">
        <v>1120183.1634</v>
      </c>
      <c r="F2987" s="14">
        <v>4024720090</v>
      </c>
      <c r="G2987" s="13">
        <v>1120183.1634</v>
      </c>
      <c r="H2987" s="14">
        <v>4024720090.0694032</v>
      </c>
      <c r="I2987" s="14" t="e">
        <f>=Round(90705.20420000,0)</f>
        <v>#VALUE!</v>
      </c>
      <c r="J2987" s="14" t="e">
        <f>=Round(0.00000000,0)</f>
        <v>#VALUE!</v>
      </c>
    </row>
    <row r="2988">
      <c r="A2988" s="11" t="s">
        <v>41</v>
      </c>
      <c r="B2988" s="12">
        <v>3593.5674</v>
      </c>
      <c r="C2988" s="12">
        <v>0</v>
      </c>
      <c r="D2988" s="13">
        <v>0</v>
      </c>
      <c r="E2988" s="12">
        <v>0</v>
      </c>
      <c r="F2988" s="14">
        <v>0</v>
      </c>
      <c r="G2988" s="13">
        <v>0</v>
      </c>
      <c r="H2988" s="14">
        <v>0</v>
      </c>
      <c r="I2988" s="14" t="e">
        <f>=Round(90721.14960000,0)</f>
        <v>#VALUE!</v>
      </c>
      <c r="J2988" s="14" t="e">
        <f>=Round(0.00000000,0)</f>
        <v>#VALUE!</v>
      </c>
    </row>
    <row r="2989">
      <c r="A2989" s="11" t="s">
        <v>42</v>
      </c>
      <c r="B2989" s="12">
        <v>3593.5674</v>
      </c>
      <c r="C2989" s="12">
        <v>0</v>
      </c>
      <c r="D2989" s="13">
        <v>0</v>
      </c>
      <c r="E2989" s="12">
        <v>0</v>
      </c>
      <c r="F2989" s="14">
        <v>0</v>
      </c>
      <c r="G2989" s="13">
        <v>0</v>
      </c>
      <c r="H2989" s="14">
        <v>0</v>
      </c>
      <c r="I2989" s="14" t="e">
        <f>=Round(0.00000000,0)</f>
        <v>#VALUE!</v>
      </c>
      <c r="J2989" s="14" t="e">
        <f>=Round(0.00000000,0)</f>
        <v>#VALUE!</v>
      </c>
    </row>
    <row r="2990">
      <c r="A2990" s="11" t="s">
        <v>43</v>
      </c>
      <c r="B2990" s="12">
        <v>3593.5674</v>
      </c>
      <c r="C2990" s="12">
        <v>0</v>
      </c>
      <c r="D2990" s="13">
        <v>0</v>
      </c>
      <c r="E2990" s="12">
        <v>0</v>
      </c>
      <c r="F2990" s="14">
        <v>0</v>
      </c>
      <c r="G2990" s="13">
        <v>0</v>
      </c>
      <c r="H2990" s="14">
        <v>0</v>
      </c>
      <c r="I2990" s="14" t="e">
        <f>=Round(0.00000000,0)</f>
        <v>#VALUE!</v>
      </c>
      <c r="J2990" s="14" t="e">
        <f>=Round(0.00000000,0)</f>
        <v>#VALUE!</v>
      </c>
    </row>
    <row r="2991">
      <c r="A2991" s="11" t="s">
        <v>44</v>
      </c>
      <c r="B2991" s="12">
        <v>3595.5366</v>
      </c>
      <c r="C2991" s="12">
        <v>0</v>
      </c>
      <c r="D2991" s="13">
        <v>0</v>
      </c>
      <c r="E2991" s="12">
        <v>0</v>
      </c>
      <c r="F2991" s="14">
        <v>0</v>
      </c>
      <c r="G2991" s="13">
        <v>0</v>
      </c>
      <c r="H2991" s="14">
        <v>0</v>
      </c>
      <c r="I2991" s="14" t="e">
        <f>=Round(0.00000000,0)</f>
        <v>#VALUE!</v>
      </c>
      <c r="J2991" s="14" t="e">
        <f>=Round(0.00000000,0)</f>
        <v>#VALUE!</v>
      </c>
    </row>
    <row r="2992">
      <c r="A2992" s="11" t="s">
        <v>45</v>
      </c>
      <c r="B2992" s="12">
        <v>3596.1915</v>
      </c>
      <c r="C2992" s="12">
        <v>0</v>
      </c>
      <c r="D2992" s="13">
        <v>0</v>
      </c>
      <c r="E2992" s="12">
        <v>0</v>
      </c>
      <c r="F2992" s="14">
        <v>0</v>
      </c>
      <c r="G2992" s="13">
        <v>0</v>
      </c>
      <c r="H2992" s="14">
        <v>0</v>
      </c>
      <c r="I2992" s="14" t="e">
        <f>=Round(0.00000000,0)</f>
        <v>#VALUE!</v>
      </c>
      <c r="J2992" s="14" t="e">
        <f>=Round(0.00000000,0)</f>
        <v>#VALUE!</v>
      </c>
    </row>
    <row r="2993">
      <c r="A2993" s="11" t="s">
        <v>46</v>
      </c>
      <c r="B2993" s="12">
        <v>3596.8461</v>
      </c>
      <c r="C2993" s="12">
        <v>1112085.3906</v>
      </c>
      <c r="D2993" s="13">
        <v>4000000000</v>
      </c>
      <c r="E2993" s="12">
        <v>0</v>
      </c>
      <c r="F2993" s="14">
        <v>0</v>
      </c>
      <c r="G2993" s="13">
        <v>0</v>
      </c>
      <c r="H2993" s="14">
        <v>0</v>
      </c>
      <c r="I2993" s="14" t="e">
        <f>=Round(0.00000000,0)</f>
        <v>#VALUE!</v>
      </c>
      <c r="J2993" s="14" t="e">
        <f>=Round(0.00000000,0)</f>
        <v>#VALUE!</v>
      </c>
    </row>
    <row r="2994">
      <c r="A2994" s="11" t="s">
        <v>47</v>
      </c>
      <c r="B2994" s="12">
        <v>3597.4992</v>
      </c>
      <c r="C2994" s="12">
        <v>0</v>
      </c>
      <c r="D2994" s="13">
        <v>0</v>
      </c>
      <c r="E2994" s="12">
        <v>0</v>
      </c>
      <c r="F2994" s="14">
        <v>0</v>
      </c>
      <c r="G2994" s="13">
        <v>1112085.3906</v>
      </c>
      <c r="H2994" s="14">
        <v>4000726303.0151882</v>
      </c>
      <c r="I2994" s="14" t="e">
        <f>=Round(0.00000000,0)</f>
        <v>#VALUE!</v>
      </c>
      <c r="J2994" s="14" t="e">
        <f>=Round(0.00000000,0)</f>
        <v>#VALUE!</v>
      </c>
    </row>
    <row r="2995">
      <c r="A2995" s="11" t="s">
        <v>48</v>
      </c>
      <c r="B2995" s="12">
        <v>3598.1558</v>
      </c>
      <c r="C2995" s="12">
        <v>0</v>
      </c>
      <c r="D2995" s="13">
        <v>0</v>
      </c>
      <c r="E2995" s="12">
        <v>0</v>
      </c>
      <c r="F2995" s="14">
        <v>0</v>
      </c>
      <c r="G2995" s="13">
        <v>1112085.3906</v>
      </c>
      <c r="H2995" s="14">
        <v>4001456498.2826548</v>
      </c>
      <c r="I2995" s="14" t="e">
        <f>=Round(90180.30600000,0)</f>
        <v>#VALUE!</v>
      </c>
      <c r="J2995" s="14" t="e">
        <f>=Round(0.00000000,0)</f>
        <v>#VALUE!</v>
      </c>
    </row>
    <row r="2996">
      <c r="A2996" s="11" t="s">
        <v>49</v>
      </c>
      <c r="B2996" s="12">
        <v>3598.1558</v>
      </c>
      <c r="C2996" s="12">
        <v>0</v>
      </c>
      <c r="D2996" s="13">
        <v>0</v>
      </c>
      <c r="E2996" s="12">
        <v>0</v>
      </c>
      <c r="F2996" s="14">
        <v>0</v>
      </c>
      <c r="G2996" s="13">
        <v>1112085.3906</v>
      </c>
      <c r="H2996" s="14">
        <v>4001456498.2826548</v>
      </c>
      <c r="I2996" s="14" t="e">
        <f>=Round(90196.76530000,0)</f>
        <v>#VALUE!</v>
      </c>
      <c r="J2996" s="14" t="e">
        <f>=Round(0.00000000,0)</f>
        <v>#VALUE!</v>
      </c>
    </row>
    <row r="2997">
      <c r="A2997" s="11" t="s">
        <v>50</v>
      </c>
      <c r="B2997" s="12">
        <v>3598.1558</v>
      </c>
      <c r="C2997" s="12">
        <v>0</v>
      </c>
      <c r="D2997" s="13">
        <v>0</v>
      </c>
      <c r="E2997" s="12">
        <v>0</v>
      </c>
      <c r="F2997" s="14">
        <v>0</v>
      </c>
      <c r="G2997" s="13">
        <v>1112085.3906</v>
      </c>
      <c r="H2997" s="14">
        <v>4001456498.2826548</v>
      </c>
      <c r="I2997" s="14" t="e">
        <f>=Round(90196.76530000,0)</f>
        <v>#VALUE!</v>
      </c>
      <c r="J2997" s="14" t="e">
        <f>=Round(0.00000000,0)</f>
        <v>#VALUE!</v>
      </c>
    </row>
    <row r="2998">
      <c r="A2998" s="11" t="s">
        <v>51</v>
      </c>
      <c r="B2998" s="12">
        <v>3600.124</v>
      </c>
      <c r="C2998" s="12">
        <v>0</v>
      </c>
      <c r="D2998" s="13">
        <v>0</v>
      </c>
      <c r="E2998" s="12">
        <v>0</v>
      </c>
      <c r="F2998" s="14">
        <v>0</v>
      </c>
      <c r="G2998" s="13">
        <v>1112085.3906</v>
      </c>
      <c r="H2998" s="14">
        <v>4003645304.7484341</v>
      </c>
      <c r="I2998" s="14" t="e">
        <f>=Round(90196.76530000,0)</f>
        <v>#VALUE!</v>
      </c>
      <c r="J2998" s="14" t="e">
        <f>=Round(0.00000000,0)</f>
        <v>#VALUE!</v>
      </c>
    </row>
    <row r="2999">
      <c r="A2999" s="11" t="s">
        <v>52</v>
      </c>
      <c r="B2999" s="12">
        <v>3600.7905</v>
      </c>
      <c r="C2999" s="12">
        <v>0</v>
      </c>
      <c r="D2999" s="13">
        <v>0</v>
      </c>
      <c r="E2999" s="12">
        <v>0</v>
      </c>
      <c r="F2999" s="14">
        <v>0</v>
      </c>
      <c r="G2999" s="13">
        <v>1112085.3906</v>
      </c>
      <c r="H2999" s="14">
        <v>4004386509.6612692</v>
      </c>
      <c r="I2999" s="14" t="e">
        <f>=Round(90246.10320000,0)</f>
        <v>#VALUE!</v>
      </c>
      <c r="J2999" s="14" t="e">
        <f>=Round(0.00000000,0)</f>
        <v>#VALUE!</v>
      </c>
    </row>
    <row r="3000">
      <c r="A3000" s="11" t="s">
        <v>53</v>
      </c>
      <c r="B3000" s="12">
        <v>3601.445</v>
      </c>
      <c r="C3000" s="12">
        <v>0</v>
      </c>
      <c r="D3000" s="13">
        <v>0</v>
      </c>
      <c r="E3000" s="12">
        <v>0</v>
      </c>
      <c r="F3000" s="14">
        <v>0</v>
      </c>
      <c r="G3000" s="13">
        <v>1112085.3906</v>
      </c>
      <c r="H3000" s="14">
        <v>4005114369.549417</v>
      </c>
      <c r="I3000" s="14" t="e">
        <f>=Round(90262.81070000,0)</f>
        <v>#VALUE!</v>
      </c>
      <c r="J3000" s="14" t="e">
        <f>=Round(0.00000000,0)</f>
        <v>#VALUE!</v>
      </c>
    </row>
    <row r="3001">
      <c r="A3001" s="11" t="s">
        <v>54</v>
      </c>
      <c r="B3001" s="12">
        <v>3602.0851</v>
      </c>
      <c r="C3001" s="12">
        <v>0</v>
      </c>
      <c r="D3001" s="13">
        <v>0</v>
      </c>
      <c r="E3001" s="12">
        <v>0</v>
      </c>
      <c r="F3001" s="14">
        <v>0</v>
      </c>
      <c r="G3001" s="13">
        <v>1112085.3906</v>
      </c>
      <c r="H3001" s="14">
        <v>4005826215.40794</v>
      </c>
      <c r="I3001" s="14" t="e">
        <f>=Round(90279.21730000,0)</f>
        <v>#VALUE!</v>
      </c>
      <c r="J3001" s="14" t="e">
        <f>=Round(0.00000000,0)</f>
        <v>#VALUE!</v>
      </c>
    </row>
    <row r="3002">
      <c r="A3002" s="11" t="s">
        <v>55</v>
      </c>
      <c r="B3002" s="12">
        <v>3602.7417</v>
      </c>
      <c r="C3002" s="12">
        <v>0</v>
      </c>
      <c r="D3002" s="13">
        <v>0</v>
      </c>
      <c r="E3002" s="12">
        <v>0</v>
      </c>
      <c r="F3002" s="14">
        <v>0</v>
      </c>
      <c r="G3002" s="13">
        <v>1112085.3906</v>
      </c>
      <c r="H3002" s="14">
        <v>4006556410.6754079</v>
      </c>
      <c r="I3002" s="14" t="e">
        <f>=Round(90295.26310000,0)</f>
        <v>#VALUE!</v>
      </c>
      <c r="J3002" s="14" t="e">
        <f>=Round(0.00000000,0)</f>
        <v>#VALUE!</v>
      </c>
    </row>
    <row r="3003" ht="-1">
      <c r="A3003" s="15"/>
      <c r="B3003" s="16" t="s">
        <v>56</v>
      </c>
      <c r="C3003" s="15"/>
      <c r="D3003" s="15"/>
      <c r="E3003" s="15"/>
      <c r="F3003" s="15"/>
      <c r="G3003" s="15"/>
      <c r="H3003" s="15"/>
      <c r="I3003" s="17" t="e">
        <f>=Round(SUM(I2977:I3002),0)</f>
        <v>#VALUE!</v>
      </c>
      <c r="J3003" s="17" t="e">
        <f>=Round(SUM(J2977:J3002),0)</f>
        <v>#VALUE!</v>
      </c>
    </row>
    <row r="3004">
      <c r="A3004" s="1" t="s">
        <v>0</v>
      </c>
      <c r="B3004" s="1"/>
      <c r="C3004" s="1"/>
      <c r="D3004" s="1"/>
    </row>
    <row r="3005">
      <c r="A3005" s="0" t="s">
        <v>1</v>
      </c>
      <c r="C3005" s="0" t="s">
        <v>135</v>
      </c>
      <c r="H3005" s="2" t="s">
        <v>3</v>
      </c>
    </row>
    <row r="3006">
      <c r="A3006" s="0" t="s">
        <v>4</v>
      </c>
      <c r="C3006" s="0" t="s">
        <v>136</v>
      </c>
      <c r="H3006" s="3" t="s">
        <v>6</v>
      </c>
    </row>
    <row r="3007">
      <c r="A3007" s="0" t="s">
        <v>7</v>
      </c>
      <c r="C3007" s="4" t="s">
        <v>137</v>
      </c>
      <c r="H3007" s="2" t="s">
        <v>9</v>
      </c>
    </row>
    <row r="3008">
      <c r="A3008" s="0" t="s">
        <v>10</v>
      </c>
      <c r="C3008" s="4" t="s">
        <v>11</v>
      </c>
      <c r="H3008" s="2" t="s">
        <v>12</v>
      </c>
    </row>
    <row r="3009">
      <c r="A3009" s="0" t="s">
        <v>13</v>
      </c>
      <c r="C3009" s="0" t="s">
        <v>14</v>
      </c>
    </row>
    <row r="3010">
      <c r="A3010" s="0" t="s">
        <v>15</v>
      </c>
      <c r="C3010" s="0" t="s">
        <v>16</v>
      </c>
    </row>
    <row r="3011">
      <c r="A3011" s="0" t="s">
        <v>17</v>
      </c>
      <c r="C3011" s="0" t="s">
        <v>18</v>
      </c>
    </row>
    <row r="3014">
      <c r="A3014" s="5" t="s">
        <v>19</v>
      </c>
      <c r="B3014" s="5" t="s">
        <v>20</v>
      </c>
      <c r="C3014" s="7" t="s">
        <v>21</v>
      </c>
      <c r="D3014" s="9"/>
      <c r="E3014" s="7" t="s">
        <v>22</v>
      </c>
      <c r="F3014" s="9"/>
      <c r="G3014" s="5" t="s">
        <v>23</v>
      </c>
      <c r="H3014" s="5" t="s">
        <v>24</v>
      </c>
      <c r="I3014" s="5" t="s">
        <v>138</v>
      </c>
      <c r="J3014" s="5" t="s">
        <v>26</v>
      </c>
    </row>
    <row r="3015">
      <c r="A3015" s="6"/>
      <c r="B3015" s="6"/>
      <c r="C3015" s="8" t="s">
        <v>27</v>
      </c>
      <c r="D3015" s="8" t="s">
        <v>28</v>
      </c>
      <c r="E3015" s="8" t="s">
        <v>27</v>
      </c>
      <c r="F3015" s="8" t="s">
        <v>28</v>
      </c>
      <c r="G3015" s="6"/>
      <c r="H3015" s="6"/>
      <c r="I3015" s="10" t="s">
        <v>29</v>
      </c>
      <c r="J3015" s="6"/>
    </row>
    <row r="3016">
      <c r="A3016" s="11" t="s">
        <v>30</v>
      </c>
      <c r="B3016" s="12">
        <v>1106.364</v>
      </c>
      <c r="C3016" s="12">
        <v>0</v>
      </c>
      <c r="D3016" s="13">
        <v>0</v>
      </c>
      <c r="E3016" s="12">
        <v>0</v>
      </c>
      <c r="F3016" s="14">
        <v>0</v>
      </c>
      <c r="G3016" s="13">
        <v>219.6745</v>
      </c>
      <c r="H3016" s="14">
        <v>243039.958518</v>
      </c>
      <c r="I3016" s="14" t="e">
        <f>=Round(18.37250000,0)</f>
        <v>#VALUE!</v>
      </c>
      <c r="J3016" s="14" t="e">
        <f>=Round(0.00000000,0)</f>
        <v>#VALUE!</v>
      </c>
    </row>
    <row r="3017">
      <c r="A3017" s="11" t="s">
        <v>31</v>
      </c>
      <c r="B3017" s="12">
        <v>1115.058</v>
      </c>
      <c r="C3017" s="12">
        <v>0</v>
      </c>
      <c r="D3017" s="13">
        <v>0</v>
      </c>
      <c r="E3017" s="12">
        <v>0</v>
      </c>
      <c r="F3017" s="14">
        <v>0</v>
      </c>
      <c r="G3017" s="13">
        <v>219.6745</v>
      </c>
      <c r="H3017" s="14">
        <v>244949.808621</v>
      </c>
      <c r="I3017" s="14" t="e">
        <f>=Round(18.26120000,0)</f>
        <v>#VALUE!</v>
      </c>
      <c r="J3017" s="14" t="e">
        <f>=Round(0.00000000,0)</f>
        <v>#VALUE!</v>
      </c>
    </row>
    <row r="3018">
      <c r="A3018" s="11" t="s">
        <v>32</v>
      </c>
      <c r="B3018" s="12">
        <v>1123.214</v>
      </c>
      <c r="C3018" s="12">
        <v>0</v>
      </c>
      <c r="D3018" s="13">
        <v>0</v>
      </c>
      <c r="E3018" s="12">
        <v>0</v>
      </c>
      <c r="F3018" s="14">
        <v>0</v>
      </c>
      <c r="G3018" s="13">
        <v>219.6745</v>
      </c>
      <c r="H3018" s="14">
        <v>246741.473843</v>
      </c>
      <c r="I3018" s="14" t="e">
        <f>=Round(18.40470000,0)</f>
        <v>#VALUE!</v>
      </c>
      <c r="J3018" s="14" t="e">
        <f>=Round(0.00000000,0)</f>
        <v>#VALUE!</v>
      </c>
    </row>
    <row r="3019">
      <c r="A3019" s="11" t="s">
        <v>33</v>
      </c>
      <c r="B3019" s="12">
        <v>1126.069</v>
      </c>
      <c r="C3019" s="12">
        <v>0</v>
      </c>
      <c r="D3019" s="13">
        <v>0</v>
      </c>
      <c r="E3019" s="12">
        <v>0</v>
      </c>
      <c r="F3019" s="14">
        <v>0</v>
      </c>
      <c r="G3019" s="13">
        <v>219.6745</v>
      </c>
      <c r="H3019" s="14">
        <v>247368.644541</v>
      </c>
      <c r="I3019" s="14" t="e">
        <f>=Round(18.53930000,0)</f>
        <v>#VALUE!</v>
      </c>
      <c r="J3019" s="14" t="e">
        <f>=Round(0.00000000,0)</f>
        <v>#VALUE!</v>
      </c>
    </row>
    <row r="3020">
      <c r="A3020" s="11" t="s">
        <v>34</v>
      </c>
      <c r="B3020" s="12">
        <v>1129.718</v>
      </c>
      <c r="C3020" s="12">
        <v>0</v>
      </c>
      <c r="D3020" s="13">
        <v>0</v>
      </c>
      <c r="E3020" s="12">
        <v>0</v>
      </c>
      <c r="F3020" s="14">
        <v>0</v>
      </c>
      <c r="G3020" s="13">
        <v>219.6745</v>
      </c>
      <c r="H3020" s="14">
        <v>248170.236791</v>
      </c>
      <c r="I3020" s="14" t="e">
        <f>=Round(18.58640000,0)</f>
        <v>#VALUE!</v>
      </c>
      <c r="J3020" s="14" t="e">
        <f>=Round(0.00000000,0)</f>
        <v>#VALUE!</v>
      </c>
    </row>
    <row r="3021">
      <c r="A3021" s="11" t="s">
        <v>35</v>
      </c>
      <c r="B3021" s="12">
        <v>1129.718</v>
      </c>
      <c r="C3021" s="12">
        <v>0</v>
      </c>
      <c r="D3021" s="13">
        <v>0</v>
      </c>
      <c r="E3021" s="12">
        <v>0</v>
      </c>
      <c r="F3021" s="14">
        <v>0</v>
      </c>
      <c r="G3021" s="13">
        <v>219.6745</v>
      </c>
      <c r="H3021" s="14">
        <v>248170.236791</v>
      </c>
      <c r="I3021" s="14" t="e">
        <f>=Round(18.64670000,0)</f>
        <v>#VALUE!</v>
      </c>
      <c r="J3021" s="14" t="e">
        <f>=Round(0.00000000,0)</f>
        <v>#VALUE!</v>
      </c>
    </row>
    <row r="3022">
      <c r="A3022" s="11" t="s">
        <v>36</v>
      </c>
      <c r="B3022" s="12">
        <v>1129.718</v>
      </c>
      <c r="C3022" s="12">
        <v>0</v>
      </c>
      <c r="D3022" s="13">
        <v>0</v>
      </c>
      <c r="E3022" s="12">
        <v>0</v>
      </c>
      <c r="F3022" s="14">
        <v>0</v>
      </c>
      <c r="G3022" s="13">
        <v>219.6745</v>
      </c>
      <c r="H3022" s="14">
        <v>248170.236791</v>
      </c>
      <c r="I3022" s="14" t="e">
        <f>=Round(18.64670000,0)</f>
        <v>#VALUE!</v>
      </c>
      <c r="J3022" s="14" t="e">
        <f>=Round(0.00000000,0)</f>
        <v>#VALUE!</v>
      </c>
    </row>
    <row r="3023">
      <c r="A3023" s="11" t="s">
        <v>37</v>
      </c>
      <c r="B3023" s="12">
        <v>1116.408</v>
      </c>
      <c r="C3023" s="12">
        <v>0</v>
      </c>
      <c r="D3023" s="13">
        <v>0</v>
      </c>
      <c r="E3023" s="12">
        <v>0</v>
      </c>
      <c r="F3023" s="14">
        <v>0</v>
      </c>
      <c r="G3023" s="13">
        <v>219.6745</v>
      </c>
      <c r="H3023" s="14">
        <v>245246.369196</v>
      </c>
      <c r="I3023" s="14" t="e">
        <f>=Round(18.64670000,0)</f>
        <v>#VALUE!</v>
      </c>
      <c r="J3023" s="14" t="e">
        <f>=Round(0.00000000,0)</f>
        <v>#VALUE!</v>
      </c>
    </row>
    <row r="3024">
      <c r="A3024" s="11" t="s">
        <v>38</v>
      </c>
      <c r="B3024" s="12">
        <v>1113.311</v>
      </c>
      <c r="C3024" s="12">
        <v>0</v>
      </c>
      <c r="D3024" s="13">
        <v>0</v>
      </c>
      <c r="E3024" s="12">
        <v>0</v>
      </c>
      <c r="F3024" s="14">
        <v>0</v>
      </c>
      <c r="G3024" s="13">
        <v>219.6745</v>
      </c>
      <c r="H3024" s="14">
        <v>244566.03727</v>
      </c>
      <c r="I3024" s="14" t="e">
        <f>=Round(18.42700000,0)</f>
        <v>#VALUE!</v>
      </c>
      <c r="J3024" s="14" t="e">
        <f>=Round(0.00000000,0)</f>
        <v>#VALUE!</v>
      </c>
    </row>
    <row r="3025">
      <c r="A3025" s="11" t="s">
        <v>39</v>
      </c>
      <c r="B3025" s="12">
        <v>1099.022</v>
      </c>
      <c r="C3025" s="12">
        <v>0</v>
      </c>
      <c r="D3025" s="13">
        <v>0</v>
      </c>
      <c r="E3025" s="12">
        <v>0</v>
      </c>
      <c r="F3025" s="14">
        <v>0</v>
      </c>
      <c r="G3025" s="13">
        <v>219.6745</v>
      </c>
      <c r="H3025" s="14">
        <v>241427.108339</v>
      </c>
      <c r="I3025" s="14" t="e">
        <f>=Round(18.37590000,0)</f>
        <v>#VALUE!</v>
      </c>
      <c r="J3025" s="14" t="e">
        <f>=Round(0.00000000,0)</f>
        <v>#VALUE!</v>
      </c>
    </row>
    <row r="3026">
      <c r="A3026" s="11" t="s">
        <v>40</v>
      </c>
      <c r="B3026" s="12">
        <v>1089.065</v>
      </c>
      <c r="C3026" s="12">
        <v>0</v>
      </c>
      <c r="D3026" s="13">
        <v>0</v>
      </c>
      <c r="E3026" s="12">
        <v>0</v>
      </c>
      <c r="F3026" s="14">
        <v>0</v>
      </c>
      <c r="G3026" s="13">
        <v>219.6745</v>
      </c>
      <c r="H3026" s="14">
        <v>239239.809343</v>
      </c>
      <c r="I3026" s="14" t="e">
        <f>=Round(18.14000000,0)</f>
        <v>#VALUE!</v>
      </c>
      <c r="J3026" s="14" t="e">
        <f>=Round(0.00000000,0)</f>
        <v>#VALUE!</v>
      </c>
    </row>
    <row r="3027">
      <c r="A3027" s="11" t="s">
        <v>41</v>
      </c>
      <c r="B3027" s="12">
        <v>1091.855</v>
      </c>
      <c r="C3027" s="12">
        <v>0</v>
      </c>
      <c r="D3027" s="13">
        <v>0</v>
      </c>
      <c r="E3027" s="12">
        <v>0</v>
      </c>
      <c r="F3027" s="14">
        <v>0</v>
      </c>
      <c r="G3027" s="13">
        <v>219.6745</v>
      </c>
      <c r="H3027" s="14">
        <v>239852.701198</v>
      </c>
      <c r="I3027" s="14" t="e">
        <f>=Round(17.97570000,0)</f>
        <v>#VALUE!</v>
      </c>
      <c r="J3027" s="14" t="e">
        <f>=Round(0.00000000,0)</f>
        <v>#VALUE!</v>
      </c>
    </row>
    <row r="3028">
      <c r="A3028" s="11" t="s">
        <v>42</v>
      </c>
      <c r="B3028" s="12">
        <v>1091.855</v>
      </c>
      <c r="C3028" s="12">
        <v>0</v>
      </c>
      <c r="D3028" s="13">
        <v>0</v>
      </c>
      <c r="E3028" s="12">
        <v>0</v>
      </c>
      <c r="F3028" s="14">
        <v>0</v>
      </c>
      <c r="G3028" s="13">
        <v>219.6745</v>
      </c>
      <c r="H3028" s="14">
        <v>239852.701198</v>
      </c>
      <c r="I3028" s="14" t="e">
        <f>=Round(18.02170000,0)</f>
        <v>#VALUE!</v>
      </c>
      <c r="J3028" s="14" t="e">
        <f>=Round(0.00000000,0)</f>
        <v>#VALUE!</v>
      </c>
    </row>
    <row r="3029">
      <c r="A3029" s="11" t="s">
        <v>43</v>
      </c>
      <c r="B3029" s="12">
        <v>1091.855</v>
      </c>
      <c r="C3029" s="12">
        <v>0</v>
      </c>
      <c r="D3029" s="13">
        <v>0</v>
      </c>
      <c r="E3029" s="12">
        <v>0</v>
      </c>
      <c r="F3029" s="14">
        <v>0</v>
      </c>
      <c r="G3029" s="13">
        <v>219.6745</v>
      </c>
      <c r="H3029" s="14">
        <v>239852.701198</v>
      </c>
      <c r="I3029" s="14" t="e">
        <f>=Round(18.02170000,0)</f>
        <v>#VALUE!</v>
      </c>
      <c r="J3029" s="14" t="e">
        <f>=Round(0.00000000,0)</f>
        <v>#VALUE!</v>
      </c>
    </row>
    <row r="3030">
      <c r="A3030" s="11" t="s">
        <v>44</v>
      </c>
      <c r="B3030" s="12">
        <v>1092.609</v>
      </c>
      <c r="C3030" s="12">
        <v>0</v>
      </c>
      <c r="D3030" s="13">
        <v>0</v>
      </c>
      <c r="E3030" s="12">
        <v>0</v>
      </c>
      <c r="F3030" s="14">
        <v>0</v>
      </c>
      <c r="G3030" s="13">
        <v>219.6745</v>
      </c>
      <c r="H3030" s="14">
        <v>240018.335771</v>
      </c>
      <c r="I3030" s="14" t="e">
        <f>=Round(18.02170000,0)</f>
        <v>#VALUE!</v>
      </c>
      <c r="J3030" s="14" t="e">
        <f>=Round(0.00000000,0)</f>
        <v>#VALUE!</v>
      </c>
    </row>
    <row r="3031">
      <c r="A3031" s="11" t="s">
        <v>45</v>
      </c>
      <c r="B3031" s="12">
        <v>1098.159</v>
      </c>
      <c r="C3031" s="12">
        <v>0</v>
      </c>
      <c r="D3031" s="13">
        <v>0</v>
      </c>
      <c r="E3031" s="12">
        <v>0</v>
      </c>
      <c r="F3031" s="14">
        <v>0</v>
      </c>
      <c r="G3031" s="13">
        <v>219.6745</v>
      </c>
      <c r="H3031" s="14">
        <v>241237.529246</v>
      </c>
      <c r="I3031" s="14" t="e">
        <f>=Round(18.03420000,0)</f>
        <v>#VALUE!</v>
      </c>
      <c r="J3031" s="14" t="e">
        <f>=Round(0.00000000,0)</f>
        <v>#VALUE!</v>
      </c>
    </row>
    <row r="3032">
      <c r="A3032" s="11" t="s">
        <v>46</v>
      </c>
      <c r="B3032" s="12">
        <v>1108.258</v>
      </c>
      <c r="C3032" s="12">
        <v>0</v>
      </c>
      <c r="D3032" s="13">
        <v>0</v>
      </c>
      <c r="E3032" s="12">
        <v>0</v>
      </c>
      <c r="F3032" s="14">
        <v>0</v>
      </c>
      <c r="G3032" s="13">
        <v>219.6745</v>
      </c>
      <c r="H3032" s="14">
        <v>243456.022021</v>
      </c>
      <c r="I3032" s="14" t="e">
        <f>=Round(18.12580000,0)</f>
        <v>#VALUE!</v>
      </c>
      <c r="J3032" s="14" t="e">
        <f>=Round(0.00000000,0)</f>
        <v>#VALUE!</v>
      </c>
    </row>
    <row r="3033">
      <c r="A3033" s="11" t="s">
        <v>47</v>
      </c>
      <c r="B3033" s="12">
        <v>1111.48</v>
      </c>
      <c r="C3033" s="12">
        <v>0</v>
      </c>
      <c r="D3033" s="13">
        <v>0</v>
      </c>
      <c r="E3033" s="12">
        <v>0</v>
      </c>
      <c r="F3033" s="14">
        <v>0</v>
      </c>
      <c r="G3033" s="13">
        <v>219.6745</v>
      </c>
      <c r="H3033" s="14">
        <v>244163.81326</v>
      </c>
      <c r="I3033" s="14" t="e">
        <f>=Round(18.29250000,0)</f>
        <v>#VALUE!</v>
      </c>
      <c r="J3033" s="14" t="e">
        <f>=Round(0.00000000,0)</f>
        <v>#VALUE!</v>
      </c>
    </row>
    <row r="3034">
      <c r="A3034" s="11" t="s">
        <v>48</v>
      </c>
      <c r="B3034" s="12">
        <v>1096.362</v>
      </c>
      <c r="C3034" s="12">
        <v>0</v>
      </c>
      <c r="D3034" s="13">
        <v>0</v>
      </c>
      <c r="E3034" s="12">
        <v>0</v>
      </c>
      <c r="F3034" s="14">
        <v>0</v>
      </c>
      <c r="G3034" s="13">
        <v>219.6745</v>
      </c>
      <c r="H3034" s="14">
        <v>240842.774169</v>
      </c>
      <c r="I3034" s="14" t="e">
        <f>=Round(18.34560000,0)</f>
        <v>#VALUE!</v>
      </c>
      <c r="J3034" s="14" t="e">
        <f>=Round(0.00000000,0)</f>
        <v>#VALUE!</v>
      </c>
    </row>
    <row r="3035">
      <c r="A3035" s="11" t="s">
        <v>49</v>
      </c>
      <c r="B3035" s="12">
        <v>1096.362</v>
      </c>
      <c r="C3035" s="12">
        <v>0</v>
      </c>
      <c r="D3035" s="13">
        <v>0</v>
      </c>
      <c r="E3035" s="12">
        <v>0</v>
      </c>
      <c r="F3035" s="14">
        <v>0</v>
      </c>
      <c r="G3035" s="13">
        <v>219.6745</v>
      </c>
      <c r="H3035" s="14">
        <v>240842.774169</v>
      </c>
      <c r="I3035" s="14" t="e">
        <f>=Round(18.09610000,0)</f>
        <v>#VALUE!</v>
      </c>
      <c r="J3035" s="14" t="e">
        <f>=Round(0.00000000,0)</f>
        <v>#VALUE!</v>
      </c>
    </row>
    <row r="3036">
      <c r="A3036" s="11" t="s">
        <v>50</v>
      </c>
      <c r="B3036" s="12">
        <v>1096.362</v>
      </c>
      <c r="C3036" s="12">
        <v>0</v>
      </c>
      <c r="D3036" s="13">
        <v>0</v>
      </c>
      <c r="E3036" s="12">
        <v>0</v>
      </c>
      <c r="F3036" s="14">
        <v>0</v>
      </c>
      <c r="G3036" s="13">
        <v>219.6745</v>
      </c>
      <c r="H3036" s="14">
        <v>240842.774169</v>
      </c>
      <c r="I3036" s="14" t="e">
        <f>=Round(18.09610000,0)</f>
        <v>#VALUE!</v>
      </c>
      <c r="J3036" s="14" t="e">
        <f>=Round(0.00000000,0)</f>
        <v>#VALUE!</v>
      </c>
    </row>
    <row r="3037">
      <c r="A3037" s="11" t="s">
        <v>51</v>
      </c>
      <c r="B3037" s="12">
        <v>1075.057</v>
      </c>
      <c r="C3037" s="12">
        <v>0</v>
      </c>
      <c r="D3037" s="13">
        <v>0</v>
      </c>
      <c r="E3037" s="12">
        <v>0</v>
      </c>
      <c r="F3037" s="14">
        <v>0</v>
      </c>
      <c r="G3037" s="13">
        <v>219.6745</v>
      </c>
      <c r="H3037" s="14">
        <v>236162.608947</v>
      </c>
      <c r="I3037" s="14" t="e">
        <f>=Round(18.09610000,0)</f>
        <v>#VALUE!</v>
      </c>
      <c r="J3037" s="14" t="e">
        <f>=Round(0.00000000,0)</f>
        <v>#VALUE!</v>
      </c>
    </row>
    <row r="3038">
      <c r="A3038" s="11" t="s">
        <v>52</v>
      </c>
      <c r="B3038" s="12">
        <v>1077.622</v>
      </c>
      <c r="C3038" s="12">
        <v>0</v>
      </c>
      <c r="D3038" s="13">
        <v>0</v>
      </c>
      <c r="E3038" s="12">
        <v>0</v>
      </c>
      <c r="F3038" s="14">
        <v>0</v>
      </c>
      <c r="G3038" s="13">
        <v>219.6745</v>
      </c>
      <c r="H3038" s="14">
        <v>236726.074039</v>
      </c>
      <c r="I3038" s="14" t="e">
        <f>=Round(17.74450000,0)</f>
        <v>#VALUE!</v>
      </c>
      <c r="J3038" s="14" t="e">
        <f>=Round(0.00000000,0)</f>
        <v>#VALUE!</v>
      </c>
    </row>
    <row r="3039">
      <c r="A3039" s="11" t="s">
        <v>53</v>
      </c>
      <c r="B3039" s="12">
        <v>1058.551</v>
      </c>
      <c r="C3039" s="12">
        <v>0</v>
      </c>
      <c r="D3039" s="13">
        <v>0</v>
      </c>
      <c r="E3039" s="12">
        <v>0</v>
      </c>
      <c r="F3039" s="14">
        <v>0</v>
      </c>
      <c r="G3039" s="13">
        <v>219.6745</v>
      </c>
      <c r="H3039" s="14">
        <v>232536.66165</v>
      </c>
      <c r="I3039" s="14" t="e">
        <f>=Round(17.78680000,0)</f>
        <v>#VALUE!</v>
      </c>
      <c r="J3039" s="14" t="e">
        <f>=Round(0.00000000,0)</f>
        <v>#VALUE!</v>
      </c>
    </row>
    <row r="3040">
      <c r="A3040" s="11" t="s">
        <v>54</v>
      </c>
      <c r="B3040" s="12">
        <v>1031.607</v>
      </c>
      <c r="C3040" s="12">
        <v>0</v>
      </c>
      <c r="D3040" s="13">
        <v>0</v>
      </c>
      <c r="E3040" s="12">
        <v>0</v>
      </c>
      <c r="F3040" s="14">
        <v>0</v>
      </c>
      <c r="G3040" s="13">
        <v>219.6745</v>
      </c>
      <c r="H3040" s="14">
        <v>226617.751922</v>
      </c>
      <c r="I3040" s="14" t="e">
        <f>=Round(17.47200000,0)</f>
        <v>#VALUE!</v>
      </c>
      <c r="J3040" s="14" t="e">
        <f>=Round(0.00000000,0)</f>
        <v>#VALUE!</v>
      </c>
    </row>
    <row r="3041">
      <c r="A3041" s="11" t="s">
        <v>55</v>
      </c>
      <c r="B3041" s="12">
        <v>1012.7</v>
      </c>
      <c r="C3041" s="12">
        <v>0</v>
      </c>
      <c r="D3041" s="13">
        <v>0</v>
      </c>
      <c r="E3041" s="12">
        <v>0</v>
      </c>
      <c r="F3041" s="14">
        <v>0</v>
      </c>
      <c r="G3041" s="13">
        <v>219.6745</v>
      </c>
      <c r="H3041" s="14">
        <v>222464.36615</v>
      </c>
      <c r="I3041" s="14" t="e">
        <f>=Round(17.02730000,0)</f>
        <v>#VALUE!</v>
      </c>
      <c r="J3041" s="14" t="e">
        <f>=Round(0.00000000,0)</f>
        <v>#VALUE!</v>
      </c>
    </row>
    <row r="3042" ht="-1">
      <c r="A3042" s="15"/>
      <c r="B3042" s="16" t="s">
        <v>56</v>
      </c>
      <c r="C3042" s="15"/>
      <c r="D3042" s="15"/>
      <c r="E3042" s="15"/>
      <c r="F3042" s="15"/>
      <c r="G3042" s="15"/>
      <c r="H3042" s="15"/>
      <c r="I3042" s="17" t="e">
        <f>=Round(SUM(I3016:I3041),0)</f>
        <v>#VALUE!</v>
      </c>
      <c r="J3042" s="17" t="e">
        <f>=Round(SUM(J3016:J3041),0)</f>
        <v>#VALUE!</v>
      </c>
    </row>
    <row r="3043">
      <c r="A3043" s="1" t="s">
        <v>0</v>
      </c>
      <c r="B3043" s="1"/>
      <c r="C3043" s="1"/>
      <c r="D3043" s="1"/>
    </row>
    <row r="3044">
      <c r="A3044" s="0" t="s">
        <v>1</v>
      </c>
      <c r="C3044" s="0" t="s">
        <v>135</v>
      </c>
      <c r="H3044" s="2" t="s">
        <v>3</v>
      </c>
    </row>
    <row r="3045">
      <c r="A3045" s="0" t="s">
        <v>4</v>
      </c>
      <c r="C3045" s="0" t="s">
        <v>139</v>
      </c>
      <c r="H3045" s="3" t="s">
        <v>6</v>
      </c>
    </row>
    <row r="3046">
      <c r="A3046" s="0" t="s">
        <v>7</v>
      </c>
      <c r="C3046" s="4" t="s">
        <v>137</v>
      </c>
      <c r="H3046" s="2" t="s">
        <v>9</v>
      </c>
    </row>
    <row r="3047">
      <c r="A3047" s="0" t="s">
        <v>10</v>
      </c>
      <c r="C3047" s="4" t="s">
        <v>11</v>
      </c>
      <c r="H3047" s="2" t="s">
        <v>12</v>
      </c>
    </row>
    <row r="3048">
      <c r="A3048" s="0" t="s">
        <v>13</v>
      </c>
      <c r="C3048" s="0" t="s">
        <v>14</v>
      </c>
    </row>
    <row r="3049">
      <c r="A3049" s="0" t="s">
        <v>15</v>
      </c>
      <c r="C3049" s="0" t="s">
        <v>16</v>
      </c>
    </row>
    <row r="3050">
      <c r="A3050" s="0" t="s">
        <v>17</v>
      </c>
      <c r="C3050" s="0" t="s">
        <v>18</v>
      </c>
    </row>
    <row r="3053">
      <c r="A3053" s="5" t="s">
        <v>19</v>
      </c>
      <c r="B3053" s="5" t="s">
        <v>20</v>
      </c>
      <c r="C3053" s="7" t="s">
        <v>21</v>
      </c>
      <c r="D3053" s="9"/>
      <c r="E3053" s="7" t="s">
        <v>22</v>
      </c>
      <c r="F3053" s="9"/>
      <c r="G3053" s="5" t="s">
        <v>23</v>
      </c>
      <c r="H3053" s="5" t="s">
        <v>24</v>
      </c>
      <c r="I3053" s="5" t="s">
        <v>138</v>
      </c>
      <c r="J3053" s="5" t="s">
        <v>26</v>
      </c>
    </row>
    <row r="3054">
      <c r="A3054" s="6"/>
      <c r="B3054" s="6"/>
      <c r="C3054" s="8" t="s">
        <v>27</v>
      </c>
      <c r="D3054" s="8" t="s">
        <v>28</v>
      </c>
      <c r="E3054" s="8" t="s">
        <v>27</v>
      </c>
      <c r="F3054" s="8" t="s">
        <v>28</v>
      </c>
      <c r="G3054" s="6"/>
      <c r="H3054" s="6"/>
      <c r="I3054" s="10" t="s">
        <v>29</v>
      </c>
      <c r="J3054" s="6"/>
    </row>
    <row r="3055">
      <c r="A3055" s="11" t="s">
        <v>30</v>
      </c>
      <c r="B3055" s="12">
        <v>1106.364</v>
      </c>
      <c r="C3055" s="12">
        <v>0</v>
      </c>
      <c r="D3055" s="13">
        <v>0</v>
      </c>
      <c r="E3055" s="12">
        <v>0</v>
      </c>
      <c r="F3055" s="14">
        <v>0</v>
      </c>
      <c r="G3055" s="13">
        <v>971.8626</v>
      </c>
      <c r="H3055" s="14">
        <v>1075233.793586</v>
      </c>
      <c r="I3055" s="14" t="e">
        <f>=Round(81.28170000,0)</f>
        <v>#VALUE!</v>
      </c>
      <c r="J3055" s="14" t="e">
        <f>=Round(0.00000000,0)</f>
        <v>#VALUE!</v>
      </c>
    </row>
    <row r="3056">
      <c r="A3056" s="11" t="s">
        <v>31</v>
      </c>
      <c r="B3056" s="12">
        <v>1115.058</v>
      </c>
      <c r="C3056" s="12">
        <v>0</v>
      </c>
      <c r="D3056" s="13">
        <v>0</v>
      </c>
      <c r="E3056" s="12">
        <v>0</v>
      </c>
      <c r="F3056" s="14">
        <v>0</v>
      </c>
      <c r="G3056" s="13">
        <v>971.8626</v>
      </c>
      <c r="H3056" s="14">
        <v>1083683.167031</v>
      </c>
      <c r="I3056" s="14" t="e">
        <f>=Round(80.78940000,0)</f>
        <v>#VALUE!</v>
      </c>
      <c r="J3056" s="14" t="e">
        <f>=Round(0.00000000,0)</f>
        <v>#VALUE!</v>
      </c>
    </row>
    <row r="3057">
      <c r="A3057" s="11" t="s">
        <v>32</v>
      </c>
      <c r="B3057" s="12">
        <v>1123.214</v>
      </c>
      <c r="C3057" s="12">
        <v>0</v>
      </c>
      <c r="D3057" s="13">
        <v>0</v>
      </c>
      <c r="E3057" s="12">
        <v>0</v>
      </c>
      <c r="F3057" s="14">
        <v>0</v>
      </c>
      <c r="G3057" s="13">
        <v>971.8626</v>
      </c>
      <c r="H3057" s="14">
        <v>1091609.678396</v>
      </c>
      <c r="I3057" s="14" t="e">
        <f>=Round(81.42430000,0)</f>
        <v>#VALUE!</v>
      </c>
      <c r="J3057" s="14" t="e">
        <f>=Round(0.00000000,0)</f>
        <v>#VALUE!</v>
      </c>
    </row>
    <row r="3058">
      <c r="A3058" s="11" t="s">
        <v>33</v>
      </c>
      <c r="B3058" s="12">
        <v>1126.069</v>
      </c>
      <c r="C3058" s="12">
        <v>0</v>
      </c>
      <c r="D3058" s="13">
        <v>0</v>
      </c>
      <c r="E3058" s="12">
        <v>0</v>
      </c>
      <c r="F3058" s="14">
        <v>0</v>
      </c>
      <c r="G3058" s="13">
        <v>971.8626</v>
      </c>
      <c r="H3058" s="14">
        <v>1094384.346119</v>
      </c>
      <c r="I3058" s="14" t="e">
        <f>=Round(82.01990000,0)</f>
        <v>#VALUE!</v>
      </c>
      <c r="J3058" s="14" t="e">
        <f>=Round(0.00000000,0)</f>
        <v>#VALUE!</v>
      </c>
    </row>
    <row r="3059">
      <c r="A3059" s="11" t="s">
        <v>34</v>
      </c>
      <c r="B3059" s="12">
        <v>1129.718</v>
      </c>
      <c r="C3059" s="12">
        <v>0</v>
      </c>
      <c r="D3059" s="13">
        <v>0</v>
      </c>
      <c r="E3059" s="12">
        <v>0</v>
      </c>
      <c r="F3059" s="14">
        <v>0</v>
      </c>
      <c r="G3059" s="13">
        <v>971.8626</v>
      </c>
      <c r="H3059" s="14">
        <v>1097930.672747</v>
      </c>
      <c r="I3059" s="14" t="e">
        <f>=Round(82.22830000,0)</f>
        <v>#VALUE!</v>
      </c>
      <c r="J3059" s="14" t="e">
        <f>=Round(0.00000000,0)</f>
        <v>#VALUE!</v>
      </c>
    </row>
    <row r="3060">
      <c r="A3060" s="11" t="s">
        <v>35</v>
      </c>
      <c r="B3060" s="12">
        <v>1129.718</v>
      </c>
      <c r="C3060" s="12">
        <v>0</v>
      </c>
      <c r="D3060" s="13">
        <v>0</v>
      </c>
      <c r="E3060" s="12">
        <v>0</v>
      </c>
      <c r="F3060" s="14">
        <v>0</v>
      </c>
      <c r="G3060" s="13">
        <v>971.8626</v>
      </c>
      <c r="H3060" s="14">
        <v>1097930.672747</v>
      </c>
      <c r="I3060" s="14" t="e">
        <f>=Round(82.49480000,0)</f>
        <v>#VALUE!</v>
      </c>
      <c r="J3060" s="14" t="e">
        <f>=Round(0.00000000,0)</f>
        <v>#VALUE!</v>
      </c>
    </row>
    <row r="3061">
      <c r="A3061" s="11" t="s">
        <v>36</v>
      </c>
      <c r="B3061" s="12">
        <v>1129.718</v>
      </c>
      <c r="C3061" s="12">
        <v>0</v>
      </c>
      <c r="D3061" s="13">
        <v>0</v>
      </c>
      <c r="E3061" s="12">
        <v>0</v>
      </c>
      <c r="F3061" s="14">
        <v>0</v>
      </c>
      <c r="G3061" s="13">
        <v>971.8626</v>
      </c>
      <c r="H3061" s="14">
        <v>1097930.672747</v>
      </c>
      <c r="I3061" s="14" t="e">
        <f>=Round(82.49480000,0)</f>
        <v>#VALUE!</v>
      </c>
      <c r="J3061" s="14" t="e">
        <f>=Round(0.00000000,0)</f>
        <v>#VALUE!</v>
      </c>
    </row>
    <row r="3062">
      <c r="A3062" s="11" t="s">
        <v>37</v>
      </c>
      <c r="B3062" s="12">
        <v>1116.408</v>
      </c>
      <c r="C3062" s="12">
        <v>0</v>
      </c>
      <c r="D3062" s="13">
        <v>0</v>
      </c>
      <c r="E3062" s="12">
        <v>0</v>
      </c>
      <c r="F3062" s="14">
        <v>0</v>
      </c>
      <c r="G3062" s="13">
        <v>971.8626</v>
      </c>
      <c r="H3062" s="14">
        <v>1084995.181541</v>
      </c>
      <c r="I3062" s="14" t="e">
        <f>=Round(82.49480000,0)</f>
        <v>#VALUE!</v>
      </c>
      <c r="J3062" s="14" t="e">
        <f>=Round(0.00000000,0)</f>
        <v>#VALUE!</v>
      </c>
    </row>
    <row r="3063">
      <c r="A3063" s="11" t="s">
        <v>38</v>
      </c>
      <c r="B3063" s="12">
        <v>1113.311</v>
      </c>
      <c r="C3063" s="12">
        <v>0</v>
      </c>
      <c r="D3063" s="13">
        <v>0</v>
      </c>
      <c r="E3063" s="12">
        <v>0</v>
      </c>
      <c r="F3063" s="14">
        <v>0</v>
      </c>
      <c r="G3063" s="13">
        <v>971.8626</v>
      </c>
      <c r="H3063" s="14">
        <v>1081985.323069</v>
      </c>
      <c r="I3063" s="14" t="e">
        <f>=Round(81.52290000,0)</f>
        <v>#VALUE!</v>
      </c>
      <c r="J3063" s="14" t="e">
        <f>=Round(0.00000000,0)</f>
        <v>#VALUE!</v>
      </c>
    </row>
    <row r="3064">
      <c r="A3064" s="11" t="s">
        <v>39</v>
      </c>
      <c r="B3064" s="12">
        <v>1099.022</v>
      </c>
      <c r="C3064" s="12">
        <v>0</v>
      </c>
      <c r="D3064" s="13">
        <v>0</v>
      </c>
      <c r="E3064" s="12">
        <v>0</v>
      </c>
      <c r="F3064" s="14">
        <v>0</v>
      </c>
      <c r="G3064" s="13">
        <v>971.8626</v>
      </c>
      <c r="H3064" s="14">
        <v>1068098.378377</v>
      </c>
      <c r="I3064" s="14" t="e">
        <f>=Round(81.29670000,0)</f>
        <v>#VALUE!</v>
      </c>
      <c r="J3064" s="14" t="e">
        <f>=Round(0.00000000,0)</f>
        <v>#VALUE!</v>
      </c>
    </row>
    <row r="3065">
      <c r="A3065" s="11" t="s">
        <v>40</v>
      </c>
      <c r="B3065" s="12">
        <v>1089.065</v>
      </c>
      <c r="C3065" s="12">
        <v>0</v>
      </c>
      <c r="D3065" s="13">
        <v>0</v>
      </c>
      <c r="E3065" s="12">
        <v>0</v>
      </c>
      <c r="F3065" s="14">
        <v>0</v>
      </c>
      <c r="G3065" s="13">
        <v>971.8626</v>
      </c>
      <c r="H3065" s="14">
        <v>1058421.542469</v>
      </c>
      <c r="I3065" s="14" t="e">
        <f>=Round(80.25330000,0)</f>
        <v>#VALUE!</v>
      </c>
      <c r="J3065" s="14" t="e">
        <f>=Round(0.00000000,0)</f>
        <v>#VALUE!</v>
      </c>
    </row>
    <row r="3066">
      <c r="A3066" s="11" t="s">
        <v>41</v>
      </c>
      <c r="B3066" s="12">
        <v>1091.855</v>
      </c>
      <c r="C3066" s="12">
        <v>0</v>
      </c>
      <c r="D3066" s="13">
        <v>0</v>
      </c>
      <c r="E3066" s="12">
        <v>0</v>
      </c>
      <c r="F3066" s="14">
        <v>0</v>
      </c>
      <c r="G3066" s="13">
        <v>971.8626</v>
      </c>
      <c r="H3066" s="14">
        <v>1061133.039123</v>
      </c>
      <c r="I3066" s="14" t="e">
        <f>=Round(79.52620000,0)</f>
        <v>#VALUE!</v>
      </c>
      <c r="J3066" s="14" t="e">
        <f>=Round(0.00000000,0)</f>
        <v>#VALUE!</v>
      </c>
    </row>
    <row r="3067">
      <c r="A3067" s="11" t="s">
        <v>42</v>
      </c>
      <c r="B3067" s="12">
        <v>1091.855</v>
      </c>
      <c r="C3067" s="12">
        <v>0</v>
      </c>
      <c r="D3067" s="13">
        <v>0</v>
      </c>
      <c r="E3067" s="12">
        <v>0</v>
      </c>
      <c r="F3067" s="14">
        <v>0</v>
      </c>
      <c r="G3067" s="13">
        <v>971.8626</v>
      </c>
      <c r="H3067" s="14">
        <v>1061133.039123</v>
      </c>
      <c r="I3067" s="14" t="e">
        <f>=Round(79.72990000,0)</f>
        <v>#VALUE!</v>
      </c>
      <c r="J3067" s="14" t="e">
        <f>=Round(0.00000000,0)</f>
        <v>#VALUE!</v>
      </c>
    </row>
    <row r="3068">
      <c r="A3068" s="11" t="s">
        <v>43</v>
      </c>
      <c r="B3068" s="12">
        <v>1091.855</v>
      </c>
      <c r="C3068" s="12">
        <v>0</v>
      </c>
      <c r="D3068" s="13">
        <v>0</v>
      </c>
      <c r="E3068" s="12">
        <v>0</v>
      </c>
      <c r="F3068" s="14">
        <v>0</v>
      </c>
      <c r="G3068" s="13">
        <v>971.8626</v>
      </c>
      <c r="H3068" s="14">
        <v>1061133.039123</v>
      </c>
      <c r="I3068" s="14" t="e">
        <f>=Round(79.72990000,0)</f>
        <v>#VALUE!</v>
      </c>
      <c r="J3068" s="14" t="e">
        <f>=Round(0.00000000,0)</f>
        <v>#VALUE!</v>
      </c>
    </row>
    <row r="3069">
      <c r="A3069" s="11" t="s">
        <v>44</v>
      </c>
      <c r="B3069" s="12">
        <v>1092.609</v>
      </c>
      <c r="C3069" s="12">
        <v>0</v>
      </c>
      <c r="D3069" s="13">
        <v>0</v>
      </c>
      <c r="E3069" s="12">
        <v>0</v>
      </c>
      <c r="F3069" s="14">
        <v>0</v>
      </c>
      <c r="G3069" s="13">
        <v>971.8626</v>
      </c>
      <c r="H3069" s="14">
        <v>1061865.823523</v>
      </c>
      <c r="I3069" s="14" t="e">
        <f>=Round(79.72990000,0)</f>
        <v>#VALUE!</v>
      </c>
      <c r="J3069" s="14" t="e">
        <f>=Round(0.00000000,0)</f>
        <v>#VALUE!</v>
      </c>
    </row>
    <row r="3070">
      <c r="A3070" s="11" t="s">
        <v>45</v>
      </c>
      <c r="B3070" s="12">
        <v>1098.159</v>
      </c>
      <c r="C3070" s="12">
        <v>0</v>
      </c>
      <c r="D3070" s="13">
        <v>0</v>
      </c>
      <c r="E3070" s="12">
        <v>0</v>
      </c>
      <c r="F3070" s="14">
        <v>0</v>
      </c>
      <c r="G3070" s="13">
        <v>971.8626</v>
      </c>
      <c r="H3070" s="14">
        <v>1067259.660953</v>
      </c>
      <c r="I3070" s="14" t="e">
        <f>=Round(79.78500000,0)</f>
        <v>#VALUE!</v>
      </c>
      <c r="J3070" s="14" t="e">
        <f>=Round(0.00000000,0)</f>
        <v>#VALUE!</v>
      </c>
    </row>
    <row r="3071">
      <c r="A3071" s="11" t="s">
        <v>46</v>
      </c>
      <c r="B3071" s="12">
        <v>1108.258</v>
      </c>
      <c r="C3071" s="12">
        <v>0</v>
      </c>
      <c r="D3071" s="13">
        <v>0</v>
      </c>
      <c r="E3071" s="12">
        <v>0</v>
      </c>
      <c r="F3071" s="14">
        <v>0</v>
      </c>
      <c r="G3071" s="13">
        <v>971.8626</v>
      </c>
      <c r="H3071" s="14">
        <v>1077074.501351</v>
      </c>
      <c r="I3071" s="14" t="e">
        <f>=Round(80.19030000,0)</f>
        <v>#VALUE!</v>
      </c>
      <c r="J3071" s="14" t="e">
        <f>=Round(0.00000000,0)</f>
        <v>#VALUE!</v>
      </c>
    </row>
    <row r="3072">
      <c r="A3072" s="11" t="s">
        <v>47</v>
      </c>
      <c r="B3072" s="12">
        <v>1111.48</v>
      </c>
      <c r="C3072" s="12">
        <v>0</v>
      </c>
      <c r="D3072" s="13">
        <v>0</v>
      </c>
      <c r="E3072" s="12">
        <v>0</v>
      </c>
      <c r="F3072" s="14">
        <v>0</v>
      </c>
      <c r="G3072" s="13">
        <v>971.8626</v>
      </c>
      <c r="H3072" s="14">
        <v>1080205.842648</v>
      </c>
      <c r="I3072" s="14" t="e">
        <f>=Round(80.92770000,0)</f>
        <v>#VALUE!</v>
      </c>
      <c r="J3072" s="14" t="e">
        <f>=Round(0.00000000,0)</f>
        <v>#VALUE!</v>
      </c>
    </row>
    <row r="3073">
      <c r="A3073" s="11" t="s">
        <v>48</v>
      </c>
      <c r="B3073" s="12">
        <v>1096.362</v>
      </c>
      <c r="C3073" s="12">
        <v>0</v>
      </c>
      <c r="D3073" s="13">
        <v>0</v>
      </c>
      <c r="E3073" s="12">
        <v>0</v>
      </c>
      <c r="F3073" s="14">
        <v>0</v>
      </c>
      <c r="G3073" s="13">
        <v>971.8626</v>
      </c>
      <c r="H3073" s="14">
        <v>1065513.223861</v>
      </c>
      <c r="I3073" s="14" t="e">
        <f>=Round(81.16300000,0)</f>
        <v>#VALUE!</v>
      </c>
      <c r="J3073" s="14" t="e">
        <f>=Round(0.00000000,0)</f>
        <v>#VALUE!</v>
      </c>
    </row>
    <row r="3074">
      <c r="A3074" s="11" t="s">
        <v>49</v>
      </c>
      <c r="B3074" s="12">
        <v>1096.362</v>
      </c>
      <c r="C3074" s="12">
        <v>0</v>
      </c>
      <c r="D3074" s="13">
        <v>0</v>
      </c>
      <c r="E3074" s="12">
        <v>0</v>
      </c>
      <c r="F3074" s="14">
        <v>0</v>
      </c>
      <c r="G3074" s="13">
        <v>971.8626</v>
      </c>
      <c r="H3074" s="14">
        <v>1065513.223861</v>
      </c>
      <c r="I3074" s="14" t="e">
        <f>=Round(80.05910000,0)</f>
        <v>#VALUE!</v>
      </c>
      <c r="J3074" s="14" t="e">
        <f>=Round(0.00000000,0)</f>
        <v>#VALUE!</v>
      </c>
    </row>
    <row r="3075">
      <c r="A3075" s="11" t="s">
        <v>50</v>
      </c>
      <c r="B3075" s="12">
        <v>1096.362</v>
      </c>
      <c r="C3075" s="12">
        <v>0</v>
      </c>
      <c r="D3075" s="13">
        <v>0</v>
      </c>
      <c r="E3075" s="12">
        <v>0</v>
      </c>
      <c r="F3075" s="14">
        <v>0</v>
      </c>
      <c r="G3075" s="13">
        <v>971.8626</v>
      </c>
      <c r="H3075" s="14">
        <v>1065513.223861</v>
      </c>
      <c r="I3075" s="14" t="e">
        <f>=Round(80.05910000,0)</f>
        <v>#VALUE!</v>
      </c>
      <c r="J3075" s="14" t="e">
        <f>=Round(0.00000000,0)</f>
        <v>#VALUE!</v>
      </c>
    </row>
    <row r="3076">
      <c r="A3076" s="11" t="s">
        <v>51</v>
      </c>
      <c r="B3076" s="12">
        <v>1075.057</v>
      </c>
      <c r="C3076" s="12">
        <v>0</v>
      </c>
      <c r="D3076" s="13">
        <v>0</v>
      </c>
      <c r="E3076" s="12">
        <v>0</v>
      </c>
      <c r="F3076" s="14">
        <v>0</v>
      </c>
      <c r="G3076" s="13">
        <v>971.8626</v>
      </c>
      <c r="H3076" s="14">
        <v>1044807.691168</v>
      </c>
      <c r="I3076" s="14" t="e">
        <f>=Round(80.05910000,0)</f>
        <v>#VALUE!</v>
      </c>
      <c r="J3076" s="14" t="e">
        <f>=Round(0.00000000,0)</f>
        <v>#VALUE!</v>
      </c>
    </row>
    <row r="3077">
      <c r="A3077" s="11" t="s">
        <v>52</v>
      </c>
      <c r="B3077" s="12">
        <v>1077.622</v>
      </c>
      <c r="C3077" s="12">
        <v>0</v>
      </c>
      <c r="D3077" s="13">
        <v>0</v>
      </c>
      <c r="E3077" s="12">
        <v>0</v>
      </c>
      <c r="F3077" s="14">
        <v>0</v>
      </c>
      <c r="G3077" s="13">
        <v>971.8626</v>
      </c>
      <c r="H3077" s="14">
        <v>1047300.518737</v>
      </c>
      <c r="I3077" s="14" t="e">
        <f>=Round(78.50330000,0)</f>
        <v>#VALUE!</v>
      </c>
      <c r="J3077" s="14" t="e">
        <f>=Round(0.00000000,0)</f>
        <v>#VALUE!</v>
      </c>
    </row>
    <row r="3078">
      <c r="A3078" s="11" t="s">
        <v>53</v>
      </c>
      <c r="B3078" s="12">
        <v>1058.551</v>
      </c>
      <c r="C3078" s="12">
        <v>0</v>
      </c>
      <c r="D3078" s="13">
        <v>0</v>
      </c>
      <c r="E3078" s="12">
        <v>0</v>
      </c>
      <c r="F3078" s="14">
        <v>0</v>
      </c>
      <c r="G3078" s="13">
        <v>971.8626</v>
      </c>
      <c r="H3078" s="14">
        <v>1028766.127093</v>
      </c>
      <c r="I3078" s="14" t="e">
        <f>=Round(78.69060000,0)</f>
        <v>#VALUE!</v>
      </c>
      <c r="J3078" s="14" t="e">
        <f>=Round(0.00000000,0)</f>
        <v>#VALUE!</v>
      </c>
    </row>
    <row r="3079">
      <c r="A3079" s="11" t="s">
        <v>54</v>
      </c>
      <c r="B3079" s="12">
        <v>1031.607</v>
      </c>
      <c r="C3079" s="12">
        <v>0</v>
      </c>
      <c r="D3079" s="13">
        <v>0</v>
      </c>
      <c r="E3079" s="12">
        <v>0</v>
      </c>
      <c r="F3079" s="14">
        <v>0</v>
      </c>
      <c r="G3079" s="13">
        <v>971.8626</v>
      </c>
      <c r="H3079" s="14">
        <v>1002580.261198</v>
      </c>
      <c r="I3079" s="14" t="e">
        <f>=Round(77.29800000,0)</f>
        <v>#VALUE!</v>
      </c>
      <c r="J3079" s="14" t="e">
        <f>=Round(0.00000000,0)</f>
        <v>#VALUE!</v>
      </c>
    </row>
    <row r="3080">
      <c r="A3080" s="11" t="s">
        <v>55</v>
      </c>
      <c r="B3080" s="12">
        <v>1012.7</v>
      </c>
      <c r="C3080" s="12">
        <v>0</v>
      </c>
      <c r="D3080" s="13">
        <v>0</v>
      </c>
      <c r="E3080" s="12">
        <v>0</v>
      </c>
      <c r="F3080" s="14">
        <v>0</v>
      </c>
      <c r="G3080" s="13">
        <v>971.8626</v>
      </c>
      <c r="H3080" s="14">
        <v>984205.25502</v>
      </c>
      <c r="I3080" s="14" t="e">
        <f>=Round(75.33050000,0)</f>
        <v>#VALUE!</v>
      </c>
      <c r="J3080" s="14" t="e">
        <f>=Round(0.00000000,0)</f>
        <v>#VALUE!</v>
      </c>
    </row>
    <row r="3081" ht="-1">
      <c r="A3081" s="15"/>
      <c r="B3081" s="16" t="s">
        <v>56</v>
      </c>
      <c r="C3081" s="15"/>
      <c r="D3081" s="15"/>
      <c r="E3081" s="15"/>
      <c r="F3081" s="15"/>
      <c r="G3081" s="15"/>
      <c r="H3081" s="15"/>
      <c r="I3081" s="17" t="e">
        <f>=Round(SUM(I3055:I3080),0)</f>
        <v>#VALUE!</v>
      </c>
      <c r="J3081" s="17" t="e">
        <f>=Round(SUM(J3055:J3080),0)</f>
        <v>#VALUE!</v>
      </c>
    </row>
    <row r="3082">
      <c r="A3082" s="1" t="s">
        <v>0</v>
      </c>
      <c r="B3082" s="1"/>
      <c r="C3082" s="1"/>
      <c r="D3082" s="1"/>
    </row>
    <row r="3083">
      <c r="A3083" s="0" t="s">
        <v>1</v>
      </c>
      <c r="C3083" s="0" t="s">
        <v>135</v>
      </c>
      <c r="H3083" s="2" t="s">
        <v>3</v>
      </c>
    </row>
    <row r="3084">
      <c r="A3084" s="0" t="s">
        <v>4</v>
      </c>
      <c r="C3084" s="0" t="s">
        <v>140</v>
      </c>
      <c r="H3084" s="3" t="s">
        <v>6</v>
      </c>
    </row>
    <row r="3085">
      <c r="A3085" s="0" t="s">
        <v>7</v>
      </c>
      <c r="C3085" s="4" t="s">
        <v>137</v>
      </c>
      <c r="H3085" s="2" t="s">
        <v>9</v>
      </c>
    </row>
    <row r="3086">
      <c r="A3086" s="0" t="s">
        <v>10</v>
      </c>
      <c r="C3086" s="4" t="s">
        <v>11</v>
      </c>
      <c r="H3086" s="2" t="s">
        <v>12</v>
      </c>
    </row>
    <row r="3087">
      <c r="A3087" s="0" t="s">
        <v>13</v>
      </c>
      <c r="C3087" s="0" t="s">
        <v>14</v>
      </c>
    </row>
    <row r="3088">
      <c r="A3088" s="0" t="s">
        <v>15</v>
      </c>
      <c r="C3088" s="0" t="s">
        <v>16</v>
      </c>
    </row>
    <row r="3089">
      <c r="A3089" s="0" t="s">
        <v>17</v>
      </c>
      <c r="C3089" s="0" t="s">
        <v>18</v>
      </c>
    </row>
    <row r="3092">
      <c r="A3092" s="5" t="s">
        <v>19</v>
      </c>
      <c r="B3092" s="5" t="s">
        <v>20</v>
      </c>
      <c r="C3092" s="7" t="s">
        <v>21</v>
      </c>
      <c r="D3092" s="9"/>
      <c r="E3092" s="7" t="s">
        <v>22</v>
      </c>
      <c r="F3092" s="9"/>
      <c r="G3092" s="5" t="s">
        <v>23</v>
      </c>
      <c r="H3092" s="5" t="s">
        <v>24</v>
      </c>
      <c r="I3092" s="5" t="s">
        <v>138</v>
      </c>
      <c r="J3092" s="5" t="s">
        <v>26</v>
      </c>
    </row>
    <row r="3093">
      <c r="A3093" s="6"/>
      <c r="B3093" s="6"/>
      <c r="C3093" s="8" t="s">
        <v>27</v>
      </c>
      <c r="D3093" s="8" t="s">
        <v>28</v>
      </c>
      <c r="E3093" s="8" t="s">
        <v>27</v>
      </c>
      <c r="F3093" s="8" t="s">
        <v>28</v>
      </c>
      <c r="G3093" s="6"/>
      <c r="H3093" s="6"/>
      <c r="I3093" s="10" t="s">
        <v>29</v>
      </c>
      <c r="J3093" s="6"/>
    </row>
    <row r="3094">
      <c r="A3094" s="11" t="s">
        <v>30</v>
      </c>
      <c r="B3094" s="12">
        <v>1106.364</v>
      </c>
      <c r="C3094" s="12">
        <v>0</v>
      </c>
      <c r="D3094" s="13">
        <v>0</v>
      </c>
      <c r="E3094" s="12">
        <v>0</v>
      </c>
      <c r="F3094" s="14">
        <v>0</v>
      </c>
      <c r="G3094" s="13">
        <v>10000.54</v>
      </c>
      <c r="H3094" s="14">
        <v>11064237.43656</v>
      </c>
      <c r="I3094" s="14" t="e">
        <f>=Round(836.39530000,0)</f>
        <v>#VALUE!</v>
      </c>
      <c r="J3094" s="14" t="e">
        <f>=Round(0.00000000,0)</f>
        <v>#VALUE!</v>
      </c>
    </row>
    <row r="3095">
      <c r="A3095" s="11" t="s">
        <v>31</v>
      </c>
      <c r="B3095" s="12">
        <v>1115.058</v>
      </c>
      <c r="C3095" s="12">
        <v>0</v>
      </c>
      <c r="D3095" s="13">
        <v>0</v>
      </c>
      <c r="E3095" s="12">
        <v>0</v>
      </c>
      <c r="F3095" s="14">
        <v>0</v>
      </c>
      <c r="G3095" s="13">
        <v>10000.54</v>
      </c>
      <c r="H3095" s="14">
        <v>11151182.13132</v>
      </c>
      <c r="I3095" s="14" t="e">
        <f>=Round(831.32930000,0)</f>
        <v>#VALUE!</v>
      </c>
      <c r="J3095" s="14" t="e">
        <f>=Round(0.00000000,0)</f>
        <v>#VALUE!</v>
      </c>
    </row>
    <row r="3096">
      <c r="A3096" s="11" t="s">
        <v>32</v>
      </c>
      <c r="B3096" s="12">
        <v>1123.214</v>
      </c>
      <c r="C3096" s="12">
        <v>0</v>
      </c>
      <c r="D3096" s="13">
        <v>0</v>
      </c>
      <c r="E3096" s="12">
        <v>0</v>
      </c>
      <c r="F3096" s="14">
        <v>0</v>
      </c>
      <c r="G3096" s="13">
        <v>10000.54</v>
      </c>
      <c r="H3096" s="14">
        <v>11232746.53556</v>
      </c>
      <c r="I3096" s="14" t="e">
        <f>=Round(837.86200000,0)</f>
        <v>#VALUE!</v>
      </c>
      <c r="J3096" s="14" t="e">
        <f>=Round(0.00000000,0)</f>
        <v>#VALUE!</v>
      </c>
    </row>
    <row r="3097">
      <c r="A3097" s="11" t="s">
        <v>33</v>
      </c>
      <c r="B3097" s="12">
        <v>1126.069</v>
      </c>
      <c r="C3097" s="12">
        <v>0</v>
      </c>
      <c r="D3097" s="13">
        <v>0</v>
      </c>
      <c r="E3097" s="12">
        <v>0</v>
      </c>
      <c r="F3097" s="14">
        <v>0</v>
      </c>
      <c r="G3097" s="13">
        <v>10000.54</v>
      </c>
      <c r="H3097" s="14">
        <v>11261298.07726</v>
      </c>
      <c r="I3097" s="14" t="e">
        <f>=Round(843.99050000,0)</f>
        <v>#VALUE!</v>
      </c>
      <c r="J3097" s="14" t="e">
        <f>=Round(0.00000000,0)</f>
        <v>#VALUE!</v>
      </c>
    </row>
    <row r="3098">
      <c r="A3098" s="11" t="s">
        <v>34</v>
      </c>
      <c r="B3098" s="12">
        <v>1129.718</v>
      </c>
      <c r="C3098" s="12">
        <v>0</v>
      </c>
      <c r="D3098" s="13">
        <v>0</v>
      </c>
      <c r="E3098" s="12">
        <v>0</v>
      </c>
      <c r="F3098" s="14">
        <v>0</v>
      </c>
      <c r="G3098" s="13">
        <v>10000.54</v>
      </c>
      <c r="H3098" s="14">
        <v>11297790.04772</v>
      </c>
      <c r="I3098" s="14" t="e">
        <f>=Round(846.13580000,0)</f>
        <v>#VALUE!</v>
      </c>
      <c r="J3098" s="14" t="e">
        <f>=Round(0.00000000,0)</f>
        <v>#VALUE!</v>
      </c>
    </row>
    <row r="3099">
      <c r="A3099" s="11" t="s">
        <v>35</v>
      </c>
      <c r="B3099" s="12">
        <v>1129.718</v>
      </c>
      <c r="C3099" s="12">
        <v>0</v>
      </c>
      <c r="D3099" s="13">
        <v>0</v>
      </c>
      <c r="E3099" s="12">
        <v>0</v>
      </c>
      <c r="F3099" s="14">
        <v>0</v>
      </c>
      <c r="G3099" s="13">
        <v>10000.54</v>
      </c>
      <c r="H3099" s="14">
        <v>11297790.04772</v>
      </c>
      <c r="I3099" s="14" t="e">
        <f>=Round(848.87770000,0)</f>
        <v>#VALUE!</v>
      </c>
      <c r="J3099" s="14" t="e">
        <f>=Round(0.00000000,0)</f>
        <v>#VALUE!</v>
      </c>
    </row>
    <row r="3100">
      <c r="A3100" s="11" t="s">
        <v>36</v>
      </c>
      <c r="B3100" s="12">
        <v>1129.718</v>
      </c>
      <c r="C3100" s="12">
        <v>0</v>
      </c>
      <c r="D3100" s="13">
        <v>0</v>
      </c>
      <c r="E3100" s="12">
        <v>0</v>
      </c>
      <c r="F3100" s="14">
        <v>0</v>
      </c>
      <c r="G3100" s="13">
        <v>10000.54</v>
      </c>
      <c r="H3100" s="14">
        <v>11297790.04772</v>
      </c>
      <c r="I3100" s="14" t="e">
        <f>=Round(848.87770000,0)</f>
        <v>#VALUE!</v>
      </c>
      <c r="J3100" s="14" t="e">
        <f>=Round(0.00000000,0)</f>
        <v>#VALUE!</v>
      </c>
    </row>
    <row r="3101">
      <c r="A3101" s="11" t="s">
        <v>37</v>
      </c>
      <c r="B3101" s="12">
        <v>1116.408</v>
      </c>
      <c r="C3101" s="12">
        <v>0</v>
      </c>
      <c r="D3101" s="13">
        <v>0</v>
      </c>
      <c r="E3101" s="12">
        <v>0</v>
      </c>
      <c r="F3101" s="14">
        <v>0</v>
      </c>
      <c r="G3101" s="13">
        <v>10000.54</v>
      </c>
      <c r="H3101" s="14">
        <v>11164682.86032</v>
      </c>
      <c r="I3101" s="14" t="e">
        <f>=Round(848.87770000,0)</f>
        <v>#VALUE!</v>
      </c>
      <c r="J3101" s="14" t="e">
        <f>=Round(0.00000000,0)</f>
        <v>#VALUE!</v>
      </c>
    </row>
    <row r="3102">
      <c r="A3102" s="11" t="s">
        <v>38</v>
      </c>
      <c r="B3102" s="12">
        <v>1113.311</v>
      </c>
      <c r="C3102" s="12">
        <v>0</v>
      </c>
      <c r="D3102" s="13">
        <v>0</v>
      </c>
      <c r="E3102" s="12">
        <v>0</v>
      </c>
      <c r="F3102" s="14">
        <v>0</v>
      </c>
      <c r="G3102" s="13">
        <v>10000.54</v>
      </c>
      <c r="H3102" s="14">
        <v>11133711.18794</v>
      </c>
      <c r="I3102" s="14" t="e">
        <f>=Round(838.87640000,0)</f>
        <v>#VALUE!</v>
      </c>
      <c r="J3102" s="14" t="e">
        <f>=Round(0.00000000,0)</f>
        <v>#VALUE!</v>
      </c>
    </row>
    <row r="3103">
      <c r="A3103" s="11" t="s">
        <v>39</v>
      </c>
      <c r="B3103" s="12">
        <v>1099.022</v>
      </c>
      <c r="C3103" s="12">
        <v>0</v>
      </c>
      <c r="D3103" s="13">
        <v>0</v>
      </c>
      <c r="E3103" s="12">
        <v>0</v>
      </c>
      <c r="F3103" s="14">
        <v>0</v>
      </c>
      <c r="G3103" s="13">
        <v>10000.54</v>
      </c>
      <c r="H3103" s="14">
        <v>10990813.47188</v>
      </c>
      <c r="I3103" s="14" t="e">
        <f>=Round(836.54930000,0)</f>
        <v>#VALUE!</v>
      </c>
      <c r="J3103" s="14" t="e">
        <f>=Round(0.00000000,0)</f>
        <v>#VALUE!</v>
      </c>
    </row>
    <row r="3104">
      <c r="A3104" s="11" t="s">
        <v>40</v>
      </c>
      <c r="B3104" s="12">
        <v>1089.065</v>
      </c>
      <c r="C3104" s="12">
        <v>0</v>
      </c>
      <c r="D3104" s="13">
        <v>0</v>
      </c>
      <c r="E3104" s="12">
        <v>0</v>
      </c>
      <c r="F3104" s="14">
        <v>0</v>
      </c>
      <c r="G3104" s="13">
        <v>10000.54</v>
      </c>
      <c r="H3104" s="14">
        <v>10891238.0951</v>
      </c>
      <c r="I3104" s="14" t="e">
        <f>=Round(825.81250000,0)</f>
        <v>#VALUE!</v>
      </c>
      <c r="J3104" s="14" t="e">
        <f>=Round(0.00000000,0)</f>
        <v>#VALUE!</v>
      </c>
    </row>
    <row r="3105">
      <c r="A3105" s="11" t="s">
        <v>41</v>
      </c>
      <c r="B3105" s="12">
        <v>1091.855</v>
      </c>
      <c r="C3105" s="12">
        <v>0</v>
      </c>
      <c r="D3105" s="13">
        <v>0</v>
      </c>
      <c r="E3105" s="12">
        <v>0</v>
      </c>
      <c r="F3105" s="14">
        <v>0</v>
      </c>
      <c r="G3105" s="13">
        <v>10000.54</v>
      </c>
      <c r="H3105" s="14">
        <v>10919139.6017</v>
      </c>
      <c r="I3105" s="14" t="e">
        <f>=Round(818.33070000,0)</f>
        <v>#VALUE!</v>
      </c>
      <c r="J3105" s="14" t="e">
        <f>=Round(0.00000000,0)</f>
        <v>#VALUE!</v>
      </c>
    </row>
    <row r="3106">
      <c r="A3106" s="11" t="s">
        <v>42</v>
      </c>
      <c r="B3106" s="12">
        <v>1091.855</v>
      </c>
      <c r="C3106" s="12">
        <v>0</v>
      </c>
      <c r="D3106" s="13">
        <v>0</v>
      </c>
      <c r="E3106" s="12">
        <v>0</v>
      </c>
      <c r="F3106" s="14">
        <v>0</v>
      </c>
      <c r="G3106" s="13">
        <v>10000.54</v>
      </c>
      <c r="H3106" s="14">
        <v>10919139.6017</v>
      </c>
      <c r="I3106" s="14" t="e">
        <f>=Round(820.42720000,0)</f>
        <v>#VALUE!</v>
      </c>
      <c r="J3106" s="14" t="e">
        <f>=Round(0.00000000,0)</f>
        <v>#VALUE!</v>
      </c>
    </row>
    <row r="3107">
      <c r="A3107" s="11" t="s">
        <v>43</v>
      </c>
      <c r="B3107" s="12">
        <v>1091.855</v>
      </c>
      <c r="C3107" s="12">
        <v>0</v>
      </c>
      <c r="D3107" s="13">
        <v>0</v>
      </c>
      <c r="E3107" s="12">
        <v>0</v>
      </c>
      <c r="F3107" s="14">
        <v>0</v>
      </c>
      <c r="G3107" s="13">
        <v>10000.54</v>
      </c>
      <c r="H3107" s="14">
        <v>10919139.6017</v>
      </c>
      <c r="I3107" s="14" t="e">
        <f>=Round(820.42720000,0)</f>
        <v>#VALUE!</v>
      </c>
      <c r="J3107" s="14" t="e">
        <f>=Round(0.00000000,0)</f>
        <v>#VALUE!</v>
      </c>
    </row>
    <row r="3108">
      <c r="A3108" s="11" t="s">
        <v>44</v>
      </c>
      <c r="B3108" s="12">
        <v>1092.609</v>
      </c>
      <c r="C3108" s="12">
        <v>0</v>
      </c>
      <c r="D3108" s="13">
        <v>0</v>
      </c>
      <c r="E3108" s="12">
        <v>0</v>
      </c>
      <c r="F3108" s="14">
        <v>0</v>
      </c>
      <c r="G3108" s="13">
        <v>10000.54</v>
      </c>
      <c r="H3108" s="14">
        <v>10926680.00886</v>
      </c>
      <c r="I3108" s="14" t="e">
        <f>=Round(820.42720000,0)</f>
        <v>#VALUE!</v>
      </c>
      <c r="J3108" s="14" t="e">
        <f>=Round(0.00000000,0)</f>
        <v>#VALUE!</v>
      </c>
    </row>
    <row r="3109">
      <c r="A3109" s="11" t="s">
        <v>45</v>
      </c>
      <c r="B3109" s="12">
        <v>1098.159</v>
      </c>
      <c r="C3109" s="12">
        <v>0</v>
      </c>
      <c r="D3109" s="13">
        <v>0</v>
      </c>
      <c r="E3109" s="12">
        <v>0</v>
      </c>
      <c r="F3109" s="14">
        <v>0</v>
      </c>
      <c r="G3109" s="13">
        <v>10000.54</v>
      </c>
      <c r="H3109" s="14">
        <v>10982183.00586</v>
      </c>
      <c r="I3109" s="14" t="e">
        <f>=Round(820.99370000,0)</f>
        <v>#VALUE!</v>
      </c>
      <c r="J3109" s="14" t="e">
        <f>=Round(0.00000000,0)</f>
        <v>#VALUE!</v>
      </c>
    </row>
    <row r="3110">
      <c r="A3110" s="11" t="s">
        <v>46</v>
      </c>
      <c r="B3110" s="12">
        <v>1108.258</v>
      </c>
      <c r="C3110" s="12">
        <v>0</v>
      </c>
      <c r="D3110" s="13">
        <v>0</v>
      </c>
      <c r="E3110" s="12">
        <v>0</v>
      </c>
      <c r="F3110" s="14">
        <v>0</v>
      </c>
      <c r="G3110" s="13">
        <v>10000.54</v>
      </c>
      <c r="H3110" s="14">
        <v>11083178.45932</v>
      </c>
      <c r="I3110" s="14" t="e">
        <f>=Round(825.16400000,0)</f>
        <v>#VALUE!</v>
      </c>
      <c r="J3110" s="14" t="e">
        <f>=Round(0.00000000,0)</f>
        <v>#VALUE!</v>
      </c>
    </row>
    <row r="3111">
      <c r="A3111" s="11" t="s">
        <v>47</v>
      </c>
      <c r="B3111" s="12">
        <v>1111.48</v>
      </c>
      <c r="C3111" s="12">
        <v>0</v>
      </c>
      <c r="D3111" s="13">
        <v>0</v>
      </c>
      <c r="E3111" s="12">
        <v>0</v>
      </c>
      <c r="F3111" s="14">
        <v>0</v>
      </c>
      <c r="G3111" s="13">
        <v>10000.54</v>
      </c>
      <c r="H3111" s="14">
        <v>11115400.1992</v>
      </c>
      <c r="I3111" s="14" t="e">
        <f>=Round(832.75250000,0)</f>
        <v>#VALUE!</v>
      </c>
      <c r="J3111" s="14" t="e">
        <f>=Round(0.00000000,0)</f>
        <v>#VALUE!</v>
      </c>
    </row>
    <row r="3112">
      <c r="A3112" s="11" t="s">
        <v>48</v>
      </c>
      <c r="B3112" s="12">
        <v>1096.362</v>
      </c>
      <c r="C3112" s="12">
        <v>0</v>
      </c>
      <c r="D3112" s="13">
        <v>0</v>
      </c>
      <c r="E3112" s="12">
        <v>0</v>
      </c>
      <c r="F3112" s="14">
        <v>0</v>
      </c>
      <c r="G3112" s="13">
        <v>10000.54</v>
      </c>
      <c r="H3112" s="14">
        <v>10964212.03548</v>
      </c>
      <c r="I3112" s="14" t="e">
        <f>=Round(835.17350000,0)</f>
        <v>#VALUE!</v>
      </c>
      <c r="J3112" s="14" t="e">
        <f>=Round(0.00000000,0)</f>
        <v>#VALUE!</v>
      </c>
    </row>
    <row r="3113">
      <c r="A3113" s="11" t="s">
        <v>49</v>
      </c>
      <c r="B3113" s="12">
        <v>1096.362</v>
      </c>
      <c r="C3113" s="12">
        <v>0</v>
      </c>
      <c r="D3113" s="13">
        <v>0</v>
      </c>
      <c r="E3113" s="12">
        <v>0</v>
      </c>
      <c r="F3113" s="14">
        <v>0</v>
      </c>
      <c r="G3113" s="13">
        <v>10000.54</v>
      </c>
      <c r="H3113" s="14">
        <v>10964212.03548</v>
      </c>
      <c r="I3113" s="14" t="e">
        <f>=Round(823.81370000,0)</f>
        <v>#VALUE!</v>
      </c>
      <c r="J3113" s="14" t="e">
        <f>=Round(0.00000000,0)</f>
        <v>#VALUE!</v>
      </c>
    </row>
    <row r="3114">
      <c r="A3114" s="11" t="s">
        <v>50</v>
      </c>
      <c r="B3114" s="12">
        <v>1096.362</v>
      </c>
      <c r="C3114" s="12">
        <v>0</v>
      </c>
      <c r="D3114" s="13">
        <v>0</v>
      </c>
      <c r="E3114" s="12">
        <v>0</v>
      </c>
      <c r="F3114" s="14">
        <v>0</v>
      </c>
      <c r="G3114" s="13">
        <v>10000.54</v>
      </c>
      <c r="H3114" s="14">
        <v>10964212.03548</v>
      </c>
      <c r="I3114" s="14" t="e">
        <f>=Round(823.81370000,0)</f>
        <v>#VALUE!</v>
      </c>
      <c r="J3114" s="14" t="e">
        <f>=Round(0.00000000,0)</f>
        <v>#VALUE!</v>
      </c>
    </row>
    <row r="3115">
      <c r="A3115" s="11" t="s">
        <v>51</v>
      </c>
      <c r="B3115" s="12">
        <v>1075.057</v>
      </c>
      <c r="C3115" s="12">
        <v>0</v>
      </c>
      <c r="D3115" s="13">
        <v>0</v>
      </c>
      <c r="E3115" s="12">
        <v>0</v>
      </c>
      <c r="F3115" s="14">
        <v>0</v>
      </c>
      <c r="G3115" s="13">
        <v>10000.54</v>
      </c>
      <c r="H3115" s="14">
        <v>10751150.53078</v>
      </c>
      <c r="I3115" s="14" t="e">
        <f>=Round(823.81370000,0)</f>
        <v>#VALUE!</v>
      </c>
      <c r="J3115" s="14" t="e">
        <f>=Round(0.00000000,0)</f>
        <v>#VALUE!</v>
      </c>
    </row>
    <row r="3116">
      <c r="A3116" s="11" t="s">
        <v>52</v>
      </c>
      <c r="B3116" s="12">
        <v>1077.622</v>
      </c>
      <c r="C3116" s="12">
        <v>0</v>
      </c>
      <c r="D3116" s="13">
        <v>0</v>
      </c>
      <c r="E3116" s="12">
        <v>0</v>
      </c>
      <c r="F3116" s="14">
        <v>0</v>
      </c>
      <c r="G3116" s="13">
        <v>10000.54</v>
      </c>
      <c r="H3116" s="14">
        <v>10776801.91588</v>
      </c>
      <c r="I3116" s="14" t="e">
        <f>=Round(807.80500000,0)</f>
        <v>#VALUE!</v>
      </c>
      <c r="J3116" s="14" t="e">
        <f>=Round(0.00000000,0)</f>
        <v>#VALUE!</v>
      </c>
    </row>
    <row r="3117">
      <c r="A3117" s="11" t="s">
        <v>53</v>
      </c>
      <c r="B3117" s="12">
        <v>1058.551</v>
      </c>
      <c r="C3117" s="12">
        <v>0</v>
      </c>
      <c r="D3117" s="13">
        <v>0</v>
      </c>
      <c r="E3117" s="12">
        <v>0</v>
      </c>
      <c r="F3117" s="14">
        <v>0</v>
      </c>
      <c r="G3117" s="13">
        <v>10000.54</v>
      </c>
      <c r="H3117" s="14">
        <v>10586081.61754</v>
      </c>
      <c r="I3117" s="14" t="e">
        <f>=Round(809.73240000,0)</f>
        <v>#VALUE!</v>
      </c>
      <c r="J3117" s="14" t="e">
        <f>=Round(0.00000000,0)</f>
        <v>#VALUE!</v>
      </c>
    </row>
    <row r="3118">
      <c r="A3118" s="11" t="s">
        <v>54</v>
      </c>
      <c r="B3118" s="12">
        <v>1031.607</v>
      </c>
      <c r="C3118" s="12">
        <v>0</v>
      </c>
      <c r="D3118" s="13">
        <v>0</v>
      </c>
      <c r="E3118" s="12">
        <v>0</v>
      </c>
      <c r="F3118" s="14">
        <v>0</v>
      </c>
      <c r="G3118" s="13">
        <v>10000.54</v>
      </c>
      <c r="H3118" s="14">
        <v>10316627.06778</v>
      </c>
      <c r="I3118" s="14" t="e">
        <f>=Round(795.40230000,0)</f>
        <v>#VALUE!</v>
      </c>
      <c r="J3118" s="14" t="e">
        <f>=Round(0.00000000,0)</f>
        <v>#VALUE!</v>
      </c>
    </row>
    <row r="3119">
      <c r="A3119" s="11" t="s">
        <v>55</v>
      </c>
      <c r="B3119" s="12">
        <v>1012.7</v>
      </c>
      <c r="C3119" s="12">
        <v>0</v>
      </c>
      <c r="D3119" s="13">
        <v>0</v>
      </c>
      <c r="E3119" s="12">
        <v>0</v>
      </c>
      <c r="F3119" s="14">
        <v>0</v>
      </c>
      <c r="G3119" s="13">
        <v>10000.54</v>
      </c>
      <c r="H3119" s="14">
        <v>10127546.858</v>
      </c>
      <c r="I3119" s="14" t="e">
        <f>=Round(775.15640000,0)</f>
        <v>#VALUE!</v>
      </c>
      <c r="J3119" s="14" t="e">
        <f>=Round(0.00000000,0)</f>
        <v>#VALUE!</v>
      </c>
    </row>
    <row r="3120" ht="-1">
      <c r="A3120" s="15"/>
      <c r="B3120" s="16" t="s">
        <v>56</v>
      </c>
      <c r="C3120" s="15"/>
      <c r="D3120" s="15"/>
      <c r="E3120" s="15"/>
      <c r="F3120" s="15"/>
      <c r="G3120" s="15"/>
      <c r="H3120" s="15"/>
      <c r="I3120" s="17" t="e">
        <f>=Round(SUM(I3094:I3119),0)</f>
        <v>#VALUE!</v>
      </c>
      <c r="J3120" s="17" t="e">
        <f>=Round(SUM(J3094:J3119),0)</f>
        <v>#VALUE!</v>
      </c>
    </row>
    <row r="3121">
      <c r="A3121" s="1" t="s">
        <v>0</v>
      </c>
      <c r="B3121" s="1"/>
      <c r="C3121" s="1"/>
      <c r="D3121" s="1"/>
    </row>
    <row r="3122">
      <c r="A3122" s="0" t="s">
        <v>1</v>
      </c>
      <c r="C3122" s="0" t="s">
        <v>135</v>
      </c>
      <c r="H3122" s="2" t="s">
        <v>3</v>
      </c>
    </row>
    <row r="3123">
      <c r="A3123" s="0" t="s">
        <v>4</v>
      </c>
      <c r="C3123" s="0" t="s">
        <v>141</v>
      </c>
      <c r="H3123" s="3" t="s">
        <v>6</v>
      </c>
    </row>
    <row r="3124">
      <c r="A3124" s="0" t="s">
        <v>7</v>
      </c>
      <c r="C3124" s="4" t="s">
        <v>137</v>
      </c>
      <c r="H3124" s="2" t="s">
        <v>9</v>
      </c>
    </row>
    <row r="3125">
      <c r="A3125" s="0" t="s">
        <v>10</v>
      </c>
      <c r="C3125" s="4" t="s">
        <v>11</v>
      </c>
      <c r="H3125" s="2" t="s">
        <v>12</v>
      </c>
    </row>
    <row r="3126">
      <c r="A3126" s="0" t="s">
        <v>13</v>
      </c>
      <c r="C3126" s="0" t="s">
        <v>14</v>
      </c>
    </row>
    <row r="3127">
      <c r="A3127" s="0" t="s">
        <v>15</v>
      </c>
      <c r="C3127" s="0" t="s">
        <v>16</v>
      </c>
    </row>
    <row r="3128">
      <c r="A3128" s="0" t="s">
        <v>17</v>
      </c>
      <c r="C3128" s="0" t="s">
        <v>18</v>
      </c>
    </row>
    <row r="3131">
      <c r="A3131" s="5" t="s">
        <v>19</v>
      </c>
      <c r="B3131" s="5" t="s">
        <v>20</v>
      </c>
      <c r="C3131" s="7" t="s">
        <v>21</v>
      </c>
      <c r="D3131" s="9"/>
      <c r="E3131" s="7" t="s">
        <v>22</v>
      </c>
      <c r="F3131" s="9"/>
      <c r="G3131" s="5" t="s">
        <v>23</v>
      </c>
      <c r="H3131" s="5" t="s">
        <v>24</v>
      </c>
      <c r="I3131" s="5" t="s">
        <v>138</v>
      </c>
      <c r="J3131" s="5" t="s">
        <v>26</v>
      </c>
    </row>
    <row r="3132">
      <c r="A3132" s="6"/>
      <c r="B3132" s="6"/>
      <c r="C3132" s="8" t="s">
        <v>27</v>
      </c>
      <c r="D3132" s="8" t="s">
        <v>28</v>
      </c>
      <c r="E3132" s="8" t="s">
        <v>27</v>
      </c>
      <c r="F3132" s="8" t="s">
        <v>28</v>
      </c>
      <c r="G3132" s="6"/>
      <c r="H3132" s="6"/>
      <c r="I3132" s="10" t="s">
        <v>29</v>
      </c>
      <c r="J3132" s="6"/>
    </row>
    <row r="3133">
      <c r="A3133" s="11" t="s">
        <v>30</v>
      </c>
      <c r="B3133" s="12">
        <v>1106.364</v>
      </c>
      <c r="C3133" s="12">
        <v>0</v>
      </c>
      <c r="D3133" s="13">
        <v>0</v>
      </c>
      <c r="E3133" s="12">
        <v>0</v>
      </c>
      <c r="F3133" s="14">
        <v>0</v>
      </c>
      <c r="G3133" s="13">
        <v>470.5475</v>
      </c>
      <c r="H3133" s="14">
        <v>520596.81429</v>
      </c>
      <c r="I3133" s="14" t="e">
        <f>=Round(39.35420000,0)</f>
        <v>#VALUE!</v>
      </c>
      <c r="J3133" s="14" t="e">
        <f>=Round(0.00000000,0)</f>
        <v>#VALUE!</v>
      </c>
    </row>
    <row r="3134">
      <c r="A3134" s="11" t="s">
        <v>31</v>
      </c>
      <c r="B3134" s="12">
        <v>1115.058</v>
      </c>
      <c r="C3134" s="12">
        <v>0</v>
      </c>
      <c r="D3134" s="13">
        <v>0</v>
      </c>
      <c r="E3134" s="12">
        <v>0</v>
      </c>
      <c r="F3134" s="14">
        <v>0</v>
      </c>
      <c r="G3134" s="13">
        <v>470.5475</v>
      </c>
      <c r="H3134" s="14">
        <v>524687.754255</v>
      </c>
      <c r="I3134" s="14" t="e">
        <f>=Round(39.11590000,0)</f>
        <v>#VALUE!</v>
      </c>
      <c r="J3134" s="14" t="e">
        <f>=Round(0.00000000,0)</f>
        <v>#VALUE!</v>
      </c>
    </row>
    <row r="3135">
      <c r="A3135" s="11" t="s">
        <v>32</v>
      </c>
      <c r="B3135" s="12">
        <v>1123.214</v>
      </c>
      <c r="C3135" s="12">
        <v>0</v>
      </c>
      <c r="D3135" s="13">
        <v>0</v>
      </c>
      <c r="E3135" s="12">
        <v>0</v>
      </c>
      <c r="F3135" s="14">
        <v>0</v>
      </c>
      <c r="G3135" s="13">
        <v>470.5475</v>
      </c>
      <c r="H3135" s="14">
        <v>528525.539665</v>
      </c>
      <c r="I3135" s="14" t="e">
        <f>=Round(39.42330000,0)</f>
        <v>#VALUE!</v>
      </c>
      <c r="J3135" s="14" t="e">
        <f>=Round(0.00000000,0)</f>
        <v>#VALUE!</v>
      </c>
    </row>
    <row r="3136">
      <c r="A3136" s="11" t="s">
        <v>33</v>
      </c>
      <c r="B3136" s="12">
        <v>1126.069</v>
      </c>
      <c r="C3136" s="12">
        <v>0</v>
      </c>
      <c r="D3136" s="13">
        <v>0</v>
      </c>
      <c r="E3136" s="12">
        <v>0</v>
      </c>
      <c r="F3136" s="14">
        <v>0</v>
      </c>
      <c r="G3136" s="13">
        <v>470.5475</v>
      </c>
      <c r="H3136" s="14">
        <v>529868.952778</v>
      </c>
      <c r="I3136" s="14" t="e">
        <f>=Round(39.71160000,0)</f>
        <v>#VALUE!</v>
      </c>
      <c r="J3136" s="14" t="e">
        <f>=Round(0.00000000,0)</f>
        <v>#VALUE!</v>
      </c>
    </row>
    <row r="3137">
      <c r="A3137" s="11" t="s">
        <v>34</v>
      </c>
      <c r="B3137" s="12">
        <v>1129.718</v>
      </c>
      <c r="C3137" s="12">
        <v>0</v>
      </c>
      <c r="D3137" s="13">
        <v>0</v>
      </c>
      <c r="E3137" s="12">
        <v>0</v>
      </c>
      <c r="F3137" s="14">
        <v>0</v>
      </c>
      <c r="G3137" s="13">
        <v>470.5475</v>
      </c>
      <c r="H3137" s="14">
        <v>531585.980605</v>
      </c>
      <c r="I3137" s="14" t="e">
        <f>=Round(39.81260000,0)</f>
        <v>#VALUE!</v>
      </c>
      <c r="J3137" s="14" t="e">
        <f>=Round(0.00000000,0)</f>
        <v>#VALUE!</v>
      </c>
    </row>
    <row r="3138">
      <c r="A3138" s="11" t="s">
        <v>35</v>
      </c>
      <c r="B3138" s="12">
        <v>1129.718</v>
      </c>
      <c r="C3138" s="12">
        <v>0</v>
      </c>
      <c r="D3138" s="13">
        <v>0</v>
      </c>
      <c r="E3138" s="12">
        <v>0</v>
      </c>
      <c r="F3138" s="14">
        <v>0</v>
      </c>
      <c r="G3138" s="13">
        <v>470.5475</v>
      </c>
      <c r="H3138" s="14">
        <v>531585.980605</v>
      </c>
      <c r="I3138" s="14" t="e">
        <f>=Round(39.94160000,0)</f>
        <v>#VALUE!</v>
      </c>
      <c r="J3138" s="14" t="e">
        <f>=Round(0.00000000,0)</f>
        <v>#VALUE!</v>
      </c>
    </row>
    <row r="3139">
      <c r="A3139" s="11" t="s">
        <v>36</v>
      </c>
      <c r="B3139" s="12">
        <v>1129.718</v>
      </c>
      <c r="C3139" s="12">
        <v>0</v>
      </c>
      <c r="D3139" s="13">
        <v>0</v>
      </c>
      <c r="E3139" s="12">
        <v>0</v>
      </c>
      <c r="F3139" s="14">
        <v>0</v>
      </c>
      <c r="G3139" s="13">
        <v>470.5475</v>
      </c>
      <c r="H3139" s="14">
        <v>531585.980605</v>
      </c>
      <c r="I3139" s="14" t="e">
        <f>=Round(39.94160000,0)</f>
        <v>#VALUE!</v>
      </c>
      <c r="J3139" s="14" t="e">
        <f>=Round(0.00000000,0)</f>
        <v>#VALUE!</v>
      </c>
    </row>
    <row r="3140">
      <c r="A3140" s="11" t="s">
        <v>37</v>
      </c>
      <c r="B3140" s="12">
        <v>1116.408</v>
      </c>
      <c r="C3140" s="12">
        <v>0</v>
      </c>
      <c r="D3140" s="13">
        <v>0</v>
      </c>
      <c r="E3140" s="12">
        <v>0</v>
      </c>
      <c r="F3140" s="14">
        <v>0</v>
      </c>
      <c r="G3140" s="13">
        <v>470.5475</v>
      </c>
      <c r="H3140" s="14">
        <v>525322.99338</v>
      </c>
      <c r="I3140" s="14" t="e">
        <f>=Round(39.94160000,0)</f>
        <v>#VALUE!</v>
      </c>
      <c r="J3140" s="14" t="e">
        <f>=Round(0.00000000,0)</f>
        <v>#VALUE!</v>
      </c>
    </row>
    <row r="3141">
      <c r="A3141" s="11" t="s">
        <v>38</v>
      </c>
      <c r="B3141" s="12">
        <v>1113.311</v>
      </c>
      <c r="C3141" s="12">
        <v>0</v>
      </c>
      <c r="D3141" s="13">
        <v>0</v>
      </c>
      <c r="E3141" s="12">
        <v>0</v>
      </c>
      <c r="F3141" s="14">
        <v>0</v>
      </c>
      <c r="G3141" s="13">
        <v>470.5475</v>
      </c>
      <c r="H3141" s="14">
        <v>523865.707773</v>
      </c>
      <c r="I3141" s="14" t="e">
        <f>=Round(39.47100000,0)</f>
        <v>#VALUE!</v>
      </c>
      <c r="J3141" s="14" t="e">
        <f>=Round(0.00000000,0)</f>
        <v>#VALUE!</v>
      </c>
    </row>
    <row r="3142">
      <c r="A3142" s="11" t="s">
        <v>39</v>
      </c>
      <c r="B3142" s="12">
        <v>1099.022</v>
      </c>
      <c r="C3142" s="12">
        <v>0</v>
      </c>
      <c r="D3142" s="13">
        <v>0</v>
      </c>
      <c r="E3142" s="12">
        <v>0</v>
      </c>
      <c r="F3142" s="14">
        <v>0</v>
      </c>
      <c r="G3142" s="13">
        <v>470.5475</v>
      </c>
      <c r="H3142" s="14">
        <v>517142.054545</v>
      </c>
      <c r="I3142" s="14" t="e">
        <f>=Round(39.36150000,0)</f>
        <v>#VALUE!</v>
      </c>
      <c r="J3142" s="14" t="e">
        <f>=Round(0.00000000,0)</f>
        <v>#VALUE!</v>
      </c>
    </row>
    <row r="3143">
      <c r="A3143" s="11" t="s">
        <v>40</v>
      </c>
      <c r="B3143" s="12">
        <v>1089.065</v>
      </c>
      <c r="C3143" s="12">
        <v>0</v>
      </c>
      <c r="D3143" s="13">
        <v>0</v>
      </c>
      <c r="E3143" s="12">
        <v>0</v>
      </c>
      <c r="F3143" s="14">
        <v>0</v>
      </c>
      <c r="G3143" s="13">
        <v>470.5475</v>
      </c>
      <c r="H3143" s="14">
        <v>512456.813088</v>
      </c>
      <c r="I3143" s="14" t="e">
        <f>=Round(38.85630000,0)</f>
        <v>#VALUE!</v>
      </c>
      <c r="J3143" s="14" t="e">
        <f>=Round(0.00000000,0)</f>
        <v>#VALUE!</v>
      </c>
    </row>
    <row r="3144">
      <c r="A3144" s="11" t="s">
        <v>41</v>
      </c>
      <c r="B3144" s="12">
        <v>1091.855</v>
      </c>
      <c r="C3144" s="12">
        <v>0</v>
      </c>
      <c r="D3144" s="13">
        <v>0</v>
      </c>
      <c r="E3144" s="12">
        <v>0</v>
      </c>
      <c r="F3144" s="14">
        <v>0</v>
      </c>
      <c r="G3144" s="13">
        <v>470.5475</v>
      </c>
      <c r="H3144" s="14">
        <v>513769.640613</v>
      </c>
      <c r="I3144" s="14" t="e">
        <f>=Round(38.50430000,0)</f>
        <v>#VALUE!</v>
      </c>
      <c r="J3144" s="14" t="e">
        <f>=Round(0.00000000,0)</f>
        <v>#VALUE!</v>
      </c>
    </row>
    <row r="3145">
      <c r="A3145" s="11" t="s">
        <v>42</v>
      </c>
      <c r="B3145" s="12">
        <v>1091.855</v>
      </c>
      <c r="C3145" s="12">
        <v>0</v>
      </c>
      <c r="D3145" s="13">
        <v>0</v>
      </c>
      <c r="E3145" s="12">
        <v>0</v>
      </c>
      <c r="F3145" s="14">
        <v>0</v>
      </c>
      <c r="G3145" s="13">
        <v>470.5475</v>
      </c>
      <c r="H3145" s="14">
        <v>513769.640613</v>
      </c>
      <c r="I3145" s="14" t="e">
        <f>=Round(38.60290000,0)</f>
        <v>#VALUE!</v>
      </c>
      <c r="J3145" s="14" t="e">
        <f>=Round(0.00000000,0)</f>
        <v>#VALUE!</v>
      </c>
    </row>
    <row r="3146">
      <c r="A3146" s="11" t="s">
        <v>43</v>
      </c>
      <c r="B3146" s="12">
        <v>1091.855</v>
      </c>
      <c r="C3146" s="12">
        <v>0</v>
      </c>
      <c r="D3146" s="13">
        <v>0</v>
      </c>
      <c r="E3146" s="12">
        <v>0</v>
      </c>
      <c r="F3146" s="14">
        <v>0</v>
      </c>
      <c r="G3146" s="13">
        <v>470.5475</v>
      </c>
      <c r="H3146" s="14">
        <v>513769.640613</v>
      </c>
      <c r="I3146" s="14" t="e">
        <f>=Round(38.60290000,0)</f>
        <v>#VALUE!</v>
      </c>
      <c r="J3146" s="14" t="e">
        <f>=Round(0.00000000,0)</f>
        <v>#VALUE!</v>
      </c>
    </row>
    <row r="3147">
      <c r="A3147" s="11" t="s">
        <v>44</v>
      </c>
      <c r="B3147" s="12">
        <v>1092.609</v>
      </c>
      <c r="C3147" s="12">
        <v>0</v>
      </c>
      <c r="D3147" s="13">
        <v>0</v>
      </c>
      <c r="E3147" s="12">
        <v>0</v>
      </c>
      <c r="F3147" s="14">
        <v>0</v>
      </c>
      <c r="G3147" s="13">
        <v>470.5475</v>
      </c>
      <c r="H3147" s="14">
        <v>514124.433428</v>
      </c>
      <c r="I3147" s="14" t="e">
        <f>=Round(38.60290000,0)</f>
        <v>#VALUE!</v>
      </c>
      <c r="J3147" s="14" t="e">
        <f>=Round(0.00000000,0)</f>
        <v>#VALUE!</v>
      </c>
    </row>
    <row r="3148">
      <c r="A3148" s="11" t="s">
        <v>45</v>
      </c>
      <c r="B3148" s="12">
        <v>1098.159</v>
      </c>
      <c r="C3148" s="12">
        <v>0</v>
      </c>
      <c r="D3148" s="13">
        <v>0</v>
      </c>
      <c r="E3148" s="12">
        <v>0</v>
      </c>
      <c r="F3148" s="14">
        <v>0</v>
      </c>
      <c r="G3148" s="13">
        <v>470.5475</v>
      </c>
      <c r="H3148" s="14">
        <v>516735.972053</v>
      </c>
      <c r="I3148" s="14" t="e">
        <f>=Round(38.62960000,0)</f>
        <v>#VALUE!</v>
      </c>
      <c r="J3148" s="14" t="e">
        <f>=Round(0.00000000,0)</f>
        <v>#VALUE!</v>
      </c>
    </row>
    <row r="3149">
      <c r="A3149" s="11" t="s">
        <v>46</v>
      </c>
      <c r="B3149" s="12">
        <v>1108.258</v>
      </c>
      <c r="C3149" s="12">
        <v>0</v>
      </c>
      <c r="D3149" s="13">
        <v>0</v>
      </c>
      <c r="E3149" s="12">
        <v>0</v>
      </c>
      <c r="F3149" s="14">
        <v>0</v>
      </c>
      <c r="G3149" s="13">
        <v>470.5475</v>
      </c>
      <c r="H3149" s="14">
        <v>521488.031255</v>
      </c>
      <c r="I3149" s="14" t="e">
        <f>=Round(38.82580000,0)</f>
        <v>#VALUE!</v>
      </c>
      <c r="J3149" s="14" t="e">
        <f>=Round(0.00000000,0)</f>
        <v>#VALUE!</v>
      </c>
    </row>
    <row r="3150">
      <c r="A3150" s="11" t="s">
        <v>47</v>
      </c>
      <c r="B3150" s="12">
        <v>1111.48</v>
      </c>
      <c r="C3150" s="12">
        <v>0</v>
      </c>
      <c r="D3150" s="13">
        <v>0</v>
      </c>
      <c r="E3150" s="12">
        <v>0</v>
      </c>
      <c r="F3150" s="14">
        <v>0</v>
      </c>
      <c r="G3150" s="13">
        <v>470.5475</v>
      </c>
      <c r="H3150" s="14">
        <v>523004.1353</v>
      </c>
      <c r="I3150" s="14" t="e">
        <f>=Round(39.18280000,0)</f>
        <v>#VALUE!</v>
      </c>
      <c r="J3150" s="14" t="e">
        <f>=Round(0.00000000,0)</f>
        <v>#VALUE!</v>
      </c>
    </row>
    <row r="3151">
      <c r="A3151" s="11" t="s">
        <v>48</v>
      </c>
      <c r="B3151" s="12">
        <v>1096.362</v>
      </c>
      <c r="C3151" s="12">
        <v>0</v>
      </c>
      <c r="D3151" s="13">
        <v>0</v>
      </c>
      <c r="E3151" s="12">
        <v>0</v>
      </c>
      <c r="F3151" s="14">
        <v>0</v>
      </c>
      <c r="G3151" s="13">
        <v>470.5475</v>
      </c>
      <c r="H3151" s="14">
        <v>515890.398195</v>
      </c>
      <c r="I3151" s="14" t="e">
        <f>=Round(39.29680000,0)</f>
        <v>#VALUE!</v>
      </c>
      <c r="J3151" s="14" t="e">
        <f>=Round(0.00000000,0)</f>
        <v>#VALUE!</v>
      </c>
    </row>
    <row r="3152">
      <c r="A3152" s="11" t="s">
        <v>49</v>
      </c>
      <c r="B3152" s="12">
        <v>1096.362</v>
      </c>
      <c r="C3152" s="12">
        <v>0</v>
      </c>
      <c r="D3152" s="13">
        <v>0</v>
      </c>
      <c r="E3152" s="12">
        <v>0</v>
      </c>
      <c r="F3152" s="14">
        <v>0</v>
      </c>
      <c r="G3152" s="13">
        <v>470.5475</v>
      </c>
      <c r="H3152" s="14">
        <v>515890.398195</v>
      </c>
      <c r="I3152" s="14" t="e">
        <f>=Round(38.76230000,0)</f>
        <v>#VALUE!</v>
      </c>
      <c r="J3152" s="14" t="e">
        <f>=Round(0.00000000,0)</f>
        <v>#VALUE!</v>
      </c>
    </row>
    <row r="3153">
      <c r="A3153" s="11" t="s">
        <v>50</v>
      </c>
      <c r="B3153" s="12">
        <v>1096.362</v>
      </c>
      <c r="C3153" s="12">
        <v>0</v>
      </c>
      <c r="D3153" s="13">
        <v>0</v>
      </c>
      <c r="E3153" s="12">
        <v>0</v>
      </c>
      <c r="F3153" s="14">
        <v>0</v>
      </c>
      <c r="G3153" s="13">
        <v>470.5475</v>
      </c>
      <c r="H3153" s="14">
        <v>515890.398195</v>
      </c>
      <c r="I3153" s="14" t="e">
        <f>=Round(38.76230000,0)</f>
        <v>#VALUE!</v>
      </c>
      <c r="J3153" s="14" t="e">
        <f>=Round(0.00000000,0)</f>
        <v>#VALUE!</v>
      </c>
    </row>
    <row r="3154">
      <c r="A3154" s="11" t="s">
        <v>51</v>
      </c>
      <c r="B3154" s="12">
        <v>1075.057</v>
      </c>
      <c r="C3154" s="12">
        <v>0</v>
      </c>
      <c r="D3154" s="13">
        <v>0</v>
      </c>
      <c r="E3154" s="12">
        <v>0</v>
      </c>
      <c r="F3154" s="14">
        <v>0</v>
      </c>
      <c r="G3154" s="13">
        <v>470.5475</v>
      </c>
      <c r="H3154" s="14">
        <v>505865.383708</v>
      </c>
      <c r="I3154" s="14" t="e">
        <f>=Round(38.76230000,0)</f>
        <v>#VALUE!</v>
      </c>
      <c r="J3154" s="14" t="e">
        <f>=Round(0.00000000,0)</f>
        <v>#VALUE!</v>
      </c>
    </row>
    <row r="3155">
      <c r="A3155" s="11" t="s">
        <v>52</v>
      </c>
      <c r="B3155" s="12">
        <v>1077.622</v>
      </c>
      <c r="C3155" s="12">
        <v>0</v>
      </c>
      <c r="D3155" s="13">
        <v>0</v>
      </c>
      <c r="E3155" s="12">
        <v>0</v>
      </c>
      <c r="F3155" s="14">
        <v>0</v>
      </c>
      <c r="G3155" s="13">
        <v>470.5475</v>
      </c>
      <c r="H3155" s="14">
        <v>507072.338045</v>
      </c>
      <c r="I3155" s="14" t="e">
        <f>=Round(38.00900000,0)</f>
        <v>#VALUE!</v>
      </c>
      <c r="J3155" s="14" t="e">
        <f>=Round(0.00000000,0)</f>
        <v>#VALUE!</v>
      </c>
    </row>
    <row r="3156">
      <c r="A3156" s="11" t="s">
        <v>53</v>
      </c>
      <c r="B3156" s="12">
        <v>1058.551</v>
      </c>
      <c r="C3156" s="12">
        <v>0</v>
      </c>
      <c r="D3156" s="13">
        <v>0</v>
      </c>
      <c r="E3156" s="12">
        <v>0</v>
      </c>
      <c r="F3156" s="14">
        <v>0</v>
      </c>
      <c r="G3156" s="13">
        <v>470.5475</v>
      </c>
      <c r="H3156" s="14">
        <v>498098.526673</v>
      </c>
      <c r="I3156" s="14" t="e">
        <f>=Round(38.09970000,0)</f>
        <v>#VALUE!</v>
      </c>
      <c r="J3156" s="14" t="e">
        <f>=Round(0.00000000,0)</f>
        <v>#VALUE!</v>
      </c>
    </row>
    <row r="3157">
      <c r="A3157" s="11" t="s">
        <v>54</v>
      </c>
      <c r="B3157" s="12">
        <v>1031.607</v>
      </c>
      <c r="C3157" s="12">
        <v>0</v>
      </c>
      <c r="D3157" s="13">
        <v>0</v>
      </c>
      <c r="E3157" s="12">
        <v>0</v>
      </c>
      <c r="F3157" s="14">
        <v>0</v>
      </c>
      <c r="G3157" s="13">
        <v>470.5475</v>
      </c>
      <c r="H3157" s="14">
        <v>485420.094833</v>
      </c>
      <c r="I3157" s="14" t="e">
        <f>=Round(37.42540000,0)</f>
        <v>#VALUE!</v>
      </c>
      <c r="J3157" s="14" t="e">
        <f>=Round(0.00000000,0)</f>
        <v>#VALUE!</v>
      </c>
    </row>
    <row r="3158">
      <c r="A3158" s="11" t="s">
        <v>55</v>
      </c>
      <c r="B3158" s="12">
        <v>1012.7</v>
      </c>
      <c r="C3158" s="12">
        <v>0</v>
      </c>
      <c r="D3158" s="13">
        <v>0</v>
      </c>
      <c r="E3158" s="12">
        <v>0</v>
      </c>
      <c r="F3158" s="14">
        <v>0</v>
      </c>
      <c r="G3158" s="13">
        <v>470.5475</v>
      </c>
      <c r="H3158" s="14">
        <v>476523.45325</v>
      </c>
      <c r="I3158" s="14" t="e">
        <f>=Round(36.47280000,0)</f>
        <v>#VALUE!</v>
      </c>
      <c r="J3158" s="14" t="e">
        <f>=Round(0.00000000,0)</f>
        <v>#VALUE!</v>
      </c>
    </row>
    <row r="3159" ht="-1">
      <c r="A3159" s="15"/>
      <c r="B3159" s="16" t="s">
        <v>56</v>
      </c>
      <c r="C3159" s="15"/>
      <c r="D3159" s="15"/>
      <c r="E3159" s="15"/>
      <c r="F3159" s="15"/>
      <c r="G3159" s="15"/>
      <c r="H3159" s="15"/>
      <c r="I3159" s="17" t="e">
        <f>=Round(SUM(I3133:I3158),0)</f>
        <v>#VALUE!</v>
      </c>
      <c r="J3159" s="17" t="e">
        <f>=Round(SUM(J3133:J3158),0)</f>
        <v>#VALUE!</v>
      </c>
    </row>
    <row r="3160">
      <c r="A3160" s="1" t="s">
        <v>0</v>
      </c>
      <c r="B3160" s="1"/>
      <c r="C3160" s="1"/>
      <c r="D3160" s="1"/>
    </row>
    <row r="3161">
      <c r="A3161" s="0" t="s">
        <v>1</v>
      </c>
      <c r="C3161" s="0" t="s">
        <v>135</v>
      </c>
      <c r="H3161" s="2" t="s">
        <v>3</v>
      </c>
    </row>
    <row r="3162">
      <c r="A3162" s="0" t="s">
        <v>4</v>
      </c>
      <c r="C3162" s="0" t="s">
        <v>142</v>
      </c>
      <c r="H3162" s="3" t="s">
        <v>6</v>
      </c>
    </row>
    <row r="3163">
      <c r="A3163" s="0" t="s">
        <v>7</v>
      </c>
      <c r="C3163" s="4" t="s">
        <v>137</v>
      </c>
      <c r="H3163" s="2" t="s">
        <v>9</v>
      </c>
    </row>
    <row r="3164">
      <c r="A3164" s="0" t="s">
        <v>10</v>
      </c>
      <c r="C3164" s="4" t="s">
        <v>11</v>
      </c>
      <c r="H3164" s="2" t="s">
        <v>12</v>
      </c>
    </row>
    <row r="3165">
      <c r="A3165" s="0" t="s">
        <v>13</v>
      </c>
      <c r="C3165" s="0" t="s">
        <v>14</v>
      </c>
    </row>
    <row r="3166">
      <c r="A3166" s="0" t="s">
        <v>15</v>
      </c>
      <c r="C3166" s="0" t="s">
        <v>16</v>
      </c>
    </row>
    <row r="3167">
      <c r="A3167" s="0" t="s">
        <v>17</v>
      </c>
      <c r="C3167" s="0" t="s">
        <v>18</v>
      </c>
    </row>
    <row r="3170">
      <c r="A3170" s="5" t="s">
        <v>19</v>
      </c>
      <c r="B3170" s="5" t="s">
        <v>20</v>
      </c>
      <c r="C3170" s="7" t="s">
        <v>21</v>
      </c>
      <c r="D3170" s="9"/>
      <c r="E3170" s="7" t="s">
        <v>22</v>
      </c>
      <c r="F3170" s="9"/>
      <c r="G3170" s="5" t="s">
        <v>23</v>
      </c>
      <c r="H3170" s="5" t="s">
        <v>24</v>
      </c>
      <c r="I3170" s="5" t="s">
        <v>138</v>
      </c>
      <c r="J3170" s="5" t="s">
        <v>26</v>
      </c>
    </row>
    <row r="3171">
      <c r="A3171" s="6"/>
      <c r="B3171" s="6"/>
      <c r="C3171" s="8" t="s">
        <v>27</v>
      </c>
      <c r="D3171" s="8" t="s">
        <v>28</v>
      </c>
      <c r="E3171" s="8" t="s">
        <v>27</v>
      </c>
      <c r="F3171" s="8" t="s">
        <v>28</v>
      </c>
      <c r="G3171" s="6"/>
      <c r="H3171" s="6"/>
      <c r="I3171" s="10" t="s">
        <v>29</v>
      </c>
      <c r="J3171" s="6"/>
    </row>
    <row r="3172">
      <c r="A3172" s="11" t="s">
        <v>30</v>
      </c>
      <c r="B3172" s="12">
        <v>1106.364</v>
      </c>
      <c r="C3172" s="12">
        <v>0</v>
      </c>
      <c r="D3172" s="13">
        <v>0</v>
      </c>
      <c r="E3172" s="12">
        <v>0</v>
      </c>
      <c r="F3172" s="14">
        <v>0</v>
      </c>
      <c r="G3172" s="13">
        <v>5323.7035</v>
      </c>
      <c r="H3172" s="14">
        <v>5889953.899074</v>
      </c>
      <c r="I3172" s="14" t="e">
        <f>=Round(445.24800000,0)</f>
        <v>#VALUE!</v>
      </c>
      <c r="J3172" s="14" t="e">
        <f>=Round(0.00000000,0)</f>
        <v>#VALUE!</v>
      </c>
    </row>
    <row r="3173">
      <c r="A3173" s="11" t="s">
        <v>31</v>
      </c>
      <c r="B3173" s="12">
        <v>1115.058</v>
      </c>
      <c r="C3173" s="12">
        <v>0</v>
      </c>
      <c r="D3173" s="13">
        <v>0</v>
      </c>
      <c r="E3173" s="12">
        <v>0</v>
      </c>
      <c r="F3173" s="14">
        <v>0</v>
      </c>
      <c r="G3173" s="13">
        <v>5323.7035</v>
      </c>
      <c r="H3173" s="14">
        <v>5936238.177303</v>
      </c>
      <c r="I3173" s="14" t="e">
        <f>=Round(442.55120000,0)</f>
        <v>#VALUE!</v>
      </c>
      <c r="J3173" s="14" t="e">
        <f>=Round(0.00000000,0)</f>
        <v>#VALUE!</v>
      </c>
    </row>
    <row r="3174">
      <c r="A3174" s="11" t="s">
        <v>32</v>
      </c>
      <c r="B3174" s="12">
        <v>1123.214</v>
      </c>
      <c r="C3174" s="12">
        <v>0</v>
      </c>
      <c r="D3174" s="13">
        <v>0</v>
      </c>
      <c r="E3174" s="12">
        <v>0</v>
      </c>
      <c r="F3174" s="14">
        <v>0</v>
      </c>
      <c r="G3174" s="13">
        <v>5323.7035</v>
      </c>
      <c r="H3174" s="14">
        <v>5979658.303049</v>
      </c>
      <c r="I3174" s="14" t="e">
        <f>=Round(446.02880000,0)</f>
        <v>#VALUE!</v>
      </c>
      <c r="J3174" s="14" t="e">
        <f>=Round(0.00000000,0)</f>
        <v>#VALUE!</v>
      </c>
    </row>
    <row r="3175">
      <c r="A3175" s="11" t="s">
        <v>33</v>
      </c>
      <c r="B3175" s="12">
        <v>1126.069</v>
      </c>
      <c r="C3175" s="12">
        <v>0</v>
      </c>
      <c r="D3175" s="13">
        <v>0</v>
      </c>
      <c r="E3175" s="12">
        <v>0</v>
      </c>
      <c r="F3175" s="14">
        <v>0</v>
      </c>
      <c r="G3175" s="13">
        <v>5323.7035</v>
      </c>
      <c r="H3175" s="14">
        <v>5994857.476542</v>
      </c>
      <c r="I3175" s="14" t="e">
        <f>=Round(449.29130000,0)</f>
        <v>#VALUE!</v>
      </c>
      <c r="J3175" s="14" t="e">
        <f>=Round(0.00000000,0)</f>
        <v>#VALUE!</v>
      </c>
    </row>
    <row r="3176">
      <c r="A3176" s="11" t="s">
        <v>34</v>
      </c>
      <c r="B3176" s="12">
        <v>1129.718</v>
      </c>
      <c r="C3176" s="12">
        <v>0</v>
      </c>
      <c r="D3176" s="13">
        <v>0</v>
      </c>
      <c r="E3176" s="12">
        <v>0</v>
      </c>
      <c r="F3176" s="14">
        <v>0</v>
      </c>
      <c r="G3176" s="13">
        <v>5323.7035</v>
      </c>
      <c r="H3176" s="14">
        <v>6014283.670613</v>
      </c>
      <c r="I3176" s="14" t="e">
        <f>=Round(450.43330000,0)</f>
        <v>#VALUE!</v>
      </c>
      <c r="J3176" s="14" t="e">
        <f>=Round(0.00000000,0)</f>
        <v>#VALUE!</v>
      </c>
    </row>
    <row r="3177">
      <c r="A3177" s="11" t="s">
        <v>35</v>
      </c>
      <c r="B3177" s="12">
        <v>1129.718</v>
      </c>
      <c r="C3177" s="12">
        <v>0</v>
      </c>
      <c r="D3177" s="13">
        <v>0</v>
      </c>
      <c r="E3177" s="12">
        <v>0</v>
      </c>
      <c r="F3177" s="14">
        <v>0</v>
      </c>
      <c r="G3177" s="13">
        <v>5323.7035</v>
      </c>
      <c r="H3177" s="14">
        <v>6014283.670613</v>
      </c>
      <c r="I3177" s="14" t="e">
        <f>=Round(451.89290000,0)</f>
        <v>#VALUE!</v>
      </c>
      <c r="J3177" s="14" t="e">
        <f>=Round(0.00000000,0)</f>
        <v>#VALUE!</v>
      </c>
    </row>
    <row r="3178">
      <c r="A3178" s="11" t="s">
        <v>36</v>
      </c>
      <c r="B3178" s="12">
        <v>1129.718</v>
      </c>
      <c r="C3178" s="12">
        <v>0</v>
      </c>
      <c r="D3178" s="13">
        <v>0</v>
      </c>
      <c r="E3178" s="12">
        <v>0</v>
      </c>
      <c r="F3178" s="14">
        <v>0</v>
      </c>
      <c r="G3178" s="13">
        <v>5323.7035</v>
      </c>
      <c r="H3178" s="14">
        <v>6014283.670613</v>
      </c>
      <c r="I3178" s="14" t="e">
        <f>=Round(451.89290000,0)</f>
        <v>#VALUE!</v>
      </c>
      <c r="J3178" s="14" t="e">
        <f>=Round(0.00000000,0)</f>
        <v>#VALUE!</v>
      </c>
    </row>
    <row r="3179">
      <c r="A3179" s="11" t="s">
        <v>37</v>
      </c>
      <c r="B3179" s="12">
        <v>1116.408</v>
      </c>
      <c r="C3179" s="12">
        <v>0</v>
      </c>
      <c r="D3179" s="13">
        <v>0</v>
      </c>
      <c r="E3179" s="12">
        <v>0</v>
      </c>
      <c r="F3179" s="14">
        <v>0</v>
      </c>
      <c r="G3179" s="13">
        <v>5323.7035</v>
      </c>
      <c r="H3179" s="14">
        <v>5943425.177028</v>
      </c>
      <c r="I3179" s="14" t="e">
        <f>=Round(451.89290000,0)</f>
        <v>#VALUE!</v>
      </c>
      <c r="J3179" s="14" t="e">
        <f>=Round(0.00000000,0)</f>
        <v>#VALUE!</v>
      </c>
    </row>
    <row r="3180">
      <c r="A3180" s="11" t="s">
        <v>38</v>
      </c>
      <c r="B3180" s="12">
        <v>1113.311</v>
      </c>
      <c r="C3180" s="12">
        <v>0</v>
      </c>
      <c r="D3180" s="13">
        <v>0</v>
      </c>
      <c r="E3180" s="12">
        <v>0</v>
      </c>
      <c r="F3180" s="14">
        <v>0</v>
      </c>
      <c r="G3180" s="13">
        <v>5323.7035</v>
      </c>
      <c r="H3180" s="14">
        <v>5926937.667289</v>
      </c>
      <c r="I3180" s="14" t="e">
        <f>=Round(446.56880000,0)</f>
        <v>#VALUE!</v>
      </c>
      <c r="J3180" s="14" t="e">
        <f>=Round(0.00000000,0)</f>
        <v>#VALUE!</v>
      </c>
    </row>
    <row r="3181">
      <c r="A3181" s="11" t="s">
        <v>39</v>
      </c>
      <c r="B3181" s="12">
        <v>1099.022</v>
      </c>
      <c r="C3181" s="12">
        <v>0</v>
      </c>
      <c r="D3181" s="13">
        <v>0</v>
      </c>
      <c r="E3181" s="12">
        <v>0</v>
      </c>
      <c r="F3181" s="14">
        <v>0</v>
      </c>
      <c r="G3181" s="13">
        <v>5323.7035</v>
      </c>
      <c r="H3181" s="14">
        <v>5850867.267977</v>
      </c>
      <c r="I3181" s="14" t="e">
        <f>=Round(445.33000000,0)</f>
        <v>#VALUE!</v>
      </c>
      <c r="J3181" s="14" t="e">
        <f>=Round(0.00000000,0)</f>
        <v>#VALUE!</v>
      </c>
    </row>
    <row r="3182">
      <c r="A3182" s="11" t="s">
        <v>40</v>
      </c>
      <c r="B3182" s="12">
        <v>1089.065</v>
      </c>
      <c r="C3182" s="12">
        <v>0</v>
      </c>
      <c r="D3182" s="13">
        <v>0</v>
      </c>
      <c r="E3182" s="12">
        <v>0</v>
      </c>
      <c r="F3182" s="14">
        <v>0</v>
      </c>
      <c r="G3182" s="13">
        <v>5323.7035</v>
      </c>
      <c r="H3182" s="14">
        <v>5797859.152228</v>
      </c>
      <c r="I3182" s="14" t="e">
        <f>=Round(439.61430000,0)</f>
        <v>#VALUE!</v>
      </c>
      <c r="J3182" s="14" t="e">
        <f>=Round(0.00000000,0)</f>
        <v>#VALUE!</v>
      </c>
    </row>
    <row r="3183">
      <c r="A3183" s="11" t="s">
        <v>41</v>
      </c>
      <c r="B3183" s="12">
        <v>1091.855</v>
      </c>
      <c r="C3183" s="12">
        <v>0</v>
      </c>
      <c r="D3183" s="13">
        <v>0</v>
      </c>
      <c r="E3183" s="12">
        <v>0</v>
      </c>
      <c r="F3183" s="14">
        <v>0</v>
      </c>
      <c r="G3183" s="13">
        <v>5323.7035</v>
      </c>
      <c r="H3183" s="14">
        <v>5812712.284993</v>
      </c>
      <c r="I3183" s="14" t="e">
        <f>=Round(435.63150000,0)</f>
        <v>#VALUE!</v>
      </c>
      <c r="J3183" s="14" t="e">
        <f>=Round(0.00000000,0)</f>
        <v>#VALUE!</v>
      </c>
    </row>
    <row r="3184">
      <c r="A3184" s="11" t="s">
        <v>42</v>
      </c>
      <c r="B3184" s="12">
        <v>1091.855</v>
      </c>
      <c r="C3184" s="12">
        <v>0</v>
      </c>
      <c r="D3184" s="13">
        <v>0</v>
      </c>
      <c r="E3184" s="12">
        <v>0</v>
      </c>
      <c r="F3184" s="14">
        <v>0</v>
      </c>
      <c r="G3184" s="13">
        <v>5323.7035</v>
      </c>
      <c r="H3184" s="14">
        <v>5812712.284993</v>
      </c>
      <c r="I3184" s="14" t="e">
        <f>=Round(436.74750000,0)</f>
        <v>#VALUE!</v>
      </c>
      <c r="J3184" s="14" t="e">
        <f>=Round(0.00000000,0)</f>
        <v>#VALUE!</v>
      </c>
    </row>
    <row r="3185">
      <c r="A3185" s="11" t="s">
        <v>43</v>
      </c>
      <c r="B3185" s="12">
        <v>1091.855</v>
      </c>
      <c r="C3185" s="12">
        <v>0</v>
      </c>
      <c r="D3185" s="13">
        <v>0</v>
      </c>
      <c r="E3185" s="12">
        <v>0</v>
      </c>
      <c r="F3185" s="14">
        <v>0</v>
      </c>
      <c r="G3185" s="13">
        <v>5323.7035</v>
      </c>
      <c r="H3185" s="14">
        <v>5812712.284993</v>
      </c>
      <c r="I3185" s="14" t="e">
        <f>=Round(436.74750000,0)</f>
        <v>#VALUE!</v>
      </c>
      <c r="J3185" s="14" t="e">
        <f>=Round(0.00000000,0)</f>
        <v>#VALUE!</v>
      </c>
    </row>
    <row r="3186">
      <c r="A3186" s="11" t="s">
        <v>44</v>
      </c>
      <c r="B3186" s="12">
        <v>1092.609</v>
      </c>
      <c r="C3186" s="12">
        <v>0</v>
      </c>
      <c r="D3186" s="13">
        <v>0</v>
      </c>
      <c r="E3186" s="12">
        <v>0</v>
      </c>
      <c r="F3186" s="14">
        <v>0</v>
      </c>
      <c r="G3186" s="13">
        <v>5323.7035</v>
      </c>
      <c r="H3186" s="14">
        <v>5816726.357432</v>
      </c>
      <c r="I3186" s="14" t="e">
        <f>=Round(436.74750000,0)</f>
        <v>#VALUE!</v>
      </c>
      <c r="J3186" s="14" t="e">
        <f>=Round(0.00000000,0)</f>
        <v>#VALUE!</v>
      </c>
    </row>
    <row r="3187">
      <c r="A3187" s="11" t="s">
        <v>45</v>
      </c>
      <c r="B3187" s="12">
        <v>1098.159</v>
      </c>
      <c r="C3187" s="12">
        <v>0</v>
      </c>
      <c r="D3187" s="13">
        <v>0</v>
      </c>
      <c r="E3187" s="12">
        <v>0</v>
      </c>
      <c r="F3187" s="14">
        <v>0</v>
      </c>
      <c r="G3187" s="13">
        <v>5323.7035</v>
      </c>
      <c r="H3187" s="14">
        <v>5846272.911857</v>
      </c>
      <c r="I3187" s="14" t="e">
        <f>=Round(437.04910000,0)</f>
        <v>#VALUE!</v>
      </c>
      <c r="J3187" s="14" t="e">
        <f>=Round(0.00000000,0)</f>
        <v>#VALUE!</v>
      </c>
    </row>
    <row r="3188">
      <c r="A3188" s="11" t="s">
        <v>46</v>
      </c>
      <c r="B3188" s="12">
        <v>1108.258</v>
      </c>
      <c r="C3188" s="12">
        <v>0</v>
      </c>
      <c r="D3188" s="13">
        <v>0</v>
      </c>
      <c r="E3188" s="12">
        <v>0</v>
      </c>
      <c r="F3188" s="14">
        <v>0</v>
      </c>
      <c r="G3188" s="13">
        <v>5323.7035</v>
      </c>
      <c r="H3188" s="14">
        <v>5900036.993503</v>
      </c>
      <c r="I3188" s="14" t="e">
        <f>=Round(439.26910000,0)</f>
        <v>#VALUE!</v>
      </c>
      <c r="J3188" s="14" t="e">
        <f>=Round(0.00000000,0)</f>
        <v>#VALUE!</v>
      </c>
    </row>
    <row r="3189">
      <c r="A3189" s="11" t="s">
        <v>47</v>
      </c>
      <c r="B3189" s="12">
        <v>1111.48</v>
      </c>
      <c r="C3189" s="12">
        <v>0</v>
      </c>
      <c r="D3189" s="13">
        <v>0</v>
      </c>
      <c r="E3189" s="12">
        <v>0</v>
      </c>
      <c r="F3189" s="14">
        <v>0</v>
      </c>
      <c r="G3189" s="13">
        <v>5323.7035</v>
      </c>
      <c r="H3189" s="14">
        <v>5917189.96618</v>
      </c>
      <c r="I3189" s="14" t="e">
        <f>=Round(443.30880000,0)</f>
        <v>#VALUE!</v>
      </c>
      <c r="J3189" s="14" t="e">
        <f>=Round(0.00000000,0)</f>
        <v>#VALUE!</v>
      </c>
    </row>
    <row r="3190">
      <c r="A3190" s="11" t="s">
        <v>48</v>
      </c>
      <c r="B3190" s="12">
        <v>1096.362</v>
      </c>
      <c r="C3190" s="12">
        <v>0</v>
      </c>
      <c r="D3190" s="13">
        <v>0</v>
      </c>
      <c r="E3190" s="12">
        <v>0</v>
      </c>
      <c r="F3190" s="14">
        <v>0</v>
      </c>
      <c r="G3190" s="13">
        <v>5323.7035</v>
      </c>
      <c r="H3190" s="14">
        <v>5836706.216667</v>
      </c>
      <c r="I3190" s="14" t="e">
        <f>=Round(444.59760000,0)</f>
        <v>#VALUE!</v>
      </c>
      <c r="J3190" s="14" t="e">
        <f>=Round(0.00000000,0)</f>
        <v>#VALUE!</v>
      </c>
    </row>
    <row r="3191">
      <c r="A3191" s="11" t="s">
        <v>49</v>
      </c>
      <c r="B3191" s="12">
        <v>1096.362</v>
      </c>
      <c r="C3191" s="12">
        <v>0</v>
      </c>
      <c r="D3191" s="13">
        <v>0</v>
      </c>
      <c r="E3191" s="12">
        <v>0</v>
      </c>
      <c r="F3191" s="14">
        <v>0</v>
      </c>
      <c r="G3191" s="13">
        <v>5323.7035</v>
      </c>
      <c r="H3191" s="14">
        <v>5836706.216667</v>
      </c>
      <c r="I3191" s="14" t="e">
        <f>=Round(438.55030000,0)</f>
        <v>#VALUE!</v>
      </c>
      <c r="J3191" s="14" t="e">
        <f>=Round(0.00000000,0)</f>
        <v>#VALUE!</v>
      </c>
    </row>
    <row r="3192">
      <c r="A3192" s="11" t="s">
        <v>50</v>
      </c>
      <c r="B3192" s="12">
        <v>1096.362</v>
      </c>
      <c r="C3192" s="12">
        <v>0</v>
      </c>
      <c r="D3192" s="13">
        <v>0</v>
      </c>
      <c r="E3192" s="12">
        <v>0</v>
      </c>
      <c r="F3192" s="14">
        <v>0</v>
      </c>
      <c r="G3192" s="13">
        <v>5323.7035</v>
      </c>
      <c r="H3192" s="14">
        <v>5836706.216667</v>
      </c>
      <c r="I3192" s="14" t="e">
        <f>=Round(438.55030000,0)</f>
        <v>#VALUE!</v>
      </c>
      <c r="J3192" s="14" t="e">
        <f>=Round(0.00000000,0)</f>
        <v>#VALUE!</v>
      </c>
    </row>
    <row r="3193">
      <c r="A3193" s="11" t="s">
        <v>51</v>
      </c>
      <c r="B3193" s="12">
        <v>1075.057</v>
      </c>
      <c r="C3193" s="12">
        <v>0</v>
      </c>
      <c r="D3193" s="13">
        <v>0</v>
      </c>
      <c r="E3193" s="12">
        <v>0</v>
      </c>
      <c r="F3193" s="14">
        <v>0</v>
      </c>
      <c r="G3193" s="13">
        <v>5323.7035</v>
      </c>
      <c r="H3193" s="14">
        <v>5723284.7136</v>
      </c>
      <c r="I3193" s="14" t="e">
        <f>=Round(438.55030000,0)</f>
        <v>#VALUE!</v>
      </c>
      <c r="J3193" s="14" t="e">
        <f>=Round(0.00000000,0)</f>
        <v>#VALUE!</v>
      </c>
    </row>
    <row r="3194">
      <c r="A3194" s="11" t="s">
        <v>52</v>
      </c>
      <c r="B3194" s="12">
        <v>1077.622</v>
      </c>
      <c r="C3194" s="12">
        <v>0</v>
      </c>
      <c r="D3194" s="13">
        <v>0</v>
      </c>
      <c r="E3194" s="12">
        <v>0</v>
      </c>
      <c r="F3194" s="14">
        <v>0</v>
      </c>
      <c r="G3194" s="13">
        <v>5323.7035</v>
      </c>
      <c r="H3194" s="14">
        <v>5736940.013077</v>
      </c>
      <c r="I3194" s="14" t="e">
        <f>=Round(430.02820000,0)</f>
        <v>#VALUE!</v>
      </c>
      <c r="J3194" s="14" t="e">
        <f>=Round(0.00000000,0)</f>
        <v>#VALUE!</v>
      </c>
    </row>
    <row r="3195">
      <c r="A3195" s="11" t="s">
        <v>53</v>
      </c>
      <c r="B3195" s="12">
        <v>1058.551</v>
      </c>
      <c r="C3195" s="12">
        <v>0</v>
      </c>
      <c r="D3195" s="13">
        <v>0</v>
      </c>
      <c r="E3195" s="12">
        <v>0</v>
      </c>
      <c r="F3195" s="14">
        <v>0</v>
      </c>
      <c r="G3195" s="13">
        <v>5323.7035</v>
      </c>
      <c r="H3195" s="14">
        <v>5635411.663629</v>
      </c>
      <c r="I3195" s="14" t="e">
        <f>=Round(431.05420000,0)</f>
        <v>#VALUE!</v>
      </c>
      <c r="J3195" s="14" t="e">
        <f>=Round(0.00000000,0)</f>
        <v>#VALUE!</v>
      </c>
    </row>
    <row r="3196">
      <c r="A3196" s="11" t="s">
        <v>54</v>
      </c>
      <c r="B3196" s="12">
        <v>1031.607</v>
      </c>
      <c r="C3196" s="12">
        <v>0</v>
      </c>
      <c r="D3196" s="13">
        <v>0</v>
      </c>
      <c r="E3196" s="12">
        <v>0</v>
      </c>
      <c r="F3196" s="14">
        <v>0</v>
      </c>
      <c r="G3196" s="13">
        <v>5323.7035</v>
      </c>
      <c r="H3196" s="14">
        <v>5491969.796525</v>
      </c>
      <c r="I3196" s="14" t="e">
        <f>=Round(423.42570000,0)</f>
        <v>#VALUE!</v>
      </c>
      <c r="J3196" s="14" t="e">
        <f>=Round(0.00000000,0)</f>
        <v>#VALUE!</v>
      </c>
    </row>
    <row r="3197">
      <c r="A3197" s="11" t="s">
        <v>55</v>
      </c>
      <c r="B3197" s="12">
        <v>1012.7</v>
      </c>
      <c r="C3197" s="12">
        <v>0</v>
      </c>
      <c r="D3197" s="13">
        <v>0</v>
      </c>
      <c r="E3197" s="12">
        <v>0</v>
      </c>
      <c r="F3197" s="14">
        <v>0</v>
      </c>
      <c r="G3197" s="13">
        <v>5323.7035</v>
      </c>
      <c r="H3197" s="14">
        <v>5391314.53445</v>
      </c>
      <c r="I3197" s="14" t="e">
        <f>=Round(412.64800000,0)</f>
        <v>#VALUE!</v>
      </c>
      <c r="J3197" s="14" t="e">
        <f>=Round(0.00000000,0)</f>
        <v>#VALUE!</v>
      </c>
    </row>
    <row r="3198" ht="-1">
      <c r="A3198" s="15"/>
      <c r="B3198" s="16" t="s">
        <v>56</v>
      </c>
      <c r="C3198" s="15"/>
      <c r="D3198" s="15"/>
      <c r="E3198" s="15"/>
      <c r="F3198" s="15"/>
      <c r="G3198" s="15"/>
      <c r="H3198" s="15"/>
      <c r="I3198" s="17" t="e">
        <f>=Round(SUM(I3172:I3197),0)</f>
        <v>#VALUE!</v>
      </c>
      <c r="J3198" s="17" t="e">
        <f>=Round(SUM(J3172:J3197),0)</f>
        <v>#VALUE!</v>
      </c>
    </row>
    <row r="3199">
      <c r="A3199" s="1" t="s">
        <v>0</v>
      </c>
      <c r="B3199" s="1"/>
      <c r="C3199" s="1"/>
      <c r="D3199" s="1"/>
    </row>
    <row r="3200">
      <c r="A3200" s="0" t="s">
        <v>1</v>
      </c>
      <c r="C3200" s="0" t="s">
        <v>135</v>
      </c>
      <c r="H3200" s="2" t="s">
        <v>3</v>
      </c>
    </row>
    <row r="3201">
      <c r="A3201" s="0" t="s">
        <v>4</v>
      </c>
      <c r="C3201" s="0" t="s">
        <v>143</v>
      </c>
      <c r="H3201" s="3" t="s">
        <v>6</v>
      </c>
    </row>
    <row r="3202">
      <c r="A3202" s="0" t="s">
        <v>7</v>
      </c>
      <c r="C3202" s="4" t="s">
        <v>137</v>
      </c>
      <c r="H3202" s="2" t="s">
        <v>9</v>
      </c>
    </row>
    <row r="3203">
      <c r="A3203" s="0" t="s">
        <v>10</v>
      </c>
      <c r="C3203" s="4" t="s">
        <v>11</v>
      </c>
      <c r="H3203" s="2" t="s">
        <v>12</v>
      </c>
    </row>
    <row r="3204">
      <c r="A3204" s="0" t="s">
        <v>13</v>
      </c>
      <c r="C3204" s="0" t="s">
        <v>14</v>
      </c>
    </row>
    <row r="3205">
      <c r="A3205" s="0" t="s">
        <v>15</v>
      </c>
      <c r="C3205" s="0" t="s">
        <v>16</v>
      </c>
    </row>
    <row r="3206">
      <c r="A3206" s="0" t="s">
        <v>17</v>
      </c>
      <c r="C3206" s="0" t="s">
        <v>18</v>
      </c>
    </row>
    <row r="3209">
      <c r="A3209" s="5" t="s">
        <v>19</v>
      </c>
      <c r="B3209" s="5" t="s">
        <v>20</v>
      </c>
      <c r="C3209" s="7" t="s">
        <v>21</v>
      </c>
      <c r="D3209" s="9"/>
      <c r="E3209" s="7" t="s">
        <v>22</v>
      </c>
      <c r="F3209" s="9"/>
      <c r="G3209" s="5" t="s">
        <v>23</v>
      </c>
      <c r="H3209" s="5" t="s">
        <v>24</v>
      </c>
      <c r="I3209" s="5" t="s">
        <v>138</v>
      </c>
      <c r="J3209" s="5" t="s">
        <v>26</v>
      </c>
    </row>
    <row r="3210">
      <c r="A3210" s="6"/>
      <c r="B3210" s="6"/>
      <c r="C3210" s="8" t="s">
        <v>27</v>
      </c>
      <c r="D3210" s="8" t="s">
        <v>28</v>
      </c>
      <c r="E3210" s="8" t="s">
        <v>27</v>
      </c>
      <c r="F3210" s="8" t="s">
        <v>28</v>
      </c>
      <c r="G3210" s="6"/>
      <c r="H3210" s="6"/>
      <c r="I3210" s="10" t="s">
        <v>29</v>
      </c>
      <c r="J3210" s="6"/>
    </row>
    <row r="3211">
      <c r="A3211" s="11" t="s">
        <v>30</v>
      </c>
      <c r="B3211" s="12">
        <v>1106.364</v>
      </c>
      <c r="C3211" s="12">
        <v>0</v>
      </c>
      <c r="D3211" s="13">
        <v>0</v>
      </c>
      <c r="E3211" s="12">
        <v>0</v>
      </c>
      <c r="F3211" s="14">
        <v>0</v>
      </c>
      <c r="G3211" s="13">
        <v>59071147.1071</v>
      </c>
      <c r="H3211" s="14">
        <v>65354190597.99958</v>
      </c>
      <c r="I3211" s="14" t="e">
        <f>=Round(4940416.19530000,0)</f>
        <v>#VALUE!</v>
      </c>
      <c r="J3211" s="14" t="e">
        <f>=Round(0.00000000,0)</f>
        <v>#VALUE!</v>
      </c>
    </row>
    <row r="3212">
      <c r="A3212" s="11" t="s">
        <v>31</v>
      </c>
      <c r="B3212" s="12">
        <v>1115.058</v>
      </c>
      <c r="C3212" s="12">
        <v>0</v>
      </c>
      <c r="D3212" s="13">
        <v>0</v>
      </c>
      <c r="E3212" s="12">
        <v>0</v>
      </c>
      <c r="F3212" s="14">
        <v>0</v>
      </c>
      <c r="G3212" s="13">
        <v>59071147.1071</v>
      </c>
      <c r="H3212" s="14">
        <v>65867755150.948715</v>
      </c>
      <c r="I3212" s="14" t="e">
        <f>=Round(4910492.46300000,0)</f>
        <v>#VALUE!</v>
      </c>
      <c r="J3212" s="14" t="e">
        <f>=Round(0.00000000,0)</f>
        <v>#VALUE!</v>
      </c>
    </row>
    <row r="3213">
      <c r="A3213" s="11" t="s">
        <v>32</v>
      </c>
      <c r="B3213" s="12">
        <v>1123.214</v>
      </c>
      <c r="C3213" s="12">
        <v>0</v>
      </c>
      <c r="D3213" s="13">
        <v>0</v>
      </c>
      <c r="E3213" s="12">
        <v>0</v>
      </c>
      <c r="F3213" s="14">
        <v>0</v>
      </c>
      <c r="G3213" s="13">
        <v>59071147.1071</v>
      </c>
      <c r="H3213" s="14">
        <v>66349539426.754219</v>
      </c>
      <c r="I3213" s="14" t="e">
        <f>=Round(4949079.96350000,0)</f>
        <v>#VALUE!</v>
      </c>
      <c r="J3213" s="14" t="e">
        <f>=Round(0.00000000,0)</f>
        <v>#VALUE!</v>
      </c>
    </row>
    <row r="3214">
      <c r="A3214" s="11" t="s">
        <v>33</v>
      </c>
      <c r="B3214" s="12">
        <v>1126.069</v>
      </c>
      <c r="C3214" s="12">
        <v>0</v>
      </c>
      <c r="D3214" s="13">
        <v>0</v>
      </c>
      <c r="E3214" s="12">
        <v>0</v>
      </c>
      <c r="F3214" s="14">
        <v>0</v>
      </c>
      <c r="G3214" s="13">
        <v>59071147.1071</v>
      </c>
      <c r="H3214" s="14">
        <v>66518187551.744995</v>
      </c>
      <c r="I3214" s="14" t="e">
        <f>=Round(4985279.60170000,0)</f>
        <v>#VALUE!</v>
      </c>
      <c r="J3214" s="14" t="e">
        <f>=Round(0.00000000,0)</f>
        <v>#VALUE!</v>
      </c>
    </row>
    <row r="3215">
      <c r="A3215" s="11" t="s">
        <v>34</v>
      </c>
      <c r="B3215" s="12">
        <v>1129.718</v>
      </c>
      <c r="C3215" s="12">
        <v>0</v>
      </c>
      <c r="D3215" s="13">
        <v>0</v>
      </c>
      <c r="E3215" s="12">
        <v>0</v>
      </c>
      <c r="F3215" s="14">
        <v>0</v>
      </c>
      <c r="G3215" s="13">
        <v>59071147.1071</v>
      </c>
      <c r="H3215" s="14">
        <v>66733738167.5388</v>
      </c>
      <c r="I3215" s="14" t="e">
        <f>=Round(4997951.25050000,0)</f>
        <v>#VALUE!</v>
      </c>
      <c r="J3215" s="14" t="e">
        <f>=Round(0.00000000,0)</f>
        <v>#VALUE!</v>
      </c>
    </row>
    <row r="3216">
      <c r="A3216" s="11" t="s">
        <v>35</v>
      </c>
      <c r="B3216" s="12">
        <v>1129.718</v>
      </c>
      <c r="C3216" s="12">
        <v>0</v>
      </c>
      <c r="D3216" s="13">
        <v>0</v>
      </c>
      <c r="E3216" s="12">
        <v>0</v>
      </c>
      <c r="F3216" s="14">
        <v>0</v>
      </c>
      <c r="G3216" s="13">
        <v>59071147.1071</v>
      </c>
      <c r="H3216" s="14">
        <v>66733738167.5388</v>
      </c>
      <c r="I3216" s="14" t="e">
        <f>=Round(5014146.99350000,0)</f>
        <v>#VALUE!</v>
      </c>
      <c r="J3216" s="14" t="e">
        <f>=Round(0.00000000,0)</f>
        <v>#VALUE!</v>
      </c>
    </row>
    <row r="3217">
      <c r="A3217" s="11" t="s">
        <v>36</v>
      </c>
      <c r="B3217" s="12">
        <v>1129.718</v>
      </c>
      <c r="C3217" s="12">
        <v>0</v>
      </c>
      <c r="D3217" s="13">
        <v>0</v>
      </c>
      <c r="E3217" s="12">
        <v>0</v>
      </c>
      <c r="F3217" s="14">
        <v>0</v>
      </c>
      <c r="G3217" s="13">
        <v>59071147.1071</v>
      </c>
      <c r="H3217" s="14">
        <v>66733738167.5388</v>
      </c>
      <c r="I3217" s="14" t="e">
        <f>=Round(5014146.99350000,0)</f>
        <v>#VALUE!</v>
      </c>
      <c r="J3217" s="14" t="e">
        <f>=Round(0.00000000,0)</f>
        <v>#VALUE!</v>
      </c>
    </row>
    <row r="3218">
      <c r="A3218" s="11" t="s">
        <v>37</v>
      </c>
      <c r="B3218" s="12">
        <v>1116.408</v>
      </c>
      <c r="C3218" s="12">
        <v>0</v>
      </c>
      <c r="D3218" s="13">
        <v>0</v>
      </c>
      <c r="E3218" s="12">
        <v>0</v>
      </c>
      <c r="F3218" s="14">
        <v>0</v>
      </c>
      <c r="G3218" s="13">
        <v>59071147.1071</v>
      </c>
      <c r="H3218" s="14">
        <v>65947501199.5433</v>
      </c>
      <c r="I3218" s="14" t="e">
        <f>=Round(5014146.99350000,0)</f>
        <v>#VALUE!</v>
      </c>
      <c r="J3218" s="14" t="e">
        <f>=Round(0.00000000,0)</f>
        <v>#VALUE!</v>
      </c>
    </row>
    <row r="3219">
      <c r="A3219" s="11" t="s">
        <v>38</v>
      </c>
      <c r="B3219" s="12">
        <v>1113.311</v>
      </c>
      <c r="C3219" s="12">
        <v>0</v>
      </c>
      <c r="D3219" s="13">
        <v>0</v>
      </c>
      <c r="E3219" s="12">
        <v>0</v>
      </c>
      <c r="F3219" s="14">
        <v>0</v>
      </c>
      <c r="G3219" s="13">
        <v>59071147.1071</v>
      </c>
      <c r="H3219" s="14">
        <v>65764557856.952606</v>
      </c>
      <c r="I3219" s="14" t="e">
        <f>=Round(4955071.81140000,0)</f>
        <v>#VALUE!</v>
      </c>
      <c r="J3219" s="14" t="e">
        <f>=Round(0.00000000,0)</f>
        <v>#VALUE!</v>
      </c>
    </row>
    <row r="3220">
      <c r="A3220" s="11" t="s">
        <v>39</v>
      </c>
      <c r="B3220" s="12">
        <v>1099.022</v>
      </c>
      <c r="C3220" s="12">
        <v>0</v>
      </c>
      <c r="D3220" s="13">
        <v>0</v>
      </c>
      <c r="E3220" s="12">
        <v>0</v>
      </c>
      <c r="F3220" s="14">
        <v>0</v>
      </c>
      <c r="G3220" s="13">
        <v>59071147.1071</v>
      </c>
      <c r="H3220" s="14">
        <v>64920490235.939255</v>
      </c>
      <c r="I3220" s="14" t="e">
        <f>=Round(4941326.06850000,0)</f>
        <v>#VALUE!</v>
      </c>
      <c r="J3220" s="14" t="e">
        <f>=Round(0.00000000,0)</f>
        <v>#VALUE!</v>
      </c>
    </row>
    <row r="3221">
      <c r="A3221" s="11" t="s">
        <v>40</v>
      </c>
      <c r="B3221" s="12">
        <v>1089.065</v>
      </c>
      <c r="C3221" s="12">
        <v>0</v>
      </c>
      <c r="D3221" s="13">
        <v>0</v>
      </c>
      <c r="E3221" s="12">
        <v>0</v>
      </c>
      <c r="F3221" s="14">
        <v>0</v>
      </c>
      <c r="G3221" s="13">
        <v>59071147.1071</v>
      </c>
      <c r="H3221" s="14">
        <v>64332318824.193863</v>
      </c>
      <c r="I3221" s="14" t="e">
        <f>=Round(4877905.68710000,0)</f>
        <v>#VALUE!</v>
      </c>
      <c r="J3221" s="14" t="e">
        <f>=Round(0.00000000,0)</f>
        <v>#VALUE!</v>
      </c>
    </row>
    <row r="3222">
      <c r="A3222" s="11" t="s">
        <v>41</v>
      </c>
      <c r="B3222" s="12">
        <v>1091.855</v>
      </c>
      <c r="C3222" s="12">
        <v>0</v>
      </c>
      <c r="D3222" s="13">
        <v>0</v>
      </c>
      <c r="E3222" s="12">
        <v>0</v>
      </c>
      <c r="F3222" s="14">
        <v>0</v>
      </c>
      <c r="G3222" s="13">
        <v>59071147.1071</v>
      </c>
      <c r="H3222" s="14">
        <v>64497127324.622673</v>
      </c>
      <c r="I3222" s="14" t="e">
        <f>=Round(4833712.48000000,0)</f>
        <v>#VALUE!</v>
      </c>
      <c r="J3222" s="14" t="e">
        <f>=Round(0.00000000,0)</f>
        <v>#VALUE!</v>
      </c>
    </row>
    <row r="3223">
      <c r="A3223" s="11" t="s">
        <v>42</v>
      </c>
      <c r="B3223" s="12">
        <v>1091.855</v>
      </c>
      <c r="C3223" s="12">
        <v>0</v>
      </c>
      <c r="D3223" s="13">
        <v>0</v>
      </c>
      <c r="E3223" s="12">
        <v>0</v>
      </c>
      <c r="F3223" s="14">
        <v>0</v>
      </c>
      <c r="G3223" s="13">
        <v>59071147.1071</v>
      </c>
      <c r="H3223" s="14">
        <v>64497127324.622673</v>
      </c>
      <c r="I3223" s="14" t="e">
        <f>=Round(4846095.63230000,0)</f>
        <v>#VALUE!</v>
      </c>
      <c r="J3223" s="14" t="e">
        <f>=Round(0.00000000,0)</f>
        <v>#VALUE!</v>
      </c>
    </row>
    <row r="3224">
      <c r="A3224" s="11" t="s">
        <v>43</v>
      </c>
      <c r="B3224" s="12">
        <v>1091.855</v>
      </c>
      <c r="C3224" s="12">
        <v>0</v>
      </c>
      <c r="D3224" s="13">
        <v>0</v>
      </c>
      <c r="E3224" s="12">
        <v>0</v>
      </c>
      <c r="F3224" s="14">
        <v>0</v>
      </c>
      <c r="G3224" s="13">
        <v>59071147.1071</v>
      </c>
      <c r="H3224" s="14">
        <v>64497127324.622673</v>
      </c>
      <c r="I3224" s="14" t="e">
        <f>=Round(4846095.63230000,0)</f>
        <v>#VALUE!</v>
      </c>
      <c r="J3224" s="14" t="e">
        <f>=Round(0.00000000,0)</f>
        <v>#VALUE!</v>
      </c>
    </row>
    <row r="3225">
      <c r="A3225" s="11" t="s">
        <v>44</v>
      </c>
      <c r="B3225" s="12">
        <v>1092.609</v>
      </c>
      <c r="C3225" s="12">
        <v>0</v>
      </c>
      <c r="D3225" s="13">
        <v>0</v>
      </c>
      <c r="E3225" s="12">
        <v>0</v>
      </c>
      <c r="F3225" s="14">
        <v>0</v>
      </c>
      <c r="G3225" s="13">
        <v>59071147.1071</v>
      </c>
      <c r="H3225" s="14">
        <v>64541666969.541428</v>
      </c>
      <c r="I3225" s="14" t="e">
        <f>=Round(4846095.63230000,0)</f>
        <v>#VALUE!</v>
      </c>
      <c r="J3225" s="14" t="e">
        <f>=Round(0.00000000,0)</f>
        <v>#VALUE!</v>
      </c>
    </row>
    <row r="3226">
      <c r="A3226" s="11" t="s">
        <v>45</v>
      </c>
      <c r="B3226" s="12">
        <v>1098.159</v>
      </c>
      <c r="C3226" s="12">
        <v>0</v>
      </c>
      <c r="D3226" s="13">
        <v>0</v>
      </c>
      <c r="E3226" s="12">
        <v>0</v>
      </c>
      <c r="F3226" s="14">
        <v>0</v>
      </c>
      <c r="G3226" s="13">
        <v>59071147.1071</v>
      </c>
      <c r="H3226" s="14">
        <v>64869511835.985832</v>
      </c>
      <c r="I3226" s="14" t="e">
        <f>=Round(4849442.19030000,0)</f>
        <v>#VALUE!</v>
      </c>
      <c r="J3226" s="14" t="e">
        <f>=Round(0.00000000,0)</f>
        <v>#VALUE!</v>
      </c>
    </row>
    <row r="3227">
      <c r="A3227" s="11" t="s">
        <v>46</v>
      </c>
      <c r="B3227" s="12">
        <v>1108.258</v>
      </c>
      <c r="C3227" s="12">
        <v>0</v>
      </c>
      <c r="D3227" s="13">
        <v>0</v>
      </c>
      <c r="E3227" s="12">
        <v>0</v>
      </c>
      <c r="F3227" s="14">
        <v>0</v>
      </c>
      <c r="G3227" s="13">
        <v>59071147.1071</v>
      </c>
      <c r="H3227" s="14">
        <v>65466071350.62043</v>
      </c>
      <c r="I3227" s="14" t="e">
        <f>=Round(4874075.34290000,0)</f>
        <v>#VALUE!</v>
      </c>
      <c r="J3227" s="14" t="e">
        <f>=Round(0.00000000,0)</f>
        <v>#VALUE!</v>
      </c>
    </row>
    <row r="3228">
      <c r="A3228" s="11" t="s">
        <v>47</v>
      </c>
      <c r="B3228" s="12">
        <v>1111.48</v>
      </c>
      <c r="C3228" s="12">
        <v>0</v>
      </c>
      <c r="D3228" s="13">
        <v>0</v>
      </c>
      <c r="E3228" s="12">
        <v>0</v>
      </c>
      <c r="F3228" s="14">
        <v>0</v>
      </c>
      <c r="G3228" s="13">
        <v>59071147.1071</v>
      </c>
      <c r="H3228" s="14">
        <v>65656398586.5995</v>
      </c>
      <c r="I3228" s="14" t="e">
        <f>=Round(4918898.80370000,0)</f>
        <v>#VALUE!</v>
      </c>
      <c r="J3228" s="14" t="e">
        <f>=Round(0.00000000,0)</f>
        <v>#VALUE!</v>
      </c>
    </row>
    <row r="3229">
      <c r="A3229" s="11" t="s">
        <v>48</v>
      </c>
      <c r="B3229" s="12">
        <v>1096.362</v>
      </c>
      <c r="C3229" s="12">
        <v>0</v>
      </c>
      <c r="D3229" s="13">
        <v>0</v>
      </c>
      <c r="E3229" s="12">
        <v>0</v>
      </c>
      <c r="F3229" s="14">
        <v>0</v>
      </c>
      <c r="G3229" s="13">
        <v>59071147.1071</v>
      </c>
      <c r="H3229" s="14">
        <v>64763360984.634369</v>
      </c>
      <c r="I3229" s="14" t="e">
        <f>=Round(4933199.34740000,0)</f>
        <v>#VALUE!</v>
      </c>
      <c r="J3229" s="14" t="e">
        <f>=Round(0.00000000,0)</f>
        <v>#VALUE!</v>
      </c>
    </row>
    <row r="3230">
      <c r="A3230" s="11" t="s">
        <v>49</v>
      </c>
      <c r="B3230" s="12">
        <v>1096.362</v>
      </c>
      <c r="C3230" s="12">
        <v>0</v>
      </c>
      <c r="D3230" s="13">
        <v>0</v>
      </c>
      <c r="E3230" s="12">
        <v>0</v>
      </c>
      <c r="F3230" s="14">
        <v>0</v>
      </c>
      <c r="G3230" s="13">
        <v>59071147.1071</v>
      </c>
      <c r="H3230" s="14">
        <v>64763360984.634369</v>
      </c>
      <c r="I3230" s="14" t="e">
        <f>=Round(4866099.52750000,0)</f>
        <v>#VALUE!</v>
      </c>
      <c r="J3230" s="14" t="e">
        <f>=Round(0.00000000,0)</f>
        <v>#VALUE!</v>
      </c>
    </row>
    <row r="3231">
      <c r="A3231" s="11" t="s">
        <v>50</v>
      </c>
      <c r="B3231" s="12">
        <v>1096.362</v>
      </c>
      <c r="C3231" s="12">
        <v>0</v>
      </c>
      <c r="D3231" s="13">
        <v>0</v>
      </c>
      <c r="E3231" s="12">
        <v>0</v>
      </c>
      <c r="F3231" s="14">
        <v>0</v>
      </c>
      <c r="G3231" s="13">
        <v>59071147.1071</v>
      </c>
      <c r="H3231" s="14">
        <v>64763360984.634369</v>
      </c>
      <c r="I3231" s="14" t="e">
        <f>=Round(4866099.52750000,0)</f>
        <v>#VALUE!</v>
      </c>
      <c r="J3231" s="14" t="e">
        <f>=Round(0.00000000,0)</f>
        <v>#VALUE!</v>
      </c>
    </row>
    <row r="3232">
      <c r="A3232" s="11" t="s">
        <v>51</v>
      </c>
      <c r="B3232" s="12">
        <v>1075.057</v>
      </c>
      <c r="C3232" s="12">
        <v>0</v>
      </c>
      <c r="D3232" s="13">
        <v>0</v>
      </c>
      <c r="E3232" s="12">
        <v>0</v>
      </c>
      <c r="F3232" s="14">
        <v>0</v>
      </c>
      <c r="G3232" s="13">
        <v>59071147.1071</v>
      </c>
      <c r="H3232" s="14">
        <v>63504850195.517609</v>
      </c>
      <c r="I3232" s="14" t="e">
        <f>=Round(4866099.52750000,0)</f>
        <v>#VALUE!</v>
      </c>
      <c r="J3232" s="14" t="e">
        <f>=Round(0.00000000,0)</f>
        <v>#VALUE!</v>
      </c>
    </row>
    <row r="3233">
      <c r="A3233" s="11" t="s">
        <v>52</v>
      </c>
      <c r="B3233" s="12">
        <v>1077.622</v>
      </c>
      <c r="C3233" s="12">
        <v>0</v>
      </c>
      <c r="D3233" s="13">
        <v>0</v>
      </c>
      <c r="E3233" s="12">
        <v>0</v>
      </c>
      <c r="F3233" s="14">
        <v>0</v>
      </c>
      <c r="G3233" s="13">
        <v>59071147.1071</v>
      </c>
      <c r="H3233" s="14">
        <v>63656367687.847313</v>
      </c>
      <c r="I3233" s="14" t="e">
        <f>=Round(4771539.29060000,0)</f>
        <v>#VALUE!</v>
      </c>
      <c r="J3233" s="14" t="e">
        <f>=Round(0.00000000,0)</f>
        <v>#VALUE!</v>
      </c>
    </row>
    <row r="3234">
      <c r="A3234" s="11" t="s">
        <v>53</v>
      </c>
      <c r="B3234" s="12">
        <v>1058.551</v>
      </c>
      <c r="C3234" s="12">
        <v>0</v>
      </c>
      <c r="D3234" s="13">
        <v>0</v>
      </c>
      <c r="E3234" s="12">
        <v>0</v>
      </c>
      <c r="F3234" s="14">
        <v>0</v>
      </c>
      <c r="G3234" s="13">
        <v>59071147.1071</v>
      </c>
      <c r="H3234" s="14">
        <v>62529821841.367805</v>
      </c>
      <c r="I3234" s="14" t="e">
        <f>=Round(4782923.80170000,0)</f>
        <v>#VALUE!</v>
      </c>
      <c r="J3234" s="14" t="e">
        <f>=Round(0.00000000,0)</f>
        <v>#VALUE!</v>
      </c>
    </row>
    <row r="3235">
      <c r="A3235" s="11" t="s">
        <v>54</v>
      </c>
      <c r="B3235" s="12">
        <v>1031.607</v>
      </c>
      <c r="C3235" s="12">
        <v>0</v>
      </c>
      <c r="D3235" s="13">
        <v>0</v>
      </c>
      <c r="E3235" s="12">
        <v>0</v>
      </c>
      <c r="F3235" s="14">
        <v>0</v>
      </c>
      <c r="G3235" s="13">
        <v>59071147.1071</v>
      </c>
      <c r="H3235" s="14">
        <v>60938208853.714111</v>
      </c>
      <c r="I3235" s="14" t="e">
        <f>=Round(4698278.96350000,0)</f>
        <v>#VALUE!</v>
      </c>
      <c r="J3235" s="14" t="e">
        <f>=Round(0.00000000,0)</f>
        <v>#VALUE!</v>
      </c>
    </row>
    <row r="3236">
      <c r="A3236" s="11" t="s">
        <v>55</v>
      </c>
      <c r="B3236" s="12">
        <v>1012.7</v>
      </c>
      <c r="C3236" s="12">
        <v>0</v>
      </c>
      <c r="D3236" s="13">
        <v>0</v>
      </c>
      <c r="E3236" s="12">
        <v>0</v>
      </c>
      <c r="F3236" s="14">
        <v>0</v>
      </c>
      <c r="G3236" s="13">
        <v>59071147.1071</v>
      </c>
      <c r="H3236" s="14">
        <v>59821350675.360168</v>
      </c>
      <c r="I3236" s="14" t="e">
        <f>=Round(4578690.55590000,0)</f>
        <v>#VALUE!</v>
      </c>
      <c r="J3236" s="14" t="e">
        <f>=Round(0.00000000,0)</f>
        <v>#VALUE!</v>
      </c>
    </row>
    <row r="3237" ht="-1">
      <c r="A3237" s="15"/>
      <c r="B3237" s="16" t="s">
        <v>56</v>
      </c>
      <c r="C3237" s="15"/>
      <c r="D3237" s="15"/>
      <c r="E3237" s="15"/>
      <c r="F3237" s="15"/>
      <c r="G3237" s="15"/>
      <c r="H3237" s="15"/>
      <c r="I3237" s="17" t="e">
        <f>=Round(SUM(I3211:I3236),0)</f>
        <v>#VALUE!</v>
      </c>
      <c r="J3237" s="17" t="e">
        <f>=Round(SUM(J3211:J3236),0)</f>
        <v>#VALUE!</v>
      </c>
    </row>
    <row r="3238">
      <c r="A3238" s="1" t="s">
        <v>0</v>
      </c>
      <c r="B3238" s="1"/>
      <c r="C3238" s="1"/>
      <c r="D3238" s="1"/>
    </row>
    <row r="3239">
      <c r="A3239" s="0" t="s">
        <v>1</v>
      </c>
      <c r="C3239" s="0" t="s">
        <v>135</v>
      </c>
      <c r="H3239" s="2" t="s">
        <v>3</v>
      </c>
    </row>
    <row r="3240">
      <c r="A3240" s="0" t="s">
        <v>4</v>
      </c>
      <c r="C3240" s="0" t="s">
        <v>127</v>
      </c>
      <c r="H3240" s="3" t="s">
        <v>6</v>
      </c>
    </row>
    <row r="3241">
      <c r="A3241" s="0" t="s">
        <v>7</v>
      </c>
      <c r="C3241" s="4" t="s">
        <v>137</v>
      </c>
      <c r="H3241" s="2" t="s">
        <v>9</v>
      </c>
    </row>
    <row r="3242">
      <c r="A3242" s="0" t="s">
        <v>10</v>
      </c>
      <c r="C3242" s="4" t="s">
        <v>124</v>
      </c>
      <c r="H3242" s="2" t="s">
        <v>12</v>
      </c>
    </row>
    <row r="3243">
      <c r="A3243" s="0" t="s">
        <v>13</v>
      </c>
      <c r="C3243" s="0" t="s">
        <v>14</v>
      </c>
    </row>
    <row r="3244">
      <c r="A3244" s="0" t="s">
        <v>15</v>
      </c>
      <c r="C3244" s="0" t="s">
        <v>16</v>
      </c>
    </row>
    <row r="3245">
      <c r="A3245" s="0" t="s">
        <v>17</v>
      </c>
      <c r="C3245" s="0" t="s">
        <v>18</v>
      </c>
    </row>
    <row r="3248">
      <c r="A3248" s="5" t="s">
        <v>19</v>
      </c>
      <c r="B3248" s="5" t="s">
        <v>20</v>
      </c>
      <c r="C3248" s="7" t="s">
        <v>21</v>
      </c>
      <c r="D3248" s="9"/>
      <c r="E3248" s="7" t="s">
        <v>22</v>
      </c>
      <c r="F3248" s="9"/>
      <c r="G3248" s="5" t="s">
        <v>23</v>
      </c>
      <c r="H3248" s="5" t="s">
        <v>24</v>
      </c>
      <c r="I3248" s="5" t="s">
        <v>138</v>
      </c>
      <c r="J3248" s="5" t="s">
        <v>125</v>
      </c>
    </row>
    <row r="3249">
      <c r="A3249" s="6"/>
      <c r="B3249" s="6"/>
      <c r="C3249" s="8" t="s">
        <v>27</v>
      </c>
      <c r="D3249" s="8" t="s">
        <v>28</v>
      </c>
      <c r="E3249" s="8" t="s">
        <v>27</v>
      </c>
      <c r="F3249" s="8" t="s">
        <v>28</v>
      </c>
      <c r="G3249" s="6"/>
      <c r="H3249" s="6"/>
      <c r="I3249" s="10" t="s">
        <v>29</v>
      </c>
      <c r="J3249" s="6"/>
    </row>
    <row r="3250">
      <c r="A3250" s="11" t="s">
        <v>30</v>
      </c>
      <c r="B3250" s="12">
        <v>1106.364</v>
      </c>
      <c r="C3250" s="12">
        <v>0</v>
      </c>
      <c r="D3250" s="13">
        <v>0</v>
      </c>
      <c r="E3250" s="12">
        <v>0</v>
      </c>
      <c r="F3250" s="14">
        <v>0</v>
      </c>
      <c r="G3250" s="13">
        <v>65432.9102</v>
      </c>
      <c r="H3250" s="14">
        <v>72392616.260513</v>
      </c>
      <c r="I3250" s="14" t="e">
        <f>=Round(5464.96870000,0)</f>
        <v>#VALUE!</v>
      </c>
      <c r="J3250" s="14" t="e">
        <f>=Round(2484.07420000,0)</f>
        <v>#VALUE!</v>
      </c>
    </row>
    <row r="3251">
      <c r="A3251" s="11" t="s">
        <v>31</v>
      </c>
      <c r="B3251" s="12">
        <v>1115.058</v>
      </c>
      <c r="C3251" s="12">
        <v>0</v>
      </c>
      <c r="D3251" s="13">
        <v>0</v>
      </c>
      <c r="E3251" s="12">
        <v>81.6742</v>
      </c>
      <c r="F3251" s="14">
        <v>91071.47</v>
      </c>
      <c r="G3251" s="13">
        <v>65432.9102</v>
      </c>
      <c r="H3251" s="14">
        <v>72961489.981792</v>
      </c>
      <c r="I3251" s="14" t="e">
        <f>=Round(5439.33590000,0)</f>
        <v>#VALUE!</v>
      </c>
      <c r="J3251" s="14" t="e">
        <f>=Round(2472.42290000,0)</f>
        <v>#VALUE!</v>
      </c>
    </row>
    <row r="3252">
      <c r="A3252" s="11" t="s">
        <v>32</v>
      </c>
      <c r="B3252" s="12">
        <v>1123.214</v>
      </c>
      <c r="C3252" s="12">
        <v>17806.1563</v>
      </c>
      <c r="D3252" s="13">
        <v>20000124</v>
      </c>
      <c r="E3252" s="12">
        <v>1744.677</v>
      </c>
      <c r="F3252" s="14">
        <v>1959645.63</v>
      </c>
      <c r="G3252" s="13">
        <v>65351.236</v>
      </c>
      <c r="H3252" s="14">
        <v>73403423.192504</v>
      </c>
      <c r="I3252" s="14" t="e">
        <f>=Round(5482.07920000,0)</f>
        <v>#VALUE!</v>
      </c>
      <c r="J3252" s="14" t="e">
        <f>=Round(2491.85170000,0)</f>
        <v>#VALUE!</v>
      </c>
    </row>
    <row r="3253">
      <c r="A3253" s="11" t="s">
        <v>33</v>
      </c>
      <c r="B3253" s="12">
        <v>1126.069</v>
      </c>
      <c r="C3253" s="12">
        <v>0</v>
      </c>
      <c r="D3253" s="13">
        <v>0</v>
      </c>
      <c r="E3253" s="12">
        <v>0</v>
      </c>
      <c r="F3253" s="14">
        <v>0</v>
      </c>
      <c r="G3253" s="13">
        <v>81412.7153</v>
      </c>
      <c r="H3253" s="14">
        <v>91676334.905156</v>
      </c>
      <c r="I3253" s="14" t="e">
        <f>=Round(5515.28450000,0)</f>
        <v>#VALUE!</v>
      </c>
      <c r="J3253" s="14" t="e">
        <f>=Round(2506.94500000,0)</f>
        <v>#VALUE!</v>
      </c>
    </row>
    <row r="3254">
      <c r="A3254" s="11" t="s">
        <v>34</v>
      </c>
      <c r="B3254" s="12">
        <v>1129.718</v>
      </c>
      <c r="C3254" s="12">
        <v>0</v>
      </c>
      <c r="D3254" s="13">
        <v>0</v>
      </c>
      <c r="E3254" s="12">
        <v>0</v>
      </c>
      <c r="F3254" s="14">
        <v>0</v>
      </c>
      <c r="G3254" s="13">
        <v>81412.7153</v>
      </c>
      <c r="H3254" s="14">
        <v>91973409.903285</v>
      </c>
      <c r="I3254" s="14" t="e">
        <f>=Round(6888.24920000,0)</f>
        <v>#VALUE!</v>
      </c>
      <c r="J3254" s="14" t="e">
        <f>=Round(3131.01920000,0)</f>
        <v>#VALUE!</v>
      </c>
    </row>
    <row r="3255">
      <c r="A3255" s="11" t="s">
        <v>35</v>
      </c>
      <c r="B3255" s="12">
        <v>1129.718</v>
      </c>
      <c r="C3255" s="12">
        <v>0</v>
      </c>
      <c r="D3255" s="13">
        <v>0</v>
      </c>
      <c r="E3255" s="12">
        <v>0</v>
      </c>
      <c r="F3255" s="14">
        <v>0</v>
      </c>
      <c r="G3255" s="13">
        <v>81412.7153</v>
      </c>
      <c r="H3255" s="14">
        <v>91973409.903285</v>
      </c>
      <c r="I3255" s="14" t="e">
        <f>=Round(6910.57040000,0)</f>
        <v>#VALUE!</v>
      </c>
      <c r="J3255" s="14" t="e">
        <f>=Round(3141.16520000,0)</f>
        <v>#VALUE!</v>
      </c>
    </row>
    <row r="3256">
      <c r="A3256" s="11" t="s">
        <v>36</v>
      </c>
      <c r="B3256" s="12">
        <v>1129.718</v>
      </c>
      <c r="C3256" s="12">
        <v>0</v>
      </c>
      <c r="D3256" s="13">
        <v>0</v>
      </c>
      <c r="E3256" s="12">
        <v>0</v>
      </c>
      <c r="F3256" s="14">
        <v>0</v>
      </c>
      <c r="G3256" s="13">
        <v>81412.7153</v>
      </c>
      <c r="H3256" s="14">
        <v>91973409.903285</v>
      </c>
      <c r="I3256" s="14" t="e">
        <f>=Round(6910.57040000,0)</f>
        <v>#VALUE!</v>
      </c>
      <c r="J3256" s="14" t="e">
        <f>=Round(3141.16520000,0)</f>
        <v>#VALUE!</v>
      </c>
    </row>
    <row r="3257">
      <c r="A3257" s="11" t="s">
        <v>37</v>
      </c>
      <c r="B3257" s="12">
        <v>1116.408</v>
      </c>
      <c r="C3257" s="12">
        <v>0</v>
      </c>
      <c r="D3257" s="13">
        <v>0</v>
      </c>
      <c r="E3257" s="12">
        <v>0</v>
      </c>
      <c r="F3257" s="14">
        <v>0</v>
      </c>
      <c r="G3257" s="13">
        <v>81412.7153</v>
      </c>
      <c r="H3257" s="14">
        <v>90889806.662642</v>
      </c>
      <c r="I3257" s="14" t="e">
        <f>=Round(6910.57040000,0)</f>
        <v>#VALUE!</v>
      </c>
      <c r="J3257" s="14" t="e">
        <f>=Round(3141.16520000,0)</f>
        <v>#VALUE!</v>
      </c>
    </row>
    <row r="3258">
      <c r="A3258" s="11" t="s">
        <v>38</v>
      </c>
      <c r="B3258" s="12">
        <v>1113.311</v>
      </c>
      <c r="C3258" s="12">
        <v>0</v>
      </c>
      <c r="D3258" s="13">
        <v>0</v>
      </c>
      <c r="E3258" s="12">
        <v>0</v>
      </c>
      <c r="F3258" s="14">
        <v>0</v>
      </c>
      <c r="G3258" s="13">
        <v>81412.7153</v>
      </c>
      <c r="H3258" s="14">
        <v>90637671.483358</v>
      </c>
      <c r="I3258" s="14" t="e">
        <f>=Round(6829.15210000,0)</f>
        <v>#VALUE!</v>
      </c>
      <c r="J3258" s="14" t="e">
        <f>=Round(3104.15700000,0)</f>
        <v>#VALUE!</v>
      </c>
    </row>
    <row r="3259">
      <c r="A3259" s="11" t="s">
        <v>39</v>
      </c>
      <c r="B3259" s="12">
        <v>1099.022</v>
      </c>
      <c r="C3259" s="12">
        <v>9099.8752</v>
      </c>
      <c r="D3259" s="13">
        <v>10000963</v>
      </c>
      <c r="E3259" s="12">
        <v>0.0001</v>
      </c>
      <c r="F3259" s="14">
        <v>0</v>
      </c>
      <c r="G3259" s="13">
        <v>81412.7153</v>
      </c>
      <c r="H3259" s="14">
        <v>89474365.194437</v>
      </c>
      <c r="I3259" s="14" t="e">
        <f>=Round(6810.20760000,0)</f>
        <v>#VALUE!</v>
      </c>
      <c r="J3259" s="14" t="e">
        <f>=Round(3095.54580000,0)</f>
        <v>#VALUE!</v>
      </c>
    </row>
    <row r="3260">
      <c r="A3260" s="11" t="s">
        <v>40</v>
      </c>
      <c r="B3260" s="12">
        <v>1089.065</v>
      </c>
      <c r="C3260" s="12">
        <v>0</v>
      </c>
      <c r="D3260" s="13">
        <v>0</v>
      </c>
      <c r="E3260" s="12">
        <v>0</v>
      </c>
      <c r="F3260" s="14">
        <v>0</v>
      </c>
      <c r="G3260" s="13">
        <v>90512.5904</v>
      </c>
      <c r="H3260" s="14">
        <v>98574094.263976</v>
      </c>
      <c r="I3260" s="14" t="e">
        <f>=Round(6722.80070000,0)</f>
        <v>#VALUE!</v>
      </c>
      <c r="J3260" s="14" t="e">
        <f>=Round(3055.81540000,0)</f>
        <v>#VALUE!</v>
      </c>
    </row>
    <row r="3261">
      <c r="A3261" s="11" t="s">
        <v>41</v>
      </c>
      <c r="B3261" s="12">
        <v>1091.855</v>
      </c>
      <c r="C3261" s="12">
        <v>0</v>
      </c>
      <c r="D3261" s="13">
        <v>0</v>
      </c>
      <c r="E3261" s="12">
        <v>0</v>
      </c>
      <c r="F3261" s="14">
        <v>0</v>
      </c>
      <c r="G3261" s="13">
        <v>90512.5904</v>
      </c>
      <c r="H3261" s="14">
        <v>98826624.391192</v>
      </c>
      <c r="I3261" s="14" t="e">
        <f>=Round(7406.52350000,0)</f>
        <v>#VALUE!</v>
      </c>
      <c r="J3261" s="14" t="e">
        <f>=Round(3366.59820000,0)</f>
        <v>#VALUE!</v>
      </c>
    </row>
    <row r="3262">
      <c r="A3262" s="11" t="s">
        <v>42</v>
      </c>
      <c r="B3262" s="12">
        <v>1091.855</v>
      </c>
      <c r="C3262" s="12">
        <v>0</v>
      </c>
      <c r="D3262" s="13">
        <v>0</v>
      </c>
      <c r="E3262" s="12">
        <v>0</v>
      </c>
      <c r="F3262" s="14">
        <v>0</v>
      </c>
      <c r="G3262" s="13">
        <v>90512.5904</v>
      </c>
      <c r="H3262" s="14">
        <v>98826624.391192</v>
      </c>
      <c r="I3262" s="14" t="e">
        <f>=Round(7425.49770000,0)</f>
        <v>#VALUE!</v>
      </c>
      <c r="J3262" s="14" t="e">
        <f>=Round(3375.22290000,0)</f>
        <v>#VALUE!</v>
      </c>
    </row>
    <row r="3263">
      <c r="A3263" s="11" t="s">
        <v>43</v>
      </c>
      <c r="B3263" s="12">
        <v>1091.855</v>
      </c>
      <c r="C3263" s="12">
        <v>0</v>
      </c>
      <c r="D3263" s="13">
        <v>0</v>
      </c>
      <c r="E3263" s="12">
        <v>0</v>
      </c>
      <c r="F3263" s="14">
        <v>0</v>
      </c>
      <c r="G3263" s="13">
        <v>90512.5904</v>
      </c>
      <c r="H3263" s="14">
        <v>98826624.391192</v>
      </c>
      <c r="I3263" s="14" t="e">
        <f>=Round(7425.49770000,0)</f>
        <v>#VALUE!</v>
      </c>
      <c r="J3263" s="14" t="e">
        <f>=Round(3375.22290000,0)</f>
        <v>#VALUE!</v>
      </c>
    </row>
    <row r="3264">
      <c r="A3264" s="11" t="s">
        <v>44</v>
      </c>
      <c r="B3264" s="12">
        <v>1092.609</v>
      </c>
      <c r="C3264" s="12">
        <v>0</v>
      </c>
      <c r="D3264" s="13">
        <v>0</v>
      </c>
      <c r="E3264" s="12">
        <v>0</v>
      </c>
      <c r="F3264" s="14">
        <v>0</v>
      </c>
      <c r="G3264" s="13">
        <v>90512.5904</v>
      </c>
      <c r="H3264" s="14">
        <v>98894870.884354</v>
      </c>
      <c r="I3264" s="14" t="e">
        <f>=Round(7425.49770000,0)</f>
        <v>#VALUE!</v>
      </c>
      <c r="J3264" s="14" t="e">
        <f>=Round(3375.22290000,0)</f>
        <v>#VALUE!</v>
      </c>
    </row>
    <row r="3265">
      <c r="A3265" s="11" t="s">
        <v>45</v>
      </c>
      <c r="B3265" s="12">
        <v>1098.159</v>
      </c>
      <c r="C3265" s="12">
        <v>0</v>
      </c>
      <c r="D3265" s="13">
        <v>0</v>
      </c>
      <c r="E3265" s="12">
        <v>265.46</v>
      </c>
      <c r="F3265" s="14">
        <v>291517.29</v>
      </c>
      <c r="G3265" s="13">
        <v>90512.5904</v>
      </c>
      <c r="H3265" s="14">
        <v>99397215.761074</v>
      </c>
      <c r="I3265" s="14" t="e">
        <f>=Round(7430.62550000,0)</f>
        <v>#VALUE!</v>
      </c>
      <c r="J3265" s="14" t="e">
        <f>=Round(3377.55370000,0)</f>
        <v>#VALUE!</v>
      </c>
    </row>
    <row r="3266">
      <c r="A3266" s="11" t="s">
        <v>46</v>
      </c>
      <c r="B3266" s="12">
        <v>1108.258</v>
      </c>
      <c r="C3266" s="12">
        <v>0</v>
      </c>
      <c r="D3266" s="13">
        <v>0</v>
      </c>
      <c r="E3266" s="12">
        <v>0</v>
      </c>
      <c r="F3266" s="14">
        <v>0</v>
      </c>
      <c r="G3266" s="13">
        <v>90247.1304</v>
      </c>
      <c r="H3266" s="14">
        <v>100017104.242843</v>
      </c>
      <c r="I3266" s="14" t="e">
        <f>=Round(7468.37000000,0)</f>
        <v>#VALUE!</v>
      </c>
      <c r="J3266" s="14" t="e">
        <f>=Round(3394.71030000,0)</f>
        <v>#VALUE!</v>
      </c>
    </row>
    <row r="3267">
      <c r="A3267" s="11" t="s">
        <v>47</v>
      </c>
      <c r="B3267" s="12">
        <v>1111.48</v>
      </c>
      <c r="C3267" s="12">
        <v>0</v>
      </c>
      <c r="D3267" s="13">
        <v>0</v>
      </c>
      <c r="E3267" s="12">
        <v>0</v>
      </c>
      <c r="F3267" s="14">
        <v>0</v>
      </c>
      <c r="G3267" s="13">
        <v>90247.1304</v>
      </c>
      <c r="H3267" s="14">
        <v>100307880.496992</v>
      </c>
      <c r="I3267" s="14" t="e">
        <f>=Round(7514.94640000,0)</f>
        <v>#VALUE!</v>
      </c>
      <c r="J3267" s="14" t="e">
        <f>=Round(3415.88130000,0)</f>
        <v>#VALUE!</v>
      </c>
    </row>
    <row r="3268">
      <c r="A3268" s="11" t="s">
        <v>48</v>
      </c>
      <c r="B3268" s="12">
        <v>1096.362</v>
      </c>
      <c r="C3268" s="12">
        <v>0</v>
      </c>
      <c r="D3268" s="13">
        <v>0</v>
      </c>
      <c r="E3268" s="12">
        <v>0</v>
      </c>
      <c r="F3268" s="14">
        <v>0</v>
      </c>
      <c r="G3268" s="13">
        <v>90247.1304</v>
      </c>
      <c r="H3268" s="14">
        <v>98943524.379605</v>
      </c>
      <c r="I3268" s="14" t="e">
        <f>=Round(7536.79430000,0)</f>
        <v>#VALUE!</v>
      </c>
      <c r="J3268" s="14" t="e">
        <f>=Round(3425.81220000,0)</f>
        <v>#VALUE!</v>
      </c>
    </row>
    <row r="3269">
      <c r="A3269" s="11" t="s">
        <v>49</v>
      </c>
      <c r="B3269" s="12">
        <v>1096.362</v>
      </c>
      <c r="C3269" s="12">
        <v>0</v>
      </c>
      <c r="D3269" s="13">
        <v>0</v>
      </c>
      <c r="E3269" s="12">
        <v>0</v>
      </c>
      <c r="F3269" s="14">
        <v>0</v>
      </c>
      <c r="G3269" s="13">
        <v>90247.1304</v>
      </c>
      <c r="H3269" s="14">
        <v>98943524.379605</v>
      </c>
      <c r="I3269" s="14" t="e">
        <f>=Round(7434.28120000,0)</f>
        <v>#VALUE!</v>
      </c>
      <c r="J3269" s="14" t="e">
        <f>=Round(3379.21530000,0)</f>
        <v>#VALUE!</v>
      </c>
    </row>
    <row r="3270">
      <c r="A3270" s="11" t="s">
        <v>50</v>
      </c>
      <c r="B3270" s="12">
        <v>1096.362</v>
      </c>
      <c r="C3270" s="12">
        <v>0</v>
      </c>
      <c r="D3270" s="13">
        <v>0</v>
      </c>
      <c r="E3270" s="12">
        <v>0</v>
      </c>
      <c r="F3270" s="14">
        <v>0</v>
      </c>
      <c r="G3270" s="13">
        <v>90247.1304</v>
      </c>
      <c r="H3270" s="14">
        <v>98943524.379605</v>
      </c>
      <c r="I3270" s="14" t="e">
        <f>=Round(7434.28120000,0)</f>
        <v>#VALUE!</v>
      </c>
      <c r="J3270" s="14" t="e">
        <f>=Round(3379.21530000,0)</f>
        <v>#VALUE!</v>
      </c>
    </row>
    <row r="3271">
      <c r="A3271" s="11" t="s">
        <v>51</v>
      </c>
      <c r="B3271" s="12">
        <v>1075.057</v>
      </c>
      <c r="C3271" s="12">
        <v>0</v>
      </c>
      <c r="D3271" s="13">
        <v>0</v>
      </c>
      <c r="E3271" s="12">
        <v>0</v>
      </c>
      <c r="F3271" s="14">
        <v>0</v>
      </c>
      <c r="G3271" s="13">
        <v>90247.1304</v>
      </c>
      <c r="H3271" s="14">
        <v>97020809.266433</v>
      </c>
      <c r="I3271" s="14" t="e">
        <f>=Round(7434.28120000,0)</f>
        <v>#VALUE!</v>
      </c>
      <c r="J3271" s="14" t="e">
        <f>=Round(3379.21530000,0)</f>
        <v>#VALUE!</v>
      </c>
    </row>
    <row r="3272">
      <c r="A3272" s="11" t="s">
        <v>52</v>
      </c>
      <c r="B3272" s="12">
        <v>1077.622</v>
      </c>
      <c r="C3272" s="12">
        <v>4640.1957</v>
      </c>
      <c r="D3272" s="13">
        <v>5000377</v>
      </c>
      <c r="E3272" s="12">
        <v>417.3476</v>
      </c>
      <c r="F3272" s="14">
        <v>449742.96</v>
      </c>
      <c r="G3272" s="13">
        <v>90247.1304</v>
      </c>
      <c r="H3272" s="14">
        <v>97252293.155909</v>
      </c>
      <c r="I3272" s="14" t="e">
        <f>=Round(7289.81490000,0)</f>
        <v>#VALUE!</v>
      </c>
      <c r="J3272" s="14" t="e">
        <f>=Round(3313.54890000,0)</f>
        <v>#VALUE!</v>
      </c>
    </row>
    <row r="3273">
      <c r="A3273" s="11" t="s">
        <v>53</v>
      </c>
      <c r="B3273" s="12">
        <v>1058.551</v>
      </c>
      <c r="C3273" s="12">
        <v>0</v>
      </c>
      <c r="D3273" s="13">
        <v>0</v>
      </c>
      <c r="E3273" s="12">
        <v>0</v>
      </c>
      <c r="F3273" s="14">
        <v>0</v>
      </c>
      <c r="G3273" s="13">
        <v>94469.9785</v>
      </c>
      <c r="H3273" s="14">
        <v>100001290.211154</v>
      </c>
      <c r="I3273" s="14" t="e">
        <f>=Round(7307.20780000,0)</f>
        <v>#VALUE!</v>
      </c>
      <c r="J3273" s="14" t="e">
        <f>=Round(3321.45480000,0)</f>
        <v>#VALUE!</v>
      </c>
    </row>
    <row r="3274">
      <c r="A3274" s="11" t="s">
        <v>54</v>
      </c>
      <c r="B3274" s="12">
        <v>1031.607</v>
      </c>
      <c r="C3274" s="12">
        <v>0</v>
      </c>
      <c r="D3274" s="13">
        <v>0</v>
      </c>
      <c r="E3274" s="12">
        <v>0</v>
      </c>
      <c r="F3274" s="14">
        <v>0</v>
      </c>
      <c r="G3274" s="13">
        <v>94469.9785</v>
      </c>
      <c r="H3274" s="14">
        <v>97455891.11045</v>
      </c>
      <c r="I3274" s="14" t="e">
        <f>=Round(7513.75810000,0)</f>
        <v>#VALUE!</v>
      </c>
      <c r="J3274" s="14" t="e">
        <f>=Round(3415.34120000,0)</f>
        <v>#VALUE!</v>
      </c>
    </row>
    <row r="3275">
      <c r="A3275" s="11" t="s">
        <v>55</v>
      </c>
      <c r="B3275" s="12">
        <v>1012.7</v>
      </c>
      <c r="C3275" s="12">
        <v>98.7459</v>
      </c>
      <c r="D3275" s="13">
        <v>100000</v>
      </c>
      <c r="E3275" s="12">
        <v>0</v>
      </c>
      <c r="F3275" s="14">
        <v>0</v>
      </c>
      <c r="G3275" s="13">
        <v>94469.9785</v>
      </c>
      <c r="H3275" s="14">
        <v>95669747.22695</v>
      </c>
      <c r="I3275" s="14" t="e">
        <f>=Round(7322.50550000,0)</f>
        <v>#VALUE!</v>
      </c>
      <c r="J3275" s="14" t="e">
        <f>=Round(3328.40830000,0)</f>
        <v>#VALUE!</v>
      </c>
    </row>
    <row r="3276" ht="-1">
      <c r="A3276" s="15"/>
      <c r="B3276" s="16" t="s">
        <v>56</v>
      </c>
      <c r="C3276" s="15"/>
      <c r="D3276" s="15"/>
      <c r="E3276" s="15"/>
      <c r="F3276" s="15"/>
      <c r="G3276" s="15"/>
      <c r="H3276" s="15"/>
      <c r="I3276" s="17" t="e">
        <f>=Round(SUM(I3250:I3275),0)</f>
        <v>#VALUE!</v>
      </c>
      <c r="J3276" s="17" t="e">
        <f>=Round(SUM(J3250:J3275),0)</f>
        <v>#VALUE!</v>
      </c>
    </row>
    <row r="3277">
      <c r="A3277" s="1" t="s">
        <v>0</v>
      </c>
      <c r="B3277" s="1"/>
      <c r="C3277" s="1"/>
      <c r="D3277" s="1"/>
    </row>
    <row r="3278">
      <c r="A3278" s="0" t="s">
        <v>1</v>
      </c>
      <c r="C3278" s="0" t="s">
        <v>135</v>
      </c>
      <c r="H3278" s="2" t="s">
        <v>3</v>
      </c>
    </row>
    <row r="3279">
      <c r="A3279" s="0" t="s">
        <v>4</v>
      </c>
      <c r="C3279" s="0" t="s">
        <v>129</v>
      </c>
      <c r="H3279" s="3" t="s">
        <v>6</v>
      </c>
    </row>
    <row r="3280">
      <c r="A3280" s="0" t="s">
        <v>7</v>
      </c>
      <c r="C3280" s="4" t="s">
        <v>137</v>
      </c>
      <c r="H3280" s="2" t="s">
        <v>9</v>
      </c>
    </row>
    <row r="3281">
      <c r="A3281" s="0" t="s">
        <v>10</v>
      </c>
      <c r="C3281" s="4" t="s">
        <v>124</v>
      </c>
      <c r="H3281" s="2" t="s">
        <v>12</v>
      </c>
    </row>
    <row r="3282">
      <c r="A3282" s="0" t="s">
        <v>13</v>
      </c>
      <c r="C3282" s="0" t="s">
        <v>14</v>
      </c>
    </row>
    <row r="3283">
      <c r="A3283" s="0" t="s">
        <v>15</v>
      </c>
      <c r="C3283" s="0" t="s">
        <v>16</v>
      </c>
    </row>
    <row r="3284">
      <c r="A3284" s="0" t="s">
        <v>17</v>
      </c>
      <c r="C3284" s="0" t="s">
        <v>18</v>
      </c>
    </row>
    <row r="3287">
      <c r="A3287" s="5" t="s">
        <v>19</v>
      </c>
      <c r="B3287" s="5" t="s">
        <v>20</v>
      </c>
      <c r="C3287" s="7" t="s">
        <v>21</v>
      </c>
      <c r="D3287" s="9"/>
      <c r="E3287" s="7" t="s">
        <v>22</v>
      </c>
      <c r="F3287" s="9"/>
      <c r="G3287" s="5" t="s">
        <v>23</v>
      </c>
      <c r="H3287" s="5" t="s">
        <v>24</v>
      </c>
      <c r="I3287" s="5" t="s">
        <v>138</v>
      </c>
      <c r="J3287" s="5" t="s">
        <v>125</v>
      </c>
    </row>
    <row r="3288">
      <c r="A3288" s="6"/>
      <c r="B3288" s="6"/>
      <c r="C3288" s="8" t="s">
        <v>27</v>
      </c>
      <c r="D3288" s="8" t="s">
        <v>28</v>
      </c>
      <c r="E3288" s="8" t="s">
        <v>27</v>
      </c>
      <c r="F3288" s="8" t="s">
        <v>28</v>
      </c>
      <c r="G3288" s="6"/>
      <c r="H3288" s="6"/>
      <c r="I3288" s="10" t="s">
        <v>29</v>
      </c>
      <c r="J3288" s="6"/>
    </row>
    <row r="3289">
      <c r="A3289" s="11" t="s">
        <v>30</v>
      </c>
      <c r="B3289" s="12">
        <v>1106.364</v>
      </c>
      <c r="C3289" s="12">
        <v>0</v>
      </c>
      <c r="D3289" s="13">
        <v>0</v>
      </c>
      <c r="E3289" s="12">
        <v>0</v>
      </c>
      <c r="F3289" s="14">
        <v>0</v>
      </c>
      <c r="G3289" s="13">
        <v>46671.1865</v>
      </c>
      <c r="H3289" s="14">
        <v>51635320.580886</v>
      </c>
      <c r="I3289" s="14" t="e">
        <f>=Round(3880.80430000,0)</f>
        <v>#VALUE!</v>
      </c>
      <c r="J3289" s="14" t="e">
        <f>=Round(1764.00020000,0)</f>
        <v>#VALUE!</v>
      </c>
    </row>
    <row r="3290">
      <c r="A3290" s="11" t="s">
        <v>31</v>
      </c>
      <c r="B3290" s="12">
        <v>1115.058</v>
      </c>
      <c r="C3290" s="12">
        <v>0</v>
      </c>
      <c r="D3290" s="13">
        <v>0</v>
      </c>
      <c r="E3290" s="12">
        <v>0</v>
      </c>
      <c r="F3290" s="14">
        <v>0</v>
      </c>
      <c r="G3290" s="13">
        <v>46671.1865</v>
      </c>
      <c r="H3290" s="14">
        <v>52041079.876317</v>
      </c>
      <c r="I3290" s="14" t="e">
        <f>=Round(3879.70300000,0)</f>
        <v>#VALUE!</v>
      </c>
      <c r="J3290" s="14" t="e">
        <f>=Round(1763.49960000,0)</f>
        <v>#VALUE!</v>
      </c>
    </row>
    <row r="3291">
      <c r="A3291" s="11" t="s">
        <v>32</v>
      </c>
      <c r="B3291" s="12">
        <v>1123.214</v>
      </c>
      <c r="C3291" s="12">
        <v>0</v>
      </c>
      <c r="D3291" s="13">
        <v>0</v>
      </c>
      <c r="E3291" s="12">
        <v>0</v>
      </c>
      <c r="F3291" s="14">
        <v>0</v>
      </c>
      <c r="G3291" s="13">
        <v>46671.1865</v>
      </c>
      <c r="H3291" s="14">
        <v>52421730.073411</v>
      </c>
      <c r="I3291" s="14" t="e">
        <f>=Round(3910.19040000,0)</f>
        <v>#VALUE!</v>
      </c>
      <c r="J3291" s="14" t="e">
        <f>=Round(1777.35750000,0)</f>
        <v>#VALUE!</v>
      </c>
    </row>
    <row r="3292">
      <c r="A3292" s="11" t="s">
        <v>33</v>
      </c>
      <c r="B3292" s="12">
        <v>1126.069</v>
      </c>
      <c r="C3292" s="12">
        <v>177.609</v>
      </c>
      <c r="D3292" s="13">
        <v>200000</v>
      </c>
      <c r="E3292" s="12">
        <v>0</v>
      </c>
      <c r="F3292" s="14">
        <v>0</v>
      </c>
      <c r="G3292" s="13">
        <v>46671.1865</v>
      </c>
      <c r="H3292" s="14">
        <v>52554976.310869</v>
      </c>
      <c r="I3292" s="14" t="e">
        <f>=Round(3938.79120000,0)</f>
        <v>#VALUE!</v>
      </c>
      <c r="J3292" s="14" t="e">
        <f>=Round(1790.35780000,0)</f>
        <v>#VALUE!</v>
      </c>
    </row>
    <row r="3293">
      <c r="A3293" s="11" t="s">
        <v>34</v>
      </c>
      <c r="B3293" s="12">
        <v>1129.718</v>
      </c>
      <c r="C3293" s="12">
        <v>0</v>
      </c>
      <c r="D3293" s="13">
        <v>0</v>
      </c>
      <c r="E3293" s="12">
        <v>0</v>
      </c>
      <c r="F3293" s="14">
        <v>0</v>
      </c>
      <c r="G3293" s="13">
        <v>46848.7955</v>
      </c>
      <c r="H3293" s="14">
        <v>52925927.554669</v>
      </c>
      <c r="I3293" s="14" t="e">
        <f>=Round(3948.80290000,0)</f>
        <v>#VALUE!</v>
      </c>
      <c r="J3293" s="14" t="e">
        <f>=Round(1794.90860000,0)</f>
        <v>#VALUE!</v>
      </c>
    </row>
    <row r="3294">
      <c r="A3294" s="11" t="s">
        <v>35</v>
      </c>
      <c r="B3294" s="12">
        <v>1129.718</v>
      </c>
      <c r="C3294" s="12">
        <v>0</v>
      </c>
      <c r="D3294" s="13">
        <v>0</v>
      </c>
      <c r="E3294" s="12">
        <v>0</v>
      </c>
      <c r="F3294" s="14">
        <v>0</v>
      </c>
      <c r="G3294" s="13">
        <v>46848.7955</v>
      </c>
      <c r="H3294" s="14">
        <v>52925927.554669</v>
      </c>
      <c r="I3294" s="14" t="e">
        <f>=Round(3976.67490000,0)</f>
        <v>#VALUE!</v>
      </c>
      <c r="J3294" s="14" t="e">
        <f>=Round(1807.57770000,0)</f>
        <v>#VALUE!</v>
      </c>
    </row>
    <row r="3295">
      <c r="A3295" s="11" t="s">
        <v>36</v>
      </c>
      <c r="B3295" s="12">
        <v>1129.718</v>
      </c>
      <c r="C3295" s="12">
        <v>0</v>
      </c>
      <c r="D3295" s="13">
        <v>0</v>
      </c>
      <c r="E3295" s="12">
        <v>0</v>
      </c>
      <c r="F3295" s="14">
        <v>0</v>
      </c>
      <c r="G3295" s="13">
        <v>46848.7955</v>
      </c>
      <c r="H3295" s="14">
        <v>52925927.554669</v>
      </c>
      <c r="I3295" s="14" t="e">
        <f>=Round(3976.67490000,0)</f>
        <v>#VALUE!</v>
      </c>
      <c r="J3295" s="14" t="e">
        <f>=Round(1807.57770000,0)</f>
        <v>#VALUE!</v>
      </c>
    </row>
    <row r="3296">
      <c r="A3296" s="11" t="s">
        <v>37</v>
      </c>
      <c r="B3296" s="12">
        <v>1116.408</v>
      </c>
      <c r="C3296" s="12">
        <v>0</v>
      </c>
      <c r="D3296" s="13">
        <v>0</v>
      </c>
      <c r="E3296" s="12">
        <v>0</v>
      </c>
      <c r="F3296" s="14">
        <v>0</v>
      </c>
      <c r="G3296" s="13">
        <v>46848.7955</v>
      </c>
      <c r="H3296" s="14">
        <v>52302370.086564</v>
      </c>
      <c r="I3296" s="14" t="e">
        <f>=Round(3976.67490000,0)</f>
        <v>#VALUE!</v>
      </c>
      <c r="J3296" s="14" t="e">
        <f>=Round(1807.57770000,0)</f>
        <v>#VALUE!</v>
      </c>
    </row>
    <row r="3297">
      <c r="A3297" s="11" t="s">
        <v>38</v>
      </c>
      <c r="B3297" s="12">
        <v>1113.311</v>
      </c>
      <c r="C3297" s="12">
        <v>0</v>
      </c>
      <c r="D3297" s="13">
        <v>0</v>
      </c>
      <c r="E3297" s="12">
        <v>0</v>
      </c>
      <c r="F3297" s="14">
        <v>0</v>
      </c>
      <c r="G3297" s="13">
        <v>46848.7955</v>
      </c>
      <c r="H3297" s="14">
        <v>52157279.366901</v>
      </c>
      <c r="I3297" s="14" t="e">
        <f>=Round(3929.82290000,0)</f>
        <v>#VALUE!</v>
      </c>
      <c r="J3297" s="14" t="e">
        <f>=Round(1786.28130000,0)</f>
        <v>#VALUE!</v>
      </c>
    </row>
    <row r="3298">
      <c r="A3298" s="11" t="s">
        <v>39</v>
      </c>
      <c r="B3298" s="12">
        <v>1099.022</v>
      </c>
      <c r="C3298" s="12">
        <v>0</v>
      </c>
      <c r="D3298" s="13">
        <v>0</v>
      </c>
      <c r="E3298" s="12">
        <v>895.7299</v>
      </c>
      <c r="F3298" s="14">
        <v>984426.87</v>
      </c>
      <c r="G3298" s="13">
        <v>46848.7955</v>
      </c>
      <c r="H3298" s="14">
        <v>51487856.928001</v>
      </c>
      <c r="I3298" s="14" t="e">
        <f>=Round(3918.92130000,0)</f>
        <v>#VALUE!</v>
      </c>
      <c r="J3298" s="14" t="e">
        <f>=Round(1781.32610000,0)</f>
        <v>#VALUE!</v>
      </c>
    </row>
    <row r="3299">
      <c r="A3299" s="11" t="s">
        <v>40</v>
      </c>
      <c r="B3299" s="12">
        <v>1089.065</v>
      </c>
      <c r="C3299" s="12">
        <v>367.2875</v>
      </c>
      <c r="D3299" s="13">
        <v>400000</v>
      </c>
      <c r="E3299" s="12">
        <v>0</v>
      </c>
      <c r="F3299" s="14">
        <v>0</v>
      </c>
      <c r="G3299" s="13">
        <v>45953.0656</v>
      </c>
      <c r="H3299" s="14">
        <v>50045875.387664</v>
      </c>
      <c r="I3299" s="14" t="e">
        <f>=Round(3868.62310000,0)</f>
        <v>#VALUE!</v>
      </c>
      <c r="J3299" s="14" t="e">
        <f>=Round(1758.46330000,0)</f>
        <v>#VALUE!</v>
      </c>
    </row>
    <row r="3300">
      <c r="A3300" s="11" t="s">
        <v>41</v>
      </c>
      <c r="B3300" s="12">
        <v>1091.855</v>
      </c>
      <c r="C3300" s="12">
        <v>0</v>
      </c>
      <c r="D3300" s="13">
        <v>0</v>
      </c>
      <c r="E3300" s="12">
        <v>0</v>
      </c>
      <c r="F3300" s="14">
        <v>0</v>
      </c>
      <c r="G3300" s="13">
        <v>46320.3531</v>
      </c>
      <c r="H3300" s="14">
        <v>50575109.134001</v>
      </c>
      <c r="I3300" s="14" t="e">
        <f>=Round(3760.27750000,0)</f>
        <v>#VALUE!</v>
      </c>
      <c r="J3300" s="14" t="e">
        <f>=Round(1709.21530000,0)</f>
        <v>#VALUE!</v>
      </c>
    </row>
    <row r="3301">
      <c r="A3301" s="11" t="s">
        <v>42</v>
      </c>
      <c r="B3301" s="12">
        <v>1091.855</v>
      </c>
      <c r="C3301" s="12">
        <v>0</v>
      </c>
      <c r="D3301" s="13">
        <v>0</v>
      </c>
      <c r="E3301" s="12">
        <v>0</v>
      </c>
      <c r="F3301" s="14">
        <v>0</v>
      </c>
      <c r="G3301" s="13">
        <v>46320.3531</v>
      </c>
      <c r="H3301" s="14">
        <v>50575109.134001</v>
      </c>
      <c r="I3301" s="14" t="e">
        <f>=Round(3800.04240000,0)</f>
        <v>#VALUE!</v>
      </c>
      <c r="J3301" s="14" t="e">
        <f>=Round(1727.29030000,0)</f>
        <v>#VALUE!</v>
      </c>
    </row>
    <row r="3302">
      <c r="A3302" s="11" t="s">
        <v>43</v>
      </c>
      <c r="B3302" s="12">
        <v>1091.855</v>
      </c>
      <c r="C3302" s="12">
        <v>0</v>
      </c>
      <c r="D3302" s="13">
        <v>0</v>
      </c>
      <c r="E3302" s="12">
        <v>0</v>
      </c>
      <c r="F3302" s="14">
        <v>0</v>
      </c>
      <c r="G3302" s="13">
        <v>46320.3531</v>
      </c>
      <c r="H3302" s="14">
        <v>50575109.134001</v>
      </c>
      <c r="I3302" s="14" t="e">
        <f>=Round(3800.04240000,0)</f>
        <v>#VALUE!</v>
      </c>
      <c r="J3302" s="14" t="e">
        <f>=Round(1727.29030000,0)</f>
        <v>#VALUE!</v>
      </c>
    </row>
    <row r="3303">
      <c r="A3303" s="11" t="s">
        <v>44</v>
      </c>
      <c r="B3303" s="12">
        <v>1092.609</v>
      </c>
      <c r="C3303" s="12">
        <v>0</v>
      </c>
      <c r="D3303" s="13">
        <v>0</v>
      </c>
      <c r="E3303" s="12">
        <v>0</v>
      </c>
      <c r="F3303" s="14">
        <v>0</v>
      </c>
      <c r="G3303" s="13">
        <v>46320.3531</v>
      </c>
      <c r="H3303" s="14">
        <v>50610034.680238</v>
      </c>
      <c r="I3303" s="14" t="e">
        <f>=Round(3800.04240000,0)</f>
        <v>#VALUE!</v>
      </c>
      <c r="J3303" s="14" t="e">
        <f>=Round(1727.29030000,0)</f>
        <v>#VALUE!</v>
      </c>
    </row>
    <row r="3304">
      <c r="A3304" s="11" t="s">
        <v>45</v>
      </c>
      <c r="B3304" s="12">
        <v>1098.159</v>
      </c>
      <c r="C3304" s="12">
        <v>0</v>
      </c>
      <c r="D3304" s="13">
        <v>0</v>
      </c>
      <c r="E3304" s="12">
        <v>0</v>
      </c>
      <c r="F3304" s="14">
        <v>0</v>
      </c>
      <c r="G3304" s="13">
        <v>46320.3531</v>
      </c>
      <c r="H3304" s="14">
        <v>50867112.639943</v>
      </c>
      <c r="I3304" s="14" t="e">
        <f>=Round(3802.66650000,0)</f>
        <v>#VALUE!</v>
      </c>
      <c r="J3304" s="14" t="e">
        <f>=Round(1728.48310000,0)</f>
        <v>#VALUE!</v>
      </c>
    </row>
    <row r="3305">
      <c r="A3305" s="11" t="s">
        <v>46</v>
      </c>
      <c r="B3305" s="12">
        <v>1108.258</v>
      </c>
      <c r="C3305" s="12">
        <v>0</v>
      </c>
      <c r="D3305" s="13">
        <v>0</v>
      </c>
      <c r="E3305" s="12">
        <v>0</v>
      </c>
      <c r="F3305" s="14">
        <v>0</v>
      </c>
      <c r="G3305" s="13">
        <v>46320.3531</v>
      </c>
      <c r="H3305" s="14">
        <v>51334901.8859</v>
      </c>
      <c r="I3305" s="14" t="e">
        <f>=Round(3821.98250000,0)</f>
        <v>#VALUE!</v>
      </c>
      <c r="J3305" s="14" t="e">
        <f>=Round(1737.26300000,0)</f>
        <v>#VALUE!</v>
      </c>
    </row>
    <row r="3306">
      <c r="A3306" s="11" t="s">
        <v>47</v>
      </c>
      <c r="B3306" s="12">
        <v>1111.48</v>
      </c>
      <c r="C3306" s="12">
        <v>449.8506</v>
      </c>
      <c r="D3306" s="13">
        <v>500000</v>
      </c>
      <c r="E3306" s="12">
        <v>0</v>
      </c>
      <c r="F3306" s="14">
        <v>0</v>
      </c>
      <c r="G3306" s="13">
        <v>46320.3531</v>
      </c>
      <c r="H3306" s="14">
        <v>51484146.063588</v>
      </c>
      <c r="I3306" s="14" t="e">
        <f>=Round(3857.13060000,0)</f>
        <v>#VALUE!</v>
      </c>
      <c r="J3306" s="14" t="e">
        <f>=Round(1753.23940000,0)</f>
        <v>#VALUE!</v>
      </c>
    </row>
    <row r="3307">
      <c r="A3307" s="11" t="s">
        <v>48</v>
      </c>
      <c r="B3307" s="12">
        <v>1096.362</v>
      </c>
      <c r="C3307" s="12">
        <v>0</v>
      </c>
      <c r="D3307" s="13">
        <v>0</v>
      </c>
      <c r="E3307" s="12">
        <v>0</v>
      </c>
      <c r="F3307" s="14">
        <v>0</v>
      </c>
      <c r="G3307" s="13">
        <v>46770.2037</v>
      </c>
      <c r="H3307" s="14">
        <v>51277074.068939</v>
      </c>
      <c r="I3307" s="14" t="e">
        <f>=Round(3868.34430000,0)</f>
        <v>#VALUE!</v>
      </c>
      <c r="J3307" s="14" t="e">
        <f>=Round(1758.33660000,0)</f>
        <v>#VALUE!</v>
      </c>
    </row>
    <row r="3308">
      <c r="A3308" s="11" t="s">
        <v>49</v>
      </c>
      <c r="B3308" s="12">
        <v>1096.362</v>
      </c>
      <c r="C3308" s="12">
        <v>0</v>
      </c>
      <c r="D3308" s="13">
        <v>0</v>
      </c>
      <c r="E3308" s="12">
        <v>0</v>
      </c>
      <c r="F3308" s="14">
        <v>0</v>
      </c>
      <c r="G3308" s="13">
        <v>46770.2037</v>
      </c>
      <c r="H3308" s="14">
        <v>51277074.068939</v>
      </c>
      <c r="I3308" s="14" t="e">
        <f>=Round(3852.78560000,0)</f>
        <v>#VALUE!</v>
      </c>
      <c r="J3308" s="14" t="e">
        <f>=Round(1751.26440000,0)</f>
        <v>#VALUE!</v>
      </c>
    </row>
    <row r="3309">
      <c r="A3309" s="11" t="s">
        <v>50</v>
      </c>
      <c r="B3309" s="12">
        <v>1096.362</v>
      </c>
      <c r="C3309" s="12">
        <v>0</v>
      </c>
      <c r="D3309" s="13">
        <v>0</v>
      </c>
      <c r="E3309" s="12">
        <v>0</v>
      </c>
      <c r="F3309" s="14">
        <v>0</v>
      </c>
      <c r="G3309" s="13">
        <v>46770.2037</v>
      </c>
      <c r="H3309" s="14">
        <v>51277074.068939</v>
      </c>
      <c r="I3309" s="14" t="e">
        <f>=Round(3852.78560000,0)</f>
        <v>#VALUE!</v>
      </c>
      <c r="J3309" s="14" t="e">
        <f>=Round(1751.26440000,0)</f>
        <v>#VALUE!</v>
      </c>
    </row>
    <row r="3310">
      <c r="A3310" s="11" t="s">
        <v>51</v>
      </c>
      <c r="B3310" s="12">
        <v>1075.057</v>
      </c>
      <c r="C3310" s="12">
        <v>0</v>
      </c>
      <c r="D3310" s="13">
        <v>0</v>
      </c>
      <c r="E3310" s="12">
        <v>0</v>
      </c>
      <c r="F3310" s="14">
        <v>0</v>
      </c>
      <c r="G3310" s="13">
        <v>46770.2037</v>
      </c>
      <c r="H3310" s="14">
        <v>50280634.879111</v>
      </c>
      <c r="I3310" s="14" t="e">
        <f>=Round(3852.78560000,0)</f>
        <v>#VALUE!</v>
      </c>
      <c r="J3310" s="14" t="e">
        <f>=Round(1751.26440000,0)</f>
        <v>#VALUE!</v>
      </c>
    </row>
    <row r="3311">
      <c r="A3311" s="11" t="s">
        <v>52</v>
      </c>
      <c r="B3311" s="12">
        <v>1077.622</v>
      </c>
      <c r="C3311" s="12">
        <v>0</v>
      </c>
      <c r="D3311" s="13">
        <v>0</v>
      </c>
      <c r="E3311" s="12">
        <v>0</v>
      </c>
      <c r="F3311" s="14">
        <v>0</v>
      </c>
      <c r="G3311" s="13">
        <v>46770.2037</v>
      </c>
      <c r="H3311" s="14">
        <v>50400600.451601</v>
      </c>
      <c r="I3311" s="14" t="e">
        <f>=Round(3777.91660000,0)</f>
        <v>#VALUE!</v>
      </c>
      <c r="J3311" s="14" t="e">
        <f>=Round(1717.23310000,0)</f>
        <v>#VALUE!</v>
      </c>
    </row>
    <row r="3312">
      <c r="A3312" s="11" t="s">
        <v>53</v>
      </c>
      <c r="B3312" s="12">
        <v>1058.551</v>
      </c>
      <c r="C3312" s="12">
        <v>0</v>
      </c>
      <c r="D3312" s="13">
        <v>0</v>
      </c>
      <c r="E3312" s="12">
        <v>0</v>
      </c>
      <c r="F3312" s="14">
        <v>0</v>
      </c>
      <c r="G3312" s="13">
        <v>46770.2037</v>
      </c>
      <c r="H3312" s="14">
        <v>49508645.896839</v>
      </c>
      <c r="I3312" s="14" t="e">
        <f>=Round(3786.93040000,0)</f>
        <v>#VALUE!</v>
      </c>
      <c r="J3312" s="14" t="e">
        <f>=Round(1721.33030000,0)</f>
        <v>#VALUE!</v>
      </c>
    </row>
    <row r="3313">
      <c r="A3313" s="11" t="s">
        <v>54</v>
      </c>
      <c r="B3313" s="12">
        <v>1031.607</v>
      </c>
      <c r="C3313" s="12">
        <v>678.553</v>
      </c>
      <c r="D3313" s="13">
        <v>700000</v>
      </c>
      <c r="E3313" s="12">
        <v>168.3884</v>
      </c>
      <c r="F3313" s="14">
        <v>173710.65</v>
      </c>
      <c r="G3313" s="13">
        <v>46770.2037</v>
      </c>
      <c r="H3313" s="14">
        <v>48248469.528346</v>
      </c>
      <c r="I3313" s="14" t="e">
        <f>=Round(3719.91190000,0)</f>
        <v>#VALUE!</v>
      </c>
      <c r="J3313" s="14" t="e">
        <f>=Round(1690.86740000,0)</f>
        <v>#VALUE!</v>
      </c>
    </row>
    <row r="3314">
      <c r="A3314" s="11" t="s">
        <v>55</v>
      </c>
      <c r="B3314" s="12">
        <v>1012.7</v>
      </c>
      <c r="C3314" s="12">
        <v>197.4919</v>
      </c>
      <c r="D3314" s="13">
        <v>200000</v>
      </c>
      <c r="E3314" s="12">
        <v>0</v>
      </c>
      <c r="F3314" s="14">
        <v>0</v>
      </c>
      <c r="G3314" s="13">
        <v>47280.3683</v>
      </c>
      <c r="H3314" s="14">
        <v>47880828.97741</v>
      </c>
      <c r="I3314" s="14" t="e">
        <f>=Round(3625.22650000,0)</f>
        <v>#VALUE!</v>
      </c>
      <c r="J3314" s="14" t="e">
        <f>=Round(1647.82860000,0)</f>
        <v>#VALUE!</v>
      </c>
    </row>
    <row r="3315" ht="-1">
      <c r="A3315" s="15"/>
      <c r="B3315" s="16" t="s">
        <v>56</v>
      </c>
      <c r="C3315" s="15"/>
      <c r="D3315" s="15"/>
      <c r="E3315" s="15"/>
      <c r="F3315" s="15"/>
      <c r="G3315" s="15"/>
      <c r="H3315" s="15"/>
      <c r="I3315" s="17" t="e">
        <f>=Round(SUM(I3289:I3314),0)</f>
        <v>#VALUE!</v>
      </c>
      <c r="J3315" s="17" t="e">
        <f>=Round(SUM(J3289:J3314),0)</f>
        <v>#VALUE!</v>
      </c>
    </row>
    <row r="3316">
      <c r="A3316" s="1" t="s">
        <v>0</v>
      </c>
      <c r="B3316" s="1"/>
      <c r="C3316" s="1"/>
      <c r="D3316" s="1"/>
    </row>
    <row r="3317">
      <c r="A3317" s="0" t="s">
        <v>1</v>
      </c>
      <c r="C3317" s="0" t="s">
        <v>135</v>
      </c>
      <c r="H3317" s="2" t="s">
        <v>3</v>
      </c>
    </row>
    <row r="3318">
      <c r="A3318" s="0" t="s">
        <v>4</v>
      </c>
      <c r="C3318" s="0" t="s">
        <v>132</v>
      </c>
      <c r="H3318" s="3" t="s">
        <v>6</v>
      </c>
    </row>
    <row r="3319">
      <c r="A3319" s="0" t="s">
        <v>7</v>
      </c>
      <c r="C3319" s="4" t="s">
        <v>137</v>
      </c>
      <c r="H3319" s="2" t="s">
        <v>9</v>
      </c>
    </row>
    <row r="3320">
      <c r="A3320" s="0" t="s">
        <v>10</v>
      </c>
      <c r="C3320" s="4" t="s">
        <v>124</v>
      </c>
      <c r="H3320" s="2" t="s">
        <v>12</v>
      </c>
    </row>
    <row r="3321">
      <c r="A3321" s="0" t="s">
        <v>13</v>
      </c>
      <c r="C3321" s="0" t="s">
        <v>14</v>
      </c>
    </row>
    <row r="3322">
      <c r="A3322" s="0" t="s">
        <v>15</v>
      </c>
      <c r="C3322" s="0" t="s">
        <v>16</v>
      </c>
    </row>
    <row r="3323">
      <c r="A3323" s="0" t="s">
        <v>17</v>
      </c>
      <c r="C3323" s="0" t="s">
        <v>18</v>
      </c>
    </row>
    <row r="3326">
      <c r="A3326" s="5" t="s">
        <v>19</v>
      </c>
      <c r="B3326" s="5" t="s">
        <v>20</v>
      </c>
      <c r="C3326" s="7" t="s">
        <v>21</v>
      </c>
      <c r="D3326" s="9"/>
      <c r="E3326" s="7" t="s">
        <v>22</v>
      </c>
      <c r="F3326" s="9"/>
      <c r="G3326" s="5" t="s">
        <v>23</v>
      </c>
      <c r="H3326" s="5" t="s">
        <v>24</v>
      </c>
      <c r="I3326" s="5" t="s">
        <v>138</v>
      </c>
      <c r="J3326" s="5" t="s">
        <v>125</v>
      </c>
    </row>
    <row r="3327">
      <c r="A3327" s="6"/>
      <c r="B3327" s="6"/>
      <c r="C3327" s="8" t="s">
        <v>27</v>
      </c>
      <c r="D3327" s="8" t="s">
        <v>28</v>
      </c>
      <c r="E3327" s="8" t="s">
        <v>27</v>
      </c>
      <c r="F3327" s="8" t="s">
        <v>28</v>
      </c>
      <c r="G3327" s="6"/>
      <c r="H3327" s="6"/>
      <c r="I3327" s="10" t="s">
        <v>29</v>
      </c>
      <c r="J3327" s="6"/>
    </row>
    <row r="3328">
      <c r="A3328" s="11" t="s">
        <v>30</v>
      </c>
      <c r="B3328" s="12">
        <v>1106.364</v>
      </c>
      <c r="C3328" s="12">
        <v>0</v>
      </c>
      <c r="D3328" s="13">
        <v>0</v>
      </c>
      <c r="E3328" s="12">
        <v>0</v>
      </c>
      <c r="F3328" s="14">
        <v>0</v>
      </c>
      <c r="G3328" s="13">
        <v>16312.9945</v>
      </c>
      <c r="H3328" s="14">
        <v>18048109.846998</v>
      </c>
      <c r="I3328" s="14" t="e">
        <f>=Round(1364.33750000,0)</f>
        <v>#VALUE!</v>
      </c>
      <c r="J3328" s="14" t="e">
        <f>=Round(620.15280000,0)</f>
        <v>#VALUE!</v>
      </c>
    </row>
    <row r="3329">
      <c r="A3329" s="11" t="s">
        <v>31</v>
      </c>
      <c r="B3329" s="12">
        <v>1115.058</v>
      </c>
      <c r="C3329" s="12">
        <v>0</v>
      </c>
      <c r="D3329" s="13">
        <v>0</v>
      </c>
      <c r="E3329" s="12">
        <v>0</v>
      </c>
      <c r="F3329" s="14">
        <v>0</v>
      </c>
      <c r="G3329" s="13">
        <v>16312.9945</v>
      </c>
      <c r="H3329" s="14">
        <v>18189935.021181</v>
      </c>
      <c r="I3329" s="14" t="e">
        <f>=Round(1356.07380000,0)</f>
        <v>#VALUE!</v>
      </c>
      <c r="J3329" s="14" t="e">
        <f>=Round(616.39660000,0)</f>
        <v>#VALUE!</v>
      </c>
    </row>
    <row r="3330">
      <c r="A3330" s="11" t="s">
        <v>32</v>
      </c>
      <c r="B3330" s="12">
        <v>1123.214</v>
      </c>
      <c r="C3330" s="12">
        <v>0</v>
      </c>
      <c r="D3330" s="13">
        <v>0</v>
      </c>
      <c r="E3330" s="12">
        <v>0</v>
      </c>
      <c r="F3330" s="14">
        <v>0</v>
      </c>
      <c r="G3330" s="13">
        <v>16312.9945</v>
      </c>
      <c r="H3330" s="14">
        <v>18322983.804323</v>
      </c>
      <c r="I3330" s="14" t="e">
        <f>=Round(1366.73010000,0)</f>
        <v>#VALUE!</v>
      </c>
      <c r="J3330" s="14" t="e">
        <f>=Round(621.24030000,0)</f>
        <v>#VALUE!</v>
      </c>
    </row>
    <row r="3331">
      <c r="A3331" s="11" t="s">
        <v>33</v>
      </c>
      <c r="B3331" s="12">
        <v>1126.069</v>
      </c>
      <c r="C3331" s="12">
        <v>0</v>
      </c>
      <c r="D3331" s="13">
        <v>0</v>
      </c>
      <c r="E3331" s="12">
        <v>0</v>
      </c>
      <c r="F3331" s="14">
        <v>0</v>
      </c>
      <c r="G3331" s="13">
        <v>16312.9945</v>
      </c>
      <c r="H3331" s="14">
        <v>18369557.403621</v>
      </c>
      <c r="I3331" s="14" t="e">
        <f>=Round(1376.72690000,0)</f>
        <v>#VALUE!</v>
      </c>
      <c r="J3331" s="14" t="e">
        <f>=Round(625.78430000,0)</f>
        <v>#VALUE!</v>
      </c>
    </row>
    <row r="3332">
      <c r="A3332" s="11" t="s">
        <v>34</v>
      </c>
      <c r="B3332" s="12">
        <v>1129.718</v>
      </c>
      <c r="C3332" s="12">
        <v>0</v>
      </c>
      <c r="D3332" s="13">
        <v>0</v>
      </c>
      <c r="E3332" s="12">
        <v>0</v>
      </c>
      <c r="F3332" s="14">
        <v>0</v>
      </c>
      <c r="G3332" s="13">
        <v>16312.9945</v>
      </c>
      <c r="H3332" s="14">
        <v>18429083.520551</v>
      </c>
      <c r="I3332" s="14" t="e">
        <f>=Round(1380.22630000,0)</f>
        <v>#VALUE!</v>
      </c>
      <c r="J3332" s="14" t="e">
        <f>=Round(627.37500000,0)</f>
        <v>#VALUE!</v>
      </c>
    </row>
    <row r="3333">
      <c r="A3333" s="11" t="s">
        <v>35</v>
      </c>
      <c r="B3333" s="12">
        <v>1129.718</v>
      </c>
      <c r="C3333" s="12">
        <v>0</v>
      </c>
      <c r="D3333" s="13">
        <v>0</v>
      </c>
      <c r="E3333" s="12">
        <v>0</v>
      </c>
      <c r="F3333" s="14">
        <v>0</v>
      </c>
      <c r="G3333" s="13">
        <v>16312.9945</v>
      </c>
      <c r="H3333" s="14">
        <v>18429083.520551</v>
      </c>
      <c r="I3333" s="14" t="e">
        <f>=Round(1384.69890000,0)</f>
        <v>#VALUE!</v>
      </c>
      <c r="J3333" s="14" t="e">
        <f>=Round(629.40800000,0)</f>
        <v>#VALUE!</v>
      </c>
    </row>
    <row r="3334">
      <c r="A3334" s="11" t="s">
        <v>36</v>
      </c>
      <c r="B3334" s="12">
        <v>1129.718</v>
      </c>
      <c r="C3334" s="12">
        <v>0</v>
      </c>
      <c r="D3334" s="13">
        <v>0</v>
      </c>
      <c r="E3334" s="12">
        <v>0</v>
      </c>
      <c r="F3334" s="14">
        <v>0</v>
      </c>
      <c r="G3334" s="13">
        <v>16312.9945</v>
      </c>
      <c r="H3334" s="14">
        <v>18429083.520551</v>
      </c>
      <c r="I3334" s="14" t="e">
        <f>=Round(1384.69890000,0)</f>
        <v>#VALUE!</v>
      </c>
      <c r="J3334" s="14" t="e">
        <f>=Round(629.40800000,0)</f>
        <v>#VALUE!</v>
      </c>
    </row>
    <row r="3335">
      <c r="A3335" s="11" t="s">
        <v>37</v>
      </c>
      <c r="B3335" s="12">
        <v>1116.408</v>
      </c>
      <c r="C3335" s="12">
        <v>0</v>
      </c>
      <c r="D3335" s="13">
        <v>0</v>
      </c>
      <c r="E3335" s="12">
        <v>0</v>
      </c>
      <c r="F3335" s="14">
        <v>0</v>
      </c>
      <c r="G3335" s="13">
        <v>16312.9945</v>
      </c>
      <c r="H3335" s="14">
        <v>18211957.563756</v>
      </c>
      <c r="I3335" s="14" t="e">
        <f>=Round(1384.69890000,0)</f>
        <v>#VALUE!</v>
      </c>
      <c r="J3335" s="14" t="e">
        <f>=Round(629.40800000,0)</f>
        <v>#VALUE!</v>
      </c>
    </row>
    <row r="3336">
      <c r="A3336" s="11" t="s">
        <v>38</v>
      </c>
      <c r="B3336" s="12">
        <v>1113.311</v>
      </c>
      <c r="C3336" s="12">
        <v>0</v>
      </c>
      <c r="D3336" s="13">
        <v>0</v>
      </c>
      <c r="E3336" s="12">
        <v>0</v>
      </c>
      <c r="F3336" s="14">
        <v>0</v>
      </c>
      <c r="G3336" s="13">
        <v>16312.9945</v>
      </c>
      <c r="H3336" s="14">
        <v>18161436.21979</v>
      </c>
      <c r="I3336" s="14" t="e">
        <f>=Round(1368.38480000,0)</f>
        <v>#VALUE!</v>
      </c>
      <c r="J3336" s="14" t="e">
        <f>=Round(621.99250000,0)</f>
        <v>#VALUE!</v>
      </c>
    </row>
    <row r="3337">
      <c r="A3337" s="11" t="s">
        <v>39</v>
      </c>
      <c r="B3337" s="12">
        <v>1099.022</v>
      </c>
      <c r="C3337" s="12">
        <v>0</v>
      </c>
      <c r="D3337" s="13">
        <v>0</v>
      </c>
      <c r="E3337" s="12">
        <v>0</v>
      </c>
      <c r="F3337" s="14">
        <v>0</v>
      </c>
      <c r="G3337" s="13">
        <v>16312.9945</v>
      </c>
      <c r="H3337" s="14">
        <v>17928339.841379</v>
      </c>
      <c r="I3337" s="14" t="e">
        <f>=Round(1364.58880000,0)</f>
        <v>#VALUE!</v>
      </c>
      <c r="J3337" s="14" t="e">
        <f>=Round(620.26700000,0)</f>
        <v>#VALUE!</v>
      </c>
    </row>
    <row r="3338">
      <c r="A3338" s="11" t="s">
        <v>40</v>
      </c>
      <c r="B3338" s="12">
        <v>1089.065</v>
      </c>
      <c r="C3338" s="12">
        <v>0</v>
      </c>
      <c r="D3338" s="13">
        <v>0</v>
      </c>
      <c r="E3338" s="12">
        <v>0</v>
      </c>
      <c r="F3338" s="14">
        <v>0</v>
      </c>
      <c r="G3338" s="13">
        <v>16312.9945</v>
      </c>
      <c r="H3338" s="14">
        <v>17765911.355143</v>
      </c>
      <c r="I3338" s="14" t="e">
        <f>=Round(1347.07470000,0)</f>
        <v>#VALUE!</v>
      </c>
      <c r="J3338" s="14" t="e">
        <f>=Round(612.30610000,0)</f>
        <v>#VALUE!</v>
      </c>
    </row>
    <row r="3339">
      <c r="A3339" s="11" t="s">
        <v>41</v>
      </c>
      <c r="B3339" s="12">
        <v>1091.855</v>
      </c>
      <c r="C3339" s="12">
        <v>0</v>
      </c>
      <c r="D3339" s="13">
        <v>0</v>
      </c>
      <c r="E3339" s="12">
        <v>0</v>
      </c>
      <c r="F3339" s="14">
        <v>0</v>
      </c>
      <c r="G3339" s="13">
        <v>16312.9945</v>
      </c>
      <c r="H3339" s="14">
        <v>17811424.609798</v>
      </c>
      <c r="I3339" s="14" t="e">
        <f>=Round(1334.87040000,0)</f>
        <v>#VALUE!</v>
      </c>
      <c r="J3339" s="14" t="e">
        <f>=Round(606.75870000,0)</f>
        <v>#VALUE!</v>
      </c>
    </row>
    <row r="3340">
      <c r="A3340" s="11" t="s">
        <v>42</v>
      </c>
      <c r="B3340" s="12">
        <v>1091.855</v>
      </c>
      <c r="C3340" s="12">
        <v>0</v>
      </c>
      <c r="D3340" s="13">
        <v>0</v>
      </c>
      <c r="E3340" s="12">
        <v>0</v>
      </c>
      <c r="F3340" s="14">
        <v>0</v>
      </c>
      <c r="G3340" s="13">
        <v>16312.9945</v>
      </c>
      <c r="H3340" s="14">
        <v>17811424.609798</v>
      </c>
      <c r="I3340" s="14" t="e">
        <f>=Round(1338.29010000,0)</f>
        <v>#VALUE!</v>
      </c>
      <c r="J3340" s="14" t="e">
        <f>=Round(608.31310000,0)</f>
        <v>#VALUE!</v>
      </c>
    </row>
    <row r="3341">
      <c r="A3341" s="11" t="s">
        <v>43</v>
      </c>
      <c r="B3341" s="12">
        <v>1091.855</v>
      </c>
      <c r="C3341" s="12">
        <v>0</v>
      </c>
      <c r="D3341" s="13">
        <v>0</v>
      </c>
      <c r="E3341" s="12">
        <v>0</v>
      </c>
      <c r="F3341" s="14">
        <v>0</v>
      </c>
      <c r="G3341" s="13">
        <v>16312.9945</v>
      </c>
      <c r="H3341" s="14">
        <v>17811424.609798</v>
      </c>
      <c r="I3341" s="14" t="e">
        <f>=Round(1338.29010000,0)</f>
        <v>#VALUE!</v>
      </c>
      <c r="J3341" s="14" t="e">
        <f>=Round(608.31310000,0)</f>
        <v>#VALUE!</v>
      </c>
    </row>
    <row r="3342">
      <c r="A3342" s="11" t="s">
        <v>44</v>
      </c>
      <c r="B3342" s="12">
        <v>1092.609</v>
      </c>
      <c r="C3342" s="12">
        <v>0</v>
      </c>
      <c r="D3342" s="13">
        <v>0</v>
      </c>
      <c r="E3342" s="12">
        <v>0</v>
      </c>
      <c r="F3342" s="14">
        <v>0</v>
      </c>
      <c r="G3342" s="13">
        <v>16312.9945</v>
      </c>
      <c r="H3342" s="14">
        <v>17823724.607651</v>
      </c>
      <c r="I3342" s="14" t="e">
        <f>=Round(1338.29010000,0)</f>
        <v>#VALUE!</v>
      </c>
      <c r="J3342" s="14" t="e">
        <f>=Round(608.31310000,0)</f>
        <v>#VALUE!</v>
      </c>
    </row>
    <row r="3343">
      <c r="A3343" s="11" t="s">
        <v>45</v>
      </c>
      <c r="B3343" s="12">
        <v>1098.159</v>
      </c>
      <c r="C3343" s="12">
        <v>0</v>
      </c>
      <c r="D3343" s="13">
        <v>0</v>
      </c>
      <c r="E3343" s="12">
        <v>0</v>
      </c>
      <c r="F3343" s="14">
        <v>0</v>
      </c>
      <c r="G3343" s="13">
        <v>16312.9945</v>
      </c>
      <c r="H3343" s="14">
        <v>17914261.727126</v>
      </c>
      <c r="I3343" s="14" t="e">
        <f>=Round(1339.21430000,0)</f>
        <v>#VALUE!</v>
      </c>
      <c r="J3343" s="14" t="e">
        <f>=Round(608.73320000,0)</f>
        <v>#VALUE!</v>
      </c>
    </row>
    <row r="3344">
      <c r="A3344" s="11" t="s">
        <v>46</v>
      </c>
      <c r="B3344" s="12">
        <v>1108.258</v>
      </c>
      <c r="C3344" s="12">
        <v>0</v>
      </c>
      <c r="D3344" s="13">
        <v>0</v>
      </c>
      <c r="E3344" s="12">
        <v>0</v>
      </c>
      <c r="F3344" s="14">
        <v>0</v>
      </c>
      <c r="G3344" s="13">
        <v>16312.9945</v>
      </c>
      <c r="H3344" s="14">
        <v>18079006.658581</v>
      </c>
      <c r="I3344" s="14" t="e">
        <f>=Round(1346.01690000,0)</f>
        <v>#VALUE!</v>
      </c>
      <c r="J3344" s="14" t="e">
        <f>=Round(611.82530000,0)</f>
        <v>#VALUE!</v>
      </c>
    </row>
    <row r="3345">
      <c r="A3345" s="11" t="s">
        <v>47</v>
      </c>
      <c r="B3345" s="12">
        <v>1111.48</v>
      </c>
      <c r="C3345" s="12">
        <v>0</v>
      </c>
      <c r="D3345" s="13">
        <v>0</v>
      </c>
      <c r="E3345" s="12">
        <v>0</v>
      </c>
      <c r="F3345" s="14">
        <v>0</v>
      </c>
      <c r="G3345" s="13">
        <v>16312.9945</v>
      </c>
      <c r="H3345" s="14">
        <v>18131567.12686</v>
      </c>
      <c r="I3345" s="14" t="e">
        <f>=Round(1358.39530000,0)</f>
        <v>#VALUE!</v>
      </c>
      <c r="J3345" s="14" t="e">
        <f>=Round(617.45180000,0)</f>
        <v>#VALUE!</v>
      </c>
    </row>
    <row r="3346">
      <c r="A3346" s="11" t="s">
        <v>48</v>
      </c>
      <c r="B3346" s="12">
        <v>1096.362</v>
      </c>
      <c r="C3346" s="12">
        <v>0</v>
      </c>
      <c r="D3346" s="13">
        <v>0</v>
      </c>
      <c r="E3346" s="12">
        <v>0</v>
      </c>
      <c r="F3346" s="14">
        <v>0</v>
      </c>
      <c r="G3346" s="13">
        <v>16312.9945</v>
      </c>
      <c r="H3346" s="14">
        <v>17884947.276009</v>
      </c>
      <c r="I3346" s="14" t="e">
        <f>=Round(1362.34450000,0)</f>
        <v>#VALUE!</v>
      </c>
      <c r="J3346" s="14" t="e">
        <f>=Round(619.24690000,0)</f>
        <v>#VALUE!</v>
      </c>
    </row>
    <row r="3347">
      <c r="A3347" s="11" t="s">
        <v>49</v>
      </c>
      <c r="B3347" s="12">
        <v>1096.362</v>
      </c>
      <c r="C3347" s="12">
        <v>0</v>
      </c>
      <c r="D3347" s="13">
        <v>0</v>
      </c>
      <c r="E3347" s="12">
        <v>0</v>
      </c>
      <c r="F3347" s="14">
        <v>0</v>
      </c>
      <c r="G3347" s="13">
        <v>16312.9945</v>
      </c>
      <c r="H3347" s="14">
        <v>17884947.276009</v>
      </c>
      <c r="I3347" s="14" t="e">
        <f>=Round(1343.81430000,0)</f>
        <v>#VALUE!</v>
      </c>
      <c r="J3347" s="14" t="e">
        <f>=Round(610.82410000,0)</f>
        <v>#VALUE!</v>
      </c>
    </row>
    <row r="3348">
      <c r="A3348" s="11" t="s">
        <v>50</v>
      </c>
      <c r="B3348" s="12">
        <v>1096.362</v>
      </c>
      <c r="C3348" s="12">
        <v>0</v>
      </c>
      <c r="D3348" s="13">
        <v>0</v>
      </c>
      <c r="E3348" s="12">
        <v>0</v>
      </c>
      <c r="F3348" s="14">
        <v>0</v>
      </c>
      <c r="G3348" s="13">
        <v>16312.9945</v>
      </c>
      <c r="H3348" s="14">
        <v>17884947.276009</v>
      </c>
      <c r="I3348" s="14" t="e">
        <f>=Round(1343.81430000,0)</f>
        <v>#VALUE!</v>
      </c>
      <c r="J3348" s="14" t="e">
        <f>=Round(610.82410000,0)</f>
        <v>#VALUE!</v>
      </c>
    </row>
    <row r="3349">
      <c r="A3349" s="11" t="s">
        <v>51</v>
      </c>
      <c r="B3349" s="12">
        <v>1075.057</v>
      </c>
      <c r="C3349" s="12">
        <v>0</v>
      </c>
      <c r="D3349" s="13">
        <v>0</v>
      </c>
      <c r="E3349" s="12">
        <v>0</v>
      </c>
      <c r="F3349" s="14">
        <v>0</v>
      </c>
      <c r="G3349" s="13">
        <v>16312.9945</v>
      </c>
      <c r="H3349" s="14">
        <v>17537398.928187</v>
      </c>
      <c r="I3349" s="14" t="e">
        <f>=Round(1343.81430000,0)</f>
        <v>#VALUE!</v>
      </c>
      <c r="J3349" s="14" t="e">
        <f>=Round(610.82410000,0)</f>
        <v>#VALUE!</v>
      </c>
    </row>
    <row r="3350">
      <c r="A3350" s="11" t="s">
        <v>52</v>
      </c>
      <c r="B3350" s="12">
        <v>1077.622</v>
      </c>
      <c r="C3350" s="12">
        <v>0</v>
      </c>
      <c r="D3350" s="13">
        <v>0</v>
      </c>
      <c r="E3350" s="12">
        <v>0</v>
      </c>
      <c r="F3350" s="14">
        <v>0</v>
      </c>
      <c r="G3350" s="13">
        <v>16312.9945</v>
      </c>
      <c r="H3350" s="14">
        <v>17579241.759079</v>
      </c>
      <c r="I3350" s="14" t="e">
        <f>=Round(1317.70070000,0)</f>
        <v>#VALUE!</v>
      </c>
      <c r="J3350" s="14" t="e">
        <f>=Round(598.95430000,0)</f>
        <v>#VALUE!</v>
      </c>
    </row>
    <row r="3351">
      <c r="A3351" s="11" t="s">
        <v>53</v>
      </c>
      <c r="B3351" s="12">
        <v>1058.551</v>
      </c>
      <c r="C3351" s="12">
        <v>0</v>
      </c>
      <c r="D3351" s="13">
        <v>0</v>
      </c>
      <c r="E3351" s="12">
        <v>0</v>
      </c>
      <c r="F3351" s="14">
        <v>0</v>
      </c>
      <c r="G3351" s="13">
        <v>16312.9945</v>
      </c>
      <c r="H3351" s="14">
        <v>17268136.64097</v>
      </c>
      <c r="I3351" s="14" t="e">
        <f>=Round(1320.84470000,0)</f>
        <v>#VALUE!</v>
      </c>
      <c r="J3351" s="14" t="e">
        <f>=Round(600.38330000,0)</f>
        <v>#VALUE!</v>
      </c>
    </row>
    <row r="3352">
      <c r="A3352" s="11" t="s">
        <v>54</v>
      </c>
      <c r="B3352" s="12">
        <v>1031.607</v>
      </c>
      <c r="C3352" s="12">
        <v>0</v>
      </c>
      <c r="D3352" s="13">
        <v>0</v>
      </c>
      <c r="E3352" s="12">
        <v>0</v>
      </c>
      <c r="F3352" s="14">
        <v>0</v>
      </c>
      <c r="G3352" s="13">
        <v>16312.9945</v>
      </c>
      <c r="H3352" s="14">
        <v>16828599.317162</v>
      </c>
      <c r="I3352" s="14" t="e">
        <f>=Round(1297.46930000,0)</f>
        <v>#VALUE!</v>
      </c>
      <c r="J3352" s="14" t="e">
        <f>=Round(589.75820000,0)</f>
        <v>#VALUE!</v>
      </c>
    </row>
    <row r="3353">
      <c r="A3353" s="11" t="s">
        <v>55</v>
      </c>
      <c r="B3353" s="12">
        <v>1012.7</v>
      </c>
      <c r="C3353" s="12">
        <v>0</v>
      </c>
      <c r="D3353" s="13">
        <v>0</v>
      </c>
      <c r="E3353" s="12">
        <v>0</v>
      </c>
      <c r="F3353" s="14">
        <v>0</v>
      </c>
      <c r="G3353" s="13">
        <v>16312.9945</v>
      </c>
      <c r="H3353" s="14">
        <v>16520169.53015</v>
      </c>
      <c r="I3353" s="14" t="e">
        <f>=Round(1264.44390000,0)</f>
        <v>#VALUE!</v>
      </c>
      <c r="J3353" s="14" t="e">
        <f>=Round(574.74670000,0)</f>
        <v>#VALUE!</v>
      </c>
    </row>
    <row r="3354" ht="-1">
      <c r="A3354" s="15"/>
      <c r="B3354" s="16" t="s">
        <v>56</v>
      </c>
      <c r="C3354" s="15"/>
      <c r="D3354" s="15"/>
      <c r="E3354" s="15"/>
      <c r="F3354" s="15"/>
      <c r="G3354" s="15"/>
      <c r="H3354" s="15"/>
      <c r="I3354" s="17" t="e">
        <f>=Round(SUM(I3328:I3353),0)</f>
        <v>#VALUE!</v>
      </c>
      <c r="J3354" s="17" t="e">
        <f>=Round(SUM(J3328:J3353),0)</f>
        <v>#VALUE!</v>
      </c>
    </row>
    <row r="3355">
      <c r="A3355" s="1" t="s">
        <v>0</v>
      </c>
      <c r="B3355" s="1"/>
      <c r="C3355" s="1"/>
      <c r="D3355" s="1"/>
    </row>
    <row r="3356">
      <c r="A3356" s="0" t="s">
        <v>1</v>
      </c>
      <c r="C3356" s="0" t="s">
        <v>144</v>
      </c>
      <c r="H3356" s="2" t="s">
        <v>3</v>
      </c>
    </row>
    <row r="3357">
      <c r="A3357" s="0" t="s">
        <v>4</v>
      </c>
      <c r="C3357" s="0" t="s">
        <v>145</v>
      </c>
      <c r="H3357" s="3" t="s">
        <v>6</v>
      </c>
    </row>
    <row r="3358">
      <c r="A3358" s="0" t="s">
        <v>7</v>
      </c>
      <c r="C3358" s="4" t="s">
        <v>146</v>
      </c>
      <c r="H3358" s="2" t="s">
        <v>9</v>
      </c>
    </row>
    <row r="3359">
      <c r="A3359" s="0" t="s">
        <v>10</v>
      </c>
      <c r="C3359" s="4" t="s">
        <v>11</v>
      </c>
      <c r="H3359" s="2" t="s">
        <v>12</v>
      </c>
    </row>
    <row r="3360">
      <c r="A3360" s="0" t="s">
        <v>13</v>
      </c>
      <c r="C3360" s="0" t="s">
        <v>14</v>
      </c>
    </row>
    <row r="3361">
      <c r="A3361" s="0" t="s">
        <v>15</v>
      </c>
      <c r="C3361" s="0" t="s">
        <v>16</v>
      </c>
    </row>
    <row r="3362">
      <c r="A3362" s="0" t="s">
        <v>17</v>
      </c>
      <c r="C3362" s="0" t="s">
        <v>18</v>
      </c>
    </row>
    <row r="3365">
      <c r="A3365" s="5" t="s">
        <v>19</v>
      </c>
      <c r="B3365" s="5" t="s">
        <v>20</v>
      </c>
      <c r="C3365" s="7" t="s">
        <v>21</v>
      </c>
      <c r="D3365" s="9"/>
      <c r="E3365" s="7" t="s">
        <v>22</v>
      </c>
      <c r="F3365" s="9"/>
      <c r="G3365" s="5" t="s">
        <v>23</v>
      </c>
      <c r="H3365" s="5" t="s">
        <v>24</v>
      </c>
      <c r="I3365" s="5" t="s">
        <v>147</v>
      </c>
      <c r="J3365" s="5" t="s">
        <v>26</v>
      </c>
    </row>
    <row r="3366">
      <c r="A3366" s="6"/>
      <c r="B3366" s="6"/>
      <c r="C3366" s="8" t="s">
        <v>27</v>
      </c>
      <c r="D3366" s="8" t="s">
        <v>28</v>
      </c>
      <c r="E3366" s="8" t="s">
        <v>27</v>
      </c>
      <c r="F3366" s="8" t="s">
        <v>28</v>
      </c>
      <c r="G3366" s="6"/>
      <c r="H3366" s="6"/>
      <c r="I3366" s="10" t="s">
        <v>29</v>
      </c>
      <c r="J3366" s="6"/>
    </row>
    <row r="3367">
      <c r="A3367" s="11" t="s">
        <v>30</v>
      </c>
      <c r="B3367" s="12">
        <v>1357.4104</v>
      </c>
      <c r="C3367" s="12">
        <v>0</v>
      </c>
      <c r="D3367" s="13">
        <v>0</v>
      </c>
      <c r="E3367" s="12">
        <v>0</v>
      </c>
      <c r="F3367" s="14">
        <v>0</v>
      </c>
      <c r="G3367" s="13">
        <v>498.7893</v>
      </c>
      <c r="H3367" s="14">
        <v>677061.783229</v>
      </c>
      <c r="I3367" s="14" t="e">
        <f>=Round(10.16920000,0)</f>
        <v>#VALUE!</v>
      </c>
      <c r="J3367" s="14" t="e">
        <f>=Round(0.00000000,0)</f>
        <v>#VALUE!</v>
      </c>
    </row>
    <row r="3368">
      <c r="A3368" s="11" t="s">
        <v>31</v>
      </c>
      <c r="B3368" s="12">
        <v>1357.6428</v>
      </c>
      <c r="C3368" s="12">
        <v>0</v>
      </c>
      <c r="D3368" s="13">
        <v>0</v>
      </c>
      <c r="E3368" s="12">
        <v>0</v>
      </c>
      <c r="F3368" s="14">
        <v>0</v>
      </c>
      <c r="G3368" s="13">
        <v>498.7893</v>
      </c>
      <c r="H3368" s="14">
        <v>677177.701862</v>
      </c>
      <c r="I3368" s="14" t="e">
        <f>=Round(10.17440000,0)</f>
        <v>#VALUE!</v>
      </c>
      <c r="J3368" s="14" t="e">
        <f>=Round(0.00000000,0)</f>
        <v>#VALUE!</v>
      </c>
    </row>
    <row r="3369">
      <c r="A3369" s="11" t="s">
        <v>32</v>
      </c>
      <c r="B3369" s="12">
        <v>1357.8735</v>
      </c>
      <c r="C3369" s="12">
        <v>0</v>
      </c>
      <c r="D3369" s="13">
        <v>0</v>
      </c>
      <c r="E3369" s="12">
        <v>0</v>
      </c>
      <c r="F3369" s="14">
        <v>0</v>
      </c>
      <c r="G3369" s="13">
        <v>498.7893</v>
      </c>
      <c r="H3369" s="14">
        <v>677292.772554</v>
      </c>
      <c r="I3369" s="14" t="e">
        <f>=Round(10.17620000,0)</f>
        <v>#VALUE!</v>
      </c>
      <c r="J3369" s="14" t="e">
        <f>=Round(0.00000000,0)</f>
        <v>#VALUE!</v>
      </c>
    </row>
    <row r="3370">
      <c r="A3370" s="11" t="s">
        <v>33</v>
      </c>
      <c r="B3370" s="12">
        <v>1358.1079</v>
      </c>
      <c r="C3370" s="12">
        <v>0</v>
      </c>
      <c r="D3370" s="13">
        <v>0</v>
      </c>
      <c r="E3370" s="12">
        <v>0</v>
      </c>
      <c r="F3370" s="14">
        <v>0</v>
      </c>
      <c r="G3370" s="13">
        <v>498.7893</v>
      </c>
      <c r="H3370" s="14">
        <v>677409.688765</v>
      </c>
      <c r="I3370" s="14" t="e">
        <f>=Round(10.17790000,0)</f>
        <v>#VALUE!</v>
      </c>
      <c r="J3370" s="14" t="e">
        <f>=Round(0.00000000,0)</f>
        <v>#VALUE!</v>
      </c>
    </row>
    <row r="3371">
      <c r="A3371" s="11" t="s">
        <v>34</v>
      </c>
      <c r="B3371" s="12">
        <v>1358.3402</v>
      </c>
      <c r="C3371" s="12">
        <v>0</v>
      </c>
      <c r="D3371" s="13">
        <v>0</v>
      </c>
      <c r="E3371" s="12">
        <v>0</v>
      </c>
      <c r="F3371" s="14">
        <v>0</v>
      </c>
      <c r="G3371" s="13">
        <v>498.7893</v>
      </c>
      <c r="H3371" s="14">
        <v>677525.55752</v>
      </c>
      <c r="I3371" s="14" t="e">
        <f>=Round(10.17970000,0)</f>
        <v>#VALUE!</v>
      </c>
      <c r="J3371" s="14" t="e">
        <f>=Round(0.00000000,0)</f>
        <v>#VALUE!</v>
      </c>
    </row>
    <row r="3372">
      <c r="A3372" s="11" t="s">
        <v>35</v>
      </c>
      <c r="B3372" s="12">
        <v>1358.3402</v>
      </c>
      <c r="C3372" s="12">
        <v>0</v>
      </c>
      <c r="D3372" s="13">
        <v>0</v>
      </c>
      <c r="E3372" s="12">
        <v>0</v>
      </c>
      <c r="F3372" s="14">
        <v>0</v>
      </c>
      <c r="G3372" s="13">
        <v>498.7893</v>
      </c>
      <c r="H3372" s="14">
        <v>677525.55752</v>
      </c>
      <c r="I3372" s="14" t="e">
        <f>=Round(10.18140000,0)</f>
        <v>#VALUE!</v>
      </c>
      <c r="J3372" s="14" t="e">
        <f>=Round(0.00000000,0)</f>
        <v>#VALUE!</v>
      </c>
    </row>
    <row r="3373">
      <c r="A3373" s="11" t="s">
        <v>36</v>
      </c>
      <c r="B3373" s="12">
        <v>1358.3402</v>
      </c>
      <c r="C3373" s="12">
        <v>0</v>
      </c>
      <c r="D3373" s="13">
        <v>0</v>
      </c>
      <c r="E3373" s="12">
        <v>0</v>
      </c>
      <c r="F3373" s="14">
        <v>0</v>
      </c>
      <c r="G3373" s="13">
        <v>498.7893</v>
      </c>
      <c r="H3373" s="14">
        <v>677525.55752</v>
      </c>
      <c r="I3373" s="14" t="e">
        <f>=Round(10.18140000,0)</f>
        <v>#VALUE!</v>
      </c>
      <c r="J3373" s="14" t="e">
        <f>=Round(0.00000000,0)</f>
        <v>#VALUE!</v>
      </c>
    </row>
    <row r="3374">
      <c r="A3374" s="11" t="s">
        <v>37</v>
      </c>
      <c r="B3374" s="12">
        <v>1359.0395</v>
      </c>
      <c r="C3374" s="12">
        <v>0</v>
      </c>
      <c r="D3374" s="13">
        <v>0</v>
      </c>
      <c r="E3374" s="12">
        <v>0</v>
      </c>
      <c r="F3374" s="14">
        <v>0</v>
      </c>
      <c r="G3374" s="13">
        <v>498.7893</v>
      </c>
      <c r="H3374" s="14">
        <v>677874.360877</v>
      </c>
      <c r="I3374" s="14" t="e">
        <f>=Round(10.18140000,0)</f>
        <v>#VALUE!</v>
      </c>
      <c r="J3374" s="14" t="e">
        <f>=Round(0.00000000,0)</f>
        <v>#VALUE!</v>
      </c>
    </row>
    <row r="3375">
      <c r="A3375" s="11" t="s">
        <v>38</v>
      </c>
      <c r="B3375" s="12">
        <v>1359.2726</v>
      </c>
      <c r="C3375" s="12">
        <v>0</v>
      </c>
      <c r="D3375" s="13">
        <v>0</v>
      </c>
      <c r="E3375" s="12">
        <v>0</v>
      </c>
      <c r="F3375" s="14">
        <v>0</v>
      </c>
      <c r="G3375" s="13">
        <v>498.7893</v>
      </c>
      <c r="H3375" s="14">
        <v>677990.628663</v>
      </c>
      <c r="I3375" s="14" t="e">
        <f>=Round(10.18660000,0)</f>
        <v>#VALUE!</v>
      </c>
      <c r="J3375" s="14" t="e">
        <f>=Round(0.00000000,0)</f>
        <v>#VALUE!</v>
      </c>
    </row>
    <row r="3376">
      <c r="A3376" s="11" t="s">
        <v>39</v>
      </c>
      <c r="B3376" s="12">
        <v>1359.5048</v>
      </c>
      <c r="C3376" s="12">
        <v>0</v>
      </c>
      <c r="D3376" s="13">
        <v>0</v>
      </c>
      <c r="E3376" s="12">
        <v>0</v>
      </c>
      <c r="F3376" s="14">
        <v>0</v>
      </c>
      <c r="G3376" s="13">
        <v>498.7893</v>
      </c>
      <c r="H3376" s="14">
        <v>678106.447539</v>
      </c>
      <c r="I3376" s="14" t="e">
        <f>=Round(10.18840000,0)</f>
        <v>#VALUE!</v>
      </c>
      <c r="J3376" s="14" t="e">
        <f>=Round(0.00000000,0)</f>
        <v>#VALUE!</v>
      </c>
    </row>
    <row r="3377">
      <c r="A3377" s="11" t="s">
        <v>40</v>
      </c>
      <c r="B3377" s="12">
        <v>1359.7365</v>
      </c>
      <c r="C3377" s="12">
        <v>0</v>
      </c>
      <c r="D3377" s="13">
        <v>0</v>
      </c>
      <c r="E3377" s="12">
        <v>0</v>
      </c>
      <c r="F3377" s="14">
        <v>0</v>
      </c>
      <c r="G3377" s="13">
        <v>498.7893</v>
      </c>
      <c r="H3377" s="14">
        <v>678222.017019</v>
      </c>
      <c r="I3377" s="14" t="e">
        <f>=Round(10.19010000,0)</f>
        <v>#VALUE!</v>
      </c>
      <c r="J3377" s="14" t="e">
        <f>=Round(0.00000000,0)</f>
        <v>#VALUE!</v>
      </c>
    </row>
    <row r="3378">
      <c r="A3378" s="11" t="s">
        <v>41</v>
      </c>
      <c r="B3378" s="12">
        <v>1359.979</v>
      </c>
      <c r="C3378" s="12">
        <v>0</v>
      </c>
      <c r="D3378" s="13">
        <v>0</v>
      </c>
      <c r="E3378" s="12">
        <v>0</v>
      </c>
      <c r="F3378" s="14">
        <v>0</v>
      </c>
      <c r="G3378" s="13">
        <v>498.7893</v>
      </c>
      <c r="H3378" s="14">
        <v>678342.973425</v>
      </c>
      <c r="I3378" s="14" t="e">
        <f>=Round(10.19190000,0)</f>
        <v>#VALUE!</v>
      </c>
      <c r="J3378" s="14" t="e">
        <f>=Round(0.00000000,0)</f>
        <v>#VALUE!</v>
      </c>
    </row>
    <row r="3379">
      <c r="A3379" s="11" t="s">
        <v>42</v>
      </c>
      <c r="B3379" s="12">
        <v>1359.979</v>
      </c>
      <c r="C3379" s="12">
        <v>0</v>
      </c>
      <c r="D3379" s="13">
        <v>0</v>
      </c>
      <c r="E3379" s="12">
        <v>0</v>
      </c>
      <c r="F3379" s="14">
        <v>0</v>
      </c>
      <c r="G3379" s="13">
        <v>498.7893</v>
      </c>
      <c r="H3379" s="14">
        <v>678342.973425</v>
      </c>
      <c r="I3379" s="14" t="e">
        <f>=Round(10.19370000,0)</f>
        <v>#VALUE!</v>
      </c>
      <c r="J3379" s="14" t="e">
        <f>=Round(0.00000000,0)</f>
        <v>#VALUE!</v>
      </c>
    </row>
    <row r="3380">
      <c r="A3380" s="11" t="s">
        <v>43</v>
      </c>
      <c r="B3380" s="12">
        <v>1359.979</v>
      </c>
      <c r="C3380" s="12">
        <v>0</v>
      </c>
      <c r="D3380" s="13">
        <v>0</v>
      </c>
      <c r="E3380" s="12">
        <v>0</v>
      </c>
      <c r="F3380" s="14">
        <v>0</v>
      </c>
      <c r="G3380" s="13">
        <v>498.7893</v>
      </c>
      <c r="H3380" s="14">
        <v>678342.973425</v>
      </c>
      <c r="I3380" s="14" t="e">
        <f>=Round(10.19370000,0)</f>
        <v>#VALUE!</v>
      </c>
      <c r="J3380" s="14" t="e">
        <f>=Round(0.00000000,0)</f>
        <v>#VALUE!</v>
      </c>
    </row>
    <row r="3381">
      <c r="A3381" s="11" t="s">
        <v>44</v>
      </c>
      <c r="B3381" s="12">
        <v>1360.6758</v>
      </c>
      <c r="C3381" s="12">
        <v>0</v>
      </c>
      <c r="D3381" s="13">
        <v>0</v>
      </c>
      <c r="E3381" s="12">
        <v>0</v>
      </c>
      <c r="F3381" s="14">
        <v>0</v>
      </c>
      <c r="G3381" s="13">
        <v>498.7893</v>
      </c>
      <c r="H3381" s="14">
        <v>678690.529809</v>
      </c>
      <c r="I3381" s="14" t="e">
        <f>=Round(10.19370000,0)</f>
        <v>#VALUE!</v>
      </c>
      <c r="J3381" s="14" t="e">
        <f>=Round(0.00000000,0)</f>
        <v>#VALUE!</v>
      </c>
    </row>
    <row r="3382">
      <c r="A3382" s="11" t="s">
        <v>45</v>
      </c>
      <c r="B3382" s="12">
        <v>1360.9062</v>
      </c>
      <c r="C3382" s="12">
        <v>0</v>
      </c>
      <c r="D3382" s="13">
        <v>0</v>
      </c>
      <c r="E3382" s="12">
        <v>0</v>
      </c>
      <c r="F3382" s="14">
        <v>0</v>
      </c>
      <c r="G3382" s="13">
        <v>498.7893</v>
      </c>
      <c r="H3382" s="14">
        <v>678805.450864</v>
      </c>
      <c r="I3382" s="14" t="e">
        <f>=Round(10.19890000,0)</f>
        <v>#VALUE!</v>
      </c>
      <c r="J3382" s="14" t="e">
        <f>=Round(0.00000000,0)</f>
        <v>#VALUE!</v>
      </c>
    </row>
    <row r="3383">
      <c r="A3383" s="11" t="s">
        <v>46</v>
      </c>
      <c r="B3383" s="12">
        <v>1361.137</v>
      </c>
      <c r="C3383" s="12">
        <v>0</v>
      </c>
      <c r="D3383" s="13">
        <v>0</v>
      </c>
      <c r="E3383" s="12">
        <v>0</v>
      </c>
      <c r="F3383" s="14">
        <v>0</v>
      </c>
      <c r="G3383" s="13">
        <v>498.7893</v>
      </c>
      <c r="H3383" s="14">
        <v>678920.571434</v>
      </c>
      <c r="I3383" s="14" t="e">
        <f>=Round(10.20060000,0)</f>
        <v>#VALUE!</v>
      </c>
      <c r="J3383" s="14" t="e">
        <f>=Round(0.00000000,0)</f>
        <v>#VALUE!</v>
      </c>
    </row>
    <row r="3384">
      <c r="A3384" s="11" t="s">
        <v>47</v>
      </c>
      <c r="B3384" s="12">
        <v>1361.367</v>
      </c>
      <c r="C3384" s="12">
        <v>0</v>
      </c>
      <c r="D3384" s="13">
        <v>0</v>
      </c>
      <c r="E3384" s="12">
        <v>0</v>
      </c>
      <c r="F3384" s="14">
        <v>0</v>
      </c>
      <c r="G3384" s="13">
        <v>498.7893</v>
      </c>
      <c r="H3384" s="14">
        <v>679035.292973</v>
      </c>
      <c r="I3384" s="14" t="e">
        <f>=Round(10.20240000,0)</f>
        <v>#VALUE!</v>
      </c>
      <c r="J3384" s="14" t="e">
        <f>=Round(0.00000000,0)</f>
        <v>#VALUE!</v>
      </c>
    </row>
    <row r="3385">
      <c r="A3385" s="11" t="s">
        <v>48</v>
      </c>
      <c r="B3385" s="12">
        <v>1361.6195</v>
      </c>
      <c r="C3385" s="12">
        <v>0</v>
      </c>
      <c r="D3385" s="13">
        <v>0</v>
      </c>
      <c r="E3385" s="12">
        <v>0</v>
      </c>
      <c r="F3385" s="14">
        <v>0</v>
      </c>
      <c r="G3385" s="13">
        <v>498.7893</v>
      </c>
      <c r="H3385" s="14">
        <v>679161.237271</v>
      </c>
      <c r="I3385" s="14" t="e">
        <f>=Round(10.20410000,0)</f>
        <v>#VALUE!</v>
      </c>
      <c r="J3385" s="14" t="e">
        <f>=Round(0.00000000,0)</f>
        <v>#VALUE!</v>
      </c>
    </row>
    <row r="3386">
      <c r="A3386" s="11" t="s">
        <v>49</v>
      </c>
      <c r="B3386" s="12">
        <v>1361.6195</v>
      </c>
      <c r="C3386" s="12">
        <v>0</v>
      </c>
      <c r="D3386" s="13">
        <v>0</v>
      </c>
      <c r="E3386" s="12">
        <v>0</v>
      </c>
      <c r="F3386" s="14">
        <v>0</v>
      </c>
      <c r="G3386" s="13">
        <v>498.7893</v>
      </c>
      <c r="H3386" s="14">
        <v>679161.237271</v>
      </c>
      <c r="I3386" s="14" t="e">
        <f>=Round(10.20600000,0)</f>
        <v>#VALUE!</v>
      </c>
      <c r="J3386" s="14" t="e">
        <f>=Round(0.00000000,0)</f>
        <v>#VALUE!</v>
      </c>
    </row>
    <row r="3387">
      <c r="A3387" s="11" t="s">
        <v>50</v>
      </c>
      <c r="B3387" s="12">
        <v>1361.6195</v>
      </c>
      <c r="C3387" s="12">
        <v>0</v>
      </c>
      <c r="D3387" s="13">
        <v>0</v>
      </c>
      <c r="E3387" s="12">
        <v>0</v>
      </c>
      <c r="F3387" s="14">
        <v>0</v>
      </c>
      <c r="G3387" s="13">
        <v>498.7893</v>
      </c>
      <c r="H3387" s="14">
        <v>679161.237271</v>
      </c>
      <c r="I3387" s="14" t="e">
        <f>=Round(10.20600000,0)</f>
        <v>#VALUE!</v>
      </c>
      <c r="J3387" s="14" t="e">
        <f>=Round(0.00000000,0)</f>
        <v>#VALUE!</v>
      </c>
    </row>
    <row r="3388">
      <c r="A3388" s="11" t="s">
        <v>51</v>
      </c>
      <c r="B3388" s="12">
        <v>1362.3425</v>
      </c>
      <c r="C3388" s="12">
        <v>0</v>
      </c>
      <c r="D3388" s="13">
        <v>0</v>
      </c>
      <c r="E3388" s="12">
        <v>0</v>
      </c>
      <c r="F3388" s="14">
        <v>0</v>
      </c>
      <c r="G3388" s="13">
        <v>498.7893</v>
      </c>
      <c r="H3388" s="14">
        <v>679521.861935</v>
      </c>
      <c r="I3388" s="14" t="e">
        <f>=Round(10.20600000,0)</f>
        <v>#VALUE!</v>
      </c>
      <c r="J3388" s="14" t="e">
        <f>=Round(0.00000000,0)</f>
        <v>#VALUE!</v>
      </c>
    </row>
    <row r="3389">
      <c r="A3389" s="11" t="s">
        <v>52</v>
      </c>
      <c r="B3389" s="12">
        <v>1362.5746</v>
      </c>
      <c r="C3389" s="12">
        <v>0</v>
      </c>
      <c r="D3389" s="13">
        <v>0</v>
      </c>
      <c r="E3389" s="12">
        <v>0</v>
      </c>
      <c r="F3389" s="14">
        <v>0</v>
      </c>
      <c r="G3389" s="13">
        <v>498.7893</v>
      </c>
      <c r="H3389" s="14">
        <v>679637.630932</v>
      </c>
      <c r="I3389" s="14" t="e">
        <f>=Round(10.21140000,0)</f>
        <v>#VALUE!</v>
      </c>
      <c r="J3389" s="14" t="e">
        <f>=Round(0.00000000,0)</f>
        <v>#VALUE!</v>
      </c>
    </row>
    <row r="3390">
      <c r="A3390" s="11" t="s">
        <v>53</v>
      </c>
      <c r="B3390" s="12">
        <v>1362.8067</v>
      </c>
      <c r="C3390" s="12">
        <v>0</v>
      </c>
      <c r="D3390" s="13">
        <v>0</v>
      </c>
      <c r="E3390" s="12">
        <v>0</v>
      </c>
      <c r="F3390" s="14">
        <v>0</v>
      </c>
      <c r="G3390" s="13">
        <v>498.7893</v>
      </c>
      <c r="H3390" s="14">
        <v>679753.399928</v>
      </c>
      <c r="I3390" s="14" t="e">
        <f>=Round(10.21310000,0)</f>
        <v>#VALUE!</v>
      </c>
      <c r="J3390" s="14" t="e">
        <f>=Round(0.00000000,0)</f>
        <v>#VALUE!</v>
      </c>
    </row>
    <row r="3391">
      <c r="A3391" s="11" t="s">
        <v>54</v>
      </c>
      <c r="B3391" s="12">
        <v>1363.0394</v>
      </c>
      <c r="C3391" s="12">
        <v>0</v>
      </c>
      <c r="D3391" s="13">
        <v>0</v>
      </c>
      <c r="E3391" s="12">
        <v>0</v>
      </c>
      <c r="F3391" s="14">
        <v>0</v>
      </c>
      <c r="G3391" s="13">
        <v>498.7893</v>
      </c>
      <c r="H3391" s="14">
        <v>679869.468198</v>
      </c>
      <c r="I3391" s="14" t="e">
        <f>=Round(10.21490000,0)</f>
        <v>#VALUE!</v>
      </c>
      <c r="J3391" s="14" t="e">
        <f>=Round(0.00000000,0)</f>
        <v>#VALUE!</v>
      </c>
    </row>
    <row r="3392">
      <c r="A3392" s="11" t="s">
        <v>55</v>
      </c>
      <c r="B3392" s="12">
        <v>1363.274</v>
      </c>
      <c r="C3392" s="12">
        <v>0</v>
      </c>
      <c r="D3392" s="13">
        <v>0</v>
      </c>
      <c r="E3392" s="12">
        <v>0</v>
      </c>
      <c r="F3392" s="14">
        <v>0</v>
      </c>
      <c r="G3392" s="13">
        <v>498.7893</v>
      </c>
      <c r="H3392" s="14">
        <v>679986.484168</v>
      </c>
      <c r="I3392" s="14" t="e">
        <f>=Round(10.21660000,0)</f>
        <v>#VALUE!</v>
      </c>
      <c r="J3392" s="14" t="e">
        <f>=Round(0.00000000,0)</f>
        <v>#VALUE!</v>
      </c>
    </row>
    <row r="3393" ht="-1">
      <c r="A3393" s="15"/>
      <c r="B3393" s="16" t="s">
        <v>56</v>
      </c>
      <c r="C3393" s="15"/>
      <c r="D3393" s="15"/>
      <c r="E3393" s="15"/>
      <c r="F3393" s="15"/>
      <c r="G3393" s="15"/>
      <c r="H3393" s="15"/>
      <c r="I3393" s="17" t="e">
        <f>=Round(SUM(I3367:I3392),0)</f>
        <v>#VALUE!</v>
      </c>
      <c r="J3393" s="17" t="e">
        <f>=Round(SUM(J3367:J3392),0)</f>
        <v>#VALUE!</v>
      </c>
    </row>
    <row r="3394">
      <c r="A3394" s="1" t="s">
        <v>0</v>
      </c>
      <c r="B3394" s="1"/>
      <c r="C3394" s="1"/>
      <c r="D3394" s="1"/>
    </row>
    <row r="3395">
      <c r="A3395" s="0" t="s">
        <v>1</v>
      </c>
      <c r="C3395" s="0" t="s">
        <v>144</v>
      </c>
      <c r="H3395" s="2" t="s">
        <v>3</v>
      </c>
    </row>
    <row r="3396">
      <c r="A3396" s="0" t="s">
        <v>4</v>
      </c>
      <c r="C3396" s="0" t="s">
        <v>148</v>
      </c>
      <c r="H3396" s="3" t="s">
        <v>6</v>
      </c>
    </row>
    <row r="3397">
      <c r="A3397" s="0" t="s">
        <v>7</v>
      </c>
      <c r="C3397" s="4" t="s">
        <v>146</v>
      </c>
      <c r="H3397" s="2" t="s">
        <v>9</v>
      </c>
    </row>
    <row r="3398">
      <c r="A3398" s="0" t="s">
        <v>10</v>
      </c>
      <c r="C3398" s="4" t="s">
        <v>11</v>
      </c>
      <c r="H3398" s="2" t="s">
        <v>12</v>
      </c>
    </row>
    <row r="3399">
      <c r="A3399" s="0" t="s">
        <v>13</v>
      </c>
      <c r="C3399" s="0" t="s">
        <v>14</v>
      </c>
    </row>
    <row r="3400">
      <c r="A3400" s="0" t="s">
        <v>15</v>
      </c>
      <c r="C3400" s="0" t="s">
        <v>16</v>
      </c>
    </row>
    <row r="3401">
      <c r="A3401" s="0" t="s">
        <v>17</v>
      </c>
      <c r="C3401" s="0" t="s">
        <v>18</v>
      </c>
    </row>
    <row r="3404">
      <c r="A3404" s="5" t="s">
        <v>19</v>
      </c>
      <c r="B3404" s="5" t="s">
        <v>20</v>
      </c>
      <c r="C3404" s="7" t="s">
        <v>21</v>
      </c>
      <c r="D3404" s="9"/>
      <c r="E3404" s="7" t="s">
        <v>22</v>
      </c>
      <c r="F3404" s="9"/>
      <c r="G3404" s="5" t="s">
        <v>23</v>
      </c>
      <c r="H3404" s="5" t="s">
        <v>24</v>
      </c>
      <c r="I3404" s="5" t="s">
        <v>147</v>
      </c>
      <c r="J3404" s="5" t="s">
        <v>26</v>
      </c>
    </row>
    <row r="3405">
      <c r="A3405" s="6"/>
      <c r="B3405" s="6"/>
      <c r="C3405" s="8" t="s">
        <v>27</v>
      </c>
      <c r="D3405" s="8" t="s">
        <v>28</v>
      </c>
      <c r="E3405" s="8" t="s">
        <v>27</v>
      </c>
      <c r="F3405" s="8" t="s">
        <v>28</v>
      </c>
      <c r="G3405" s="6"/>
      <c r="H3405" s="6"/>
      <c r="I3405" s="10" t="s">
        <v>29</v>
      </c>
      <c r="J3405" s="6"/>
    </row>
    <row r="3406">
      <c r="A3406" s="11" t="s">
        <v>30</v>
      </c>
      <c r="B3406" s="12">
        <v>1357.4104</v>
      </c>
      <c r="C3406" s="12">
        <v>0</v>
      </c>
      <c r="D3406" s="13">
        <v>0</v>
      </c>
      <c r="E3406" s="12">
        <v>0</v>
      </c>
      <c r="F3406" s="14">
        <v>0</v>
      </c>
      <c r="G3406" s="13">
        <v>499.1542</v>
      </c>
      <c r="H3406" s="14">
        <v>677557.102284</v>
      </c>
      <c r="I3406" s="14" t="e">
        <f>=Round(10.17670000,0)</f>
        <v>#VALUE!</v>
      </c>
      <c r="J3406" s="14" t="e">
        <f>=Round(0.00000000,0)</f>
        <v>#VALUE!</v>
      </c>
    </row>
    <row r="3407">
      <c r="A3407" s="11" t="s">
        <v>31</v>
      </c>
      <c r="B3407" s="12">
        <v>1357.6428</v>
      </c>
      <c r="C3407" s="12">
        <v>0</v>
      </c>
      <c r="D3407" s="13">
        <v>0</v>
      </c>
      <c r="E3407" s="12">
        <v>0</v>
      </c>
      <c r="F3407" s="14">
        <v>0</v>
      </c>
      <c r="G3407" s="13">
        <v>499.1542</v>
      </c>
      <c r="H3407" s="14">
        <v>677673.10572</v>
      </c>
      <c r="I3407" s="14" t="e">
        <f>=Round(10.18190000,0)</f>
        <v>#VALUE!</v>
      </c>
      <c r="J3407" s="14" t="e">
        <f>=Round(0.00000000,0)</f>
        <v>#VALUE!</v>
      </c>
    </row>
    <row r="3408">
      <c r="A3408" s="11" t="s">
        <v>32</v>
      </c>
      <c r="B3408" s="12">
        <v>1357.8735</v>
      </c>
      <c r="C3408" s="12">
        <v>0</v>
      </c>
      <c r="D3408" s="13">
        <v>0</v>
      </c>
      <c r="E3408" s="12">
        <v>0</v>
      </c>
      <c r="F3408" s="14">
        <v>0</v>
      </c>
      <c r="G3408" s="13">
        <v>499.1542</v>
      </c>
      <c r="H3408" s="14">
        <v>677788.260594</v>
      </c>
      <c r="I3408" s="14" t="e">
        <f>=Round(10.18360000,0)</f>
        <v>#VALUE!</v>
      </c>
      <c r="J3408" s="14" t="e">
        <f>=Round(0.00000000,0)</f>
        <v>#VALUE!</v>
      </c>
    </row>
    <row r="3409">
      <c r="A3409" s="11" t="s">
        <v>33</v>
      </c>
      <c r="B3409" s="12">
        <v>1358.1079</v>
      </c>
      <c r="C3409" s="12">
        <v>0</v>
      </c>
      <c r="D3409" s="13">
        <v>0</v>
      </c>
      <c r="E3409" s="12">
        <v>0</v>
      </c>
      <c r="F3409" s="14">
        <v>0</v>
      </c>
      <c r="G3409" s="13">
        <v>499.1542</v>
      </c>
      <c r="H3409" s="14">
        <v>677905.262338</v>
      </c>
      <c r="I3409" s="14" t="e">
        <f>=Round(10.18530000,0)</f>
        <v>#VALUE!</v>
      </c>
      <c r="J3409" s="14" t="e">
        <f>=Round(0.00000000,0)</f>
        <v>#VALUE!</v>
      </c>
    </row>
    <row r="3410">
      <c r="A3410" s="11" t="s">
        <v>34</v>
      </c>
      <c r="B3410" s="12">
        <v>1358.3402</v>
      </c>
      <c r="C3410" s="12">
        <v>0</v>
      </c>
      <c r="D3410" s="13">
        <v>0</v>
      </c>
      <c r="E3410" s="12">
        <v>0</v>
      </c>
      <c r="F3410" s="14">
        <v>0</v>
      </c>
      <c r="G3410" s="13">
        <v>499.1542</v>
      </c>
      <c r="H3410" s="14">
        <v>678021.215859</v>
      </c>
      <c r="I3410" s="14" t="e">
        <f>=Round(10.18710000,0)</f>
        <v>#VALUE!</v>
      </c>
      <c r="J3410" s="14" t="e">
        <f>=Round(0.00000000,0)</f>
        <v>#VALUE!</v>
      </c>
    </row>
    <row r="3411">
      <c r="A3411" s="11" t="s">
        <v>35</v>
      </c>
      <c r="B3411" s="12">
        <v>1358.3402</v>
      </c>
      <c r="C3411" s="12">
        <v>0</v>
      </c>
      <c r="D3411" s="13">
        <v>0</v>
      </c>
      <c r="E3411" s="12">
        <v>0</v>
      </c>
      <c r="F3411" s="14">
        <v>0</v>
      </c>
      <c r="G3411" s="13">
        <v>499.1542</v>
      </c>
      <c r="H3411" s="14">
        <v>678021.215859</v>
      </c>
      <c r="I3411" s="14" t="e">
        <f>=Round(10.18880000,0)</f>
        <v>#VALUE!</v>
      </c>
      <c r="J3411" s="14" t="e">
        <f>=Round(0.00000000,0)</f>
        <v>#VALUE!</v>
      </c>
    </row>
    <row r="3412">
      <c r="A3412" s="11" t="s">
        <v>36</v>
      </c>
      <c r="B3412" s="12">
        <v>1358.3402</v>
      </c>
      <c r="C3412" s="12">
        <v>0</v>
      </c>
      <c r="D3412" s="13">
        <v>0</v>
      </c>
      <c r="E3412" s="12">
        <v>0</v>
      </c>
      <c r="F3412" s="14">
        <v>0</v>
      </c>
      <c r="G3412" s="13">
        <v>499.1542</v>
      </c>
      <c r="H3412" s="14">
        <v>678021.215859</v>
      </c>
      <c r="I3412" s="14" t="e">
        <f>=Round(10.18880000,0)</f>
        <v>#VALUE!</v>
      </c>
      <c r="J3412" s="14" t="e">
        <f>=Round(0.00000000,0)</f>
        <v>#VALUE!</v>
      </c>
    </row>
    <row r="3413">
      <c r="A3413" s="11" t="s">
        <v>37</v>
      </c>
      <c r="B3413" s="12">
        <v>1359.0395</v>
      </c>
      <c r="C3413" s="12">
        <v>0</v>
      </c>
      <c r="D3413" s="13">
        <v>0</v>
      </c>
      <c r="E3413" s="12">
        <v>0</v>
      </c>
      <c r="F3413" s="14">
        <v>0</v>
      </c>
      <c r="G3413" s="13">
        <v>499.1542</v>
      </c>
      <c r="H3413" s="14">
        <v>678370.274391</v>
      </c>
      <c r="I3413" s="14" t="e">
        <f>=Round(10.18880000,0)</f>
        <v>#VALUE!</v>
      </c>
      <c r="J3413" s="14" t="e">
        <f>=Round(0.00000000,0)</f>
        <v>#VALUE!</v>
      </c>
    </row>
    <row r="3414">
      <c r="A3414" s="11" t="s">
        <v>38</v>
      </c>
      <c r="B3414" s="12">
        <v>1359.2726</v>
      </c>
      <c r="C3414" s="12">
        <v>0</v>
      </c>
      <c r="D3414" s="13">
        <v>0</v>
      </c>
      <c r="E3414" s="12">
        <v>0</v>
      </c>
      <c r="F3414" s="14">
        <v>0</v>
      </c>
      <c r="G3414" s="13">
        <v>499.1542</v>
      </c>
      <c r="H3414" s="14">
        <v>678486.627235</v>
      </c>
      <c r="I3414" s="14" t="e">
        <f>=Round(10.19410000,0)</f>
        <v>#VALUE!</v>
      </c>
      <c r="J3414" s="14" t="e">
        <f>=Round(0.00000000,0)</f>
        <v>#VALUE!</v>
      </c>
    </row>
    <row r="3415">
      <c r="A3415" s="11" t="s">
        <v>39</v>
      </c>
      <c r="B3415" s="12">
        <v>1359.5048</v>
      </c>
      <c r="C3415" s="12">
        <v>0</v>
      </c>
      <c r="D3415" s="13">
        <v>0</v>
      </c>
      <c r="E3415" s="12">
        <v>0</v>
      </c>
      <c r="F3415" s="14">
        <v>0</v>
      </c>
      <c r="G3415" s="13">
        <v>499.1542</v>
      </c>
      <c r="H3415" s="14">
        <v>678602.53084</v>
      </c>
      <c r="I3415" s="14" t="e">
        <f>=Round(10.19580000,0)</f>
        <v>#VALUE!</v>
      </c>
      <c r="J3415" s="14" t="e">
        <f>=Round(0.00000000,0)</f>
        <v>#VALUE!</v>
      </c>
    </row>
    <row r="3416">
      <c r="A3416" s="11" t="s">
        <v>40</v>
      </c>
      <c r="B3416" s="12">
        <v>1359.7365</v>
      </c>
      <c r="C3416" s="12">
        <v>0</v>
      </c>
      <c r="D3416" s="13">
        <v>0</v>
      </c>
      <c r="E3416" s="12">
        <v>0</v>
      </c>
      <c r="F3416" s="14">
        <v>0</v>
      </c>
      <c r="G3416" s="13">
        <v>499.1542</v>
      </c>
      <c r="H3416" s="14">
        <v>678718.184868</v>
      </c>
      <c r="I3416" s="14" t="e">
        <f>=Round(10.19760000,0)</f>
        <v>#VALUE!</v>
      </c>
      <c r="J3416" s="14" t="e">
        <f>=Round(0.00000000,0)</f>
        <v>#VALUE!</v>
      </c>
    </row>
    <row r="3417">
      <c r="A3417" s="11" t="s">
        <v>41</v>
      </c>
      <c r="B3417" s="12">
        <v>1359.979</v>
      </c>
      <c r="C3417" s="12">
        <v>0</v>
      </c>
      <c r="D3417" s="13">
        <v>0</v>
      </c>
      <c r="E3417" s="12">
        <v>0</v>
      </c>
      <c r="F3417" s="14">
        <v>0</v>
      </c>
      <c r="G3417" s="13">
        <v>499.1542</v>
      </c>
      <c r="H3417" s="14">
        <v>678839.229762</v>
      </c>
      <c r="I3417" s="14" t="e">
        <f>=Round(10.19930000,0)</f>
        <v>#VALUE!</v>
      </c>
      <c r="J3417" s="14" t="e">
        <f>=Round(0.00000000,0)</f>
        <v>#VALUE!</v>
      </c>
    </row>
    <row r="3418">
      <c r="A3418" s="11" t="s">
        <v>42</v>
      </c>
      <c r="B3418" s="12">
        <v>1359.979</v>
      </c>
      <c r="C3418" s="12">
        <v>0</v>
      </c>
      <c r="D3418" s="13">
        <v>0</v>
      </c>
      <c r="E3418" s="12">
        <v>0</v>
      </c>
      <c r="F3418" s="14">
        <v>0</v>
      </c>
      <c r="G3418" s="13">
        <v>499.1542</v>
      </c>
      <c r="H3418" s="14">
        <v>678839.229762</v>
      </c>
      <c r="I3418" s="14" t="e">
        <f>=Round(10.20110000,0)</f>
        <v>#VALUE!</v>
      </c>
      <c r="J3418" s="14" t="e">
        <f>=Round(0.00000000,0)</f>
        <v>#VALUE!</v>
      </c>
    </row>
    <row r="3419">
      <c r="A3419" s="11" t="s">
        <v>43</v>
      </c>
      <c r="B3419" s="12">
        <v>1359.979</v>
      </c>
      <c r="C3419" s="12">
        <v>0</v>
      </c>
      <c r="D3419" s="13">
        <v>0</v>
      </c>
      <c r="E3419" s="12">
        <v>0</v>
      </c>
      <c r="F3419" s="14">
        <v>0</v>
      </c>
      <c r="G3419" s="13">
        <v>499.1542</v>
      </c>
      <c r="H3419" s="14">
        <v>678839.229762</v>
      </c>
      <c r="I3419" s="14" t="e">
        <f>=Round(10.20110000,0)</f>
        <v>#VALUE!</v>
      </c>
      <c r="J3419" s="14" t="e">
        <f>=Round(0.00000000,0)</f>
        <v>#VALUE!</v>
      </c>
    </row>
    <row r="3420">
      <c r="A3420" s="11" t="s">
        <v>44</v>
      </c>
      <c r="B3420" s="12">
        <v>1360.6758</v>
      </c>
      <c r="C3420" s="12">
        <v>0</v>
      </c>
      <c r="D3420" s="13">
        <v>0</v>
      </c>
      <c r="E3420" s="12">
        <v>0</v>
      </c>
      <c r="F3420" s="14">
        <v>0</v>
      </c>
      <c r="G3420" s="13">
        <v>499.1542</v>
      </c>
      <c r="H3420" s="14">
        <v>679187.040408</v>
      </c>
      <c r="I3420" s="14" t="e">
        <f>=Round(10.20110000,0)</f>
        <v>#VALUE!</v>
      </c>
      <c r="J3420" s="14" t="e">
        <f>=Round(0.00000000,0)</f>
        <v>#VALUE!</v>
      </c>
    </row>
    <row r="3421">
      <c r="A3421" s="11" t="s">
        <v>45</v>
      </c>
      <c r="B3421" s="12">
        <v>1360.9062</v>
      </c>
      <c r="C3421" s="12">
        <v>0</v>
      </c>
      <c r="D3421" s="13">
        <v>0</v>
      </c>
      <c r="E3421" s="12">
        <v>0</v>
      </c>
      <c r="F3421" s="14">
        <v>0</v>
      </c>
      <c r="G3421" s="13">
        <v>499.1542</v>
      </c>
      <c r="H3421" s="14">
        <v>679302.045536</v>
      </c>
      <c r="I3421" s="14" t="e">
        <f>=Round(10.20640000,0)</f>
        <v>#VALUE!</v>
      </c>
      <c r="J3421" s="14" t="e">
        <f>=Round(0.00000000,0)</f>
        <v>#VALUE!</v>
      </c>
    </row>
    <row r="3422">
      <c r="A3422" s="11" t="s">
        <v>46</v>
      </c>
      <c r="B3422" s="12">
        <v>1361.137</v>
      </c>
      <c r="C3422" s="12">
        <v>0</v>
      </c>
      <c r="D3422" s="13">
        <v>0</v>
      </c>
      <c r="E3422" s="12">
        <v>0</v>
      </c>
      <c r="F3422" s="14">
        <v>0</v>
      </c>
      <c r="G3422" s="13">
        <v>499.1542</v>
      </c>
      <c r="H3422" s="14">
        <v>679417.250325</v>
      </c>
      <c r="I3422" s="14" t="e">
        <f>=Round(10.20810000,0)</f>
        <v>#VALUE!</v>
      </c>
      <c r="J3422" s="14" t="e">
        <f>=Round(0.00000000,0)</f>
        <v>#VALUE!</v>
      </c>
    </row>
    <row r="3423">
      <c r="A3423" s="11" t="s">
        <v>47</v>
      </c>
      <c r="B3423" s="12">
        <v>1361.367</v>
      </c>
      <c r="C3423" s="12">
        <v>0</v>
      </c>
      <c r="D3423" s="13">
        <v>0</v>
      </c>
      <c r="E3423" s="12">
        <v>0</v>
      </c>
      <c r="F3423" s="14">
        <v>0</v>
      </c>
      <c r="G3423" s="13">
        <v>499.1542</v>
      </c>
      <c r="H3423" s="14">
        <v>679532.055791</v>
      </c>
      <c r="I3423" s="14" t="e">
        <f>=Round(10.20980000,0)</f>
        <v>#VALUE!</v>
      </c>
      <c r="J3423" s="14" t="e">
        <f>=Round(0.00000000,0)</f>
        <v>#VALUE!</v>
      </c>
    </row>
    <row r="3424">
      <c r="A3424" s="11" t="s">
        <v>48</v>
      </c>
      <c r="B3424" s="12">
        <v>1361.6195</v>
      </c>
      <c r="C3424" s="12">
        <v>0</v>
      </c>
      <c r="D3424" s="13">
        <v>0</v>
      </c>
      <c r="E3424" s="12">
        <v>0</v>
      </c>
      <c r="F3424" s="14">
        <v>0</v>
      </c>
      <c r="G3424" s="13">
        <v>499.1542</v>
      </c>
      <c r="H3424" s="14">
        <v>679658.092227</v>
      </c>
      <c r="I3424" s="14" t="e">
        <f>=Round(10.21150000,0)</f>
        <v>#VALUE!</v>
      </c>
      <c r="J3424" s="14" t="e">
        <f>=Round(0.00000000,0)</f>
        <v>#VALUE!</v>
      </c>
    </row>
    <row r="3425">
      <c r="A3425" s="11" t="s">
        <v>49</v>
      </c>
      <c r="B3425" s="12">
        <v>1361.6195</v>
      </c>
      <c r="C3425" s="12">
        <v>0</v>
      </c>
      <c r="D3425" s="13">
        <v>0</v>
      </c>
      <c r="E3425" s="12">
        <v>0</v>
      </c>
      <c r="F3425" s="14">
        <v>0</v>
      </c>
      <c r="G3425" s="13">
        <v>499.1542</v>
      </c>
      <c r="H3425" s="14">
        <v>679658.092227</v>
      </c>
      <c r="I3425" s="14" t="e">
        <f>=Round(10.21340000,0)</f>
        <v>#VALUE!</v>
      </c>
      <c r="J3425" s="14" t="e">
        <f>=Round(0.00000000,0)</f>
        <v>#VALUE!</v>
      </c>
    </row>
    <row r="3426">
      <c r="A3426" s="11" t="s">
        <v>50</v>
      </c>
      <c r="B3426" s="12">
        <v>1361.6195</v>
      </c>
      <c r="C3426" s="12">
        <v>0</v>
      </c>
      <c r="D3426" s="13">
        <v>0</v>
      </c>
      <c r="E3426" s="12">
        <v>0</v>
      </c>
      <c r="F3426" s="14">
        <v>0</v>
      </c>
      <c r="G3426" s="13">
        <v>499.1542</v>
      </c>
      <c r="H3426" s="14">
        <v>679658.092227</v>
      </c>
      <c r="I3426" s="14" t="e">
        <f>=Round(10.21340000,0)</f>
        <v>#VALUE!</v>
      </c>
      <c r="J3426" s="14" t="e">
        <f>=Round(0.00000000,0)</f>
        <v>#VALUE!</v>
      </c>
    </row>
    <row r="3427">
      <c r="A3427" s="11" t="s">
        <v>51</v>
      </c>
      <c r="B3427" s="12">
        <v>1362.3425</v>
      </c>
      <c r="C3427" s="12">
        <v>0</v>
      </c>
      <c r="D3427" s="13">
        <v>0</v>
      </c>
      <c r="E3427" s="12">
        <v>0</v>
      </c>
      <c r="F3427" s="14">
        <v>0</v>
      </c>
      <c r="G3427" s="13">
        <v>499.1542</v>
      </c>
      <c r="H3427" s="14">
        <v>680018.980714</v>
      </c>
      <c r="I3427" s="14" t="e">
        <f>=Round(10.21340000,0)</f>
        <v>#VALUE!</v>
      </c>
      <c r="J3427" s="14" t="e">
        <f>=Round(0.00000000,0)</f>
        <v>#VALUE!</v>
      </c>
    </row>
    <row r="3428">
      <c r="A3428" s="11" t="s">
        <v>52</v>
      </c>
      <c r="B3428" s="12">
        <v>1362.5746</v>
      </c>
      <c r="C3428" s="12">
        <v>0</v>
      </c>
      <c r="D3428" s="13">
        <v>0</v>
      </c>
      <c r="E3428" s="12">
        <v>0</v>
      </c>
      <c r="F3428" s="14">
        <v>0</v>
      </c>
      <c r="G3428" s="13">
        <v>499.1542</v>
      </c>
      <c r="H3428" s="14">
        <v>680134.834403</v>
      </c>
      <c r="I3428" s="14" t="e">
        <f>=Round(10.21890000,0)</f>
        <v>#VALUE!</v>
      </c>
      <c r="J3428" s="14" t="e">
        <f>=Round(0.00000000,0)</f>
        <v>#VALUE!</v>
      </c>
    </row>
    <row r="3429">
      <c r="A3429" s="11" t="s">
        <v>53</v>
      </c>
      <c r="B3429" s="12">
        <v>1362.8067</v>
      </c>
      <c r="C3429" s="12">
        <v>0</v>
      </c>
      <c r="D3429" s="13">
        <v>0</v>
      </c>
      <c r="E3429" s="12">
        <v>0</v>
      </c>
      <c r="F3429" s="14">
        <v>0</v>
      </c>
      <c r="G3429" s="13">
        <v>499.1542</v>
      </c>
      <c r="H3429" s="14">
        <v>680250.688093</v>
      </c>
      <c r="I3429" s="14" t="e">
        <f>=Round(10.22060000,0)</f>
        <v>#VALUE!</v>
      </c>
      <c r="J3429" s="14" t="e">
        <f>=Round(0.00000000,0)</f>
        <v>#VALUE!</v>
      </c>
    </row>
    <row r="3430">
      <c r="A3430" s="11" t="s">
        <v>54</v>
      </c>
      <c r="B3430" s="12">
        <v>1363.0394</v>
      </c>
      <c r="C3430" s="12">
        <v>0</v>
      </c>
      <c r="D3430" s="13">
        <v>0</v>
      </c>
      <c r="E3430" s="12">
        <v>0</v>
      </c>
      <c r="F3430" s="14">
        <v>0</v>
      </c>
      <c r="G3430" s="13">
        <v>499.1542</v>
      </c>
      <c r="H3430" s="14">
        <v>680366.841275</v>
      </c>
      <c r="I3430" s="14" t="e">
        <f>=Round(10.22230000,0)</f>
        <v>#VALUE!</v>
      </c>
      <c r="J3430" s="14" t="e">
        <f>=Round(0.00000000,0)</f>
        <v>#VALUE!</v>
      </c>
    </row>
    <row r="3431">
      <c r="A3431" s="11" t="s">
        <v>55</v>
      </c>
      <c r="B3431" s="12">
        <v>1363.274</v>
      </c>
      <c r="C3431" s="12">
        <v>0</v>
      </c>
      <c r="D3431" s="13">
        <v>0</v>
      </c>
      <c r="E3431" s="12">
        <v>0</v>
      </c>
      <c r="F3431" s="14">
        <v>0</v>
      </c>
      <c r="G3431" s="13">
        <v>499.1542</v>
      </c>
      <c r="H3431" s="14">
        <v>680483.942851</v>
      </c>
      <c r="I3431" s="14" t="e">
        <f>=Round(10.22410000,0)</f>
        <v>#VALUE!</v>
      </c>
      <c r="J3431" s="14" t="e">
        <f>=Round(0.00000000,0)</f>
        <v>#VALUE!</v>
      </c>
    </row>
    <row r="3432" ht="-1">
      <c r="A3432" s="15"/>
      <c r="B3432" s="16" t="s">
        <v>56</v>
      </c>
      <c r="C3432" s="15"/>
      <c r="D3432" s="15"/>
      <c r="E3432" s="15"/>
      <c r="F3432" s="15"/>
      <c r="G3432" s="15"/>
      <c r="H3432" s="15"/>
      <c r="I3432" s="17" t="e">
        <f>=Round(SUM(I3406:I3431),0)</f>
        <v>#VALUE!</v>
      </c>
      <c r="J3432" s="17" t="e">
        <f>=Round(SUM(J3406:J3431),0)</f>
        <v>#VALUE!</v>
      </c>
    </row>
    <row r="3433">
      <c r="A3433" s="1" t="s">
        <v>0</v>
      </c>
      <c r="B3433" s="1"/>
      <c r="C3433" s="1"/>
      <c r="D3433" s="1"/>
    </row>
    <row r="3434">
      <c r="A3434" s="0" t="s">
        <v>1</v>
      </c>
      <c r="C3434" s="0" t="s">
        <v>144</v>
      </c>
      <c r="H3434" s="2" t="s">
        <v>3</v>
      </c>
    </row>
    <row r="3435">
      <c r="A3435" s="0" t="s">
        <v>4</v>
      </c>
      <c r="C3435" s="0" t="s">
        <v>149</v>
      </c>
      <c r="H3435" s="3" t="s">
        <v>6</v>
      </c>
    </row>
    <row r="3436">
      <c r="A3436" s="0" t="s">
        <v>7</v>
      </c>
      <c r="C3436" s="4" t="s">
        <v>146</v>
      </c>
      <c r="H3436" s="2" t="s">
        <v>9</v>
      </c>
    </row>
    <row r="3437">
      <c r="A3437" s="0" t="s">
        <v>10</v>
      </c>
      <c r="C3437" s="4" t="s">
        <v>11</v>
      </c>
      <c r="H3437" s="2" t="s">
        <v>12</v>
      </c>
    </row>
    <row r="3438">
      <c r="A3438" s="0" t="s">
        <v>13</v>
      </c>
      <c r="C3438" s="0" t="s">
        <v>14</v>
      </c>
    </row>
    <row r="3439">
      <c r="A3439" s="0" t="s">
        <v>15</v>
      </c>
      <c r="C3439" s="0" t="s">
        <v>16</v>
      </c>
    </row>
    <row r="3440">
      <c r="A3440" s="0" t="s">
        <v>17</v>
      </c>
      <c r="C3440" s="0" t="s">
        <v>18</v>
      </c>
    </row>
    <row r="3443">
      <c r="A3443" s="5" t="s">
        <v>19</v>
      </c>
      <c r="B3443" s="5" t="s">
        <v>20</v>
      </c>
      <c r="C3443" s="7" t="s">
        <v>21</v>
      </c>
      <c r="D3443" s="9"/>
      <c r="E3443" s="7" t="s">
        <v>22</v>
      </c>
      <c r="F3443" s="9"/>
      <c r="G3443" s="5" t="s">
        <v>23</v>
      </c>
      <c r="H3443" s="5" t="s">
        <v>24</v>
      </c>
      <c r="I3443" s="5" t="s">
        <v>147</v>
      </c>
      <c r="J3443" s="5" t="s">
        <v>26</v>
      </c>
    </row>
    <row r="3444">
      <c r="A3444" s="6"/>
      <c r="B3444" s="6"/>
      <c r="C3444" s="8" t="s">
        <v>27</v>
      </c>
      <c r="D3444" s="8" t="s">
        <v>28</v>
      </c>
      <c r="E3444" s="8" t="s">
        <v>27</v>
      </c>
      <c r="F3444" s="8" t="s">
        <v>28</v>
      </c>
      <c r="G3444" s="6"/>
      <c r="H3444" s="6"/>
      <c r="I3444" s="10" t="s">
        <v>29</v>
      </c>
      <c r="J3444" s="6"/>
    </row>
    <row r="3445">
      <c r="A3445" s="11" t="s">
        <v>30</v>
      </c>
      <c r="B3445" s="12">
        <v>1357.4104</v>
      </c>
      <c r="C3445" s="12">
        <v>0</v>
      </c>
      <c r="D3445" s="13">
        <v>0</v>
      </c>
      <c r="E3445" s="12">
        <v>0</v>
      </c>
      <c r="F3445" s="14">
        <v>0</v>
      </c>
      <c r="G3445" s="13">
        <v>499.1542</v>
      </c>
      <c r="H3445" s="14">
        <v>677557.102284</v>
      </c>
      <c r="I3445" s="14" t="e">
        <f>=Round(10.17670000,0)</f>
        <v>#VALUE!</v>
      </c>
      <c r="J3445" s="14" t="e">
        <f>=Round(0.00000000,0)</f>
        <v>#VALUE!</v>
      </c>
    </row>
    <row r="3446">
      <c r="A3446" s="11" t="s">
        <v>31</v>
      </c>
      <c r="B3446" s="12">
        <v>1357.6428</v>
      </c>
      <c r="C3446" s="12">
        <v>0</v>
      </c>
      <c r="D3446" s="13">
        <v>0</v>
      </c>
      <c r="E3446" s="12">
        <v>0</v>
      </c>
      <c r="F3446" s="14">
        <v>0</v>
      </c>
      <c r="G3446" s="13">
        <v>499.1542</v>
      </c>
      <c r="H3446" s="14">
        <v>677673.10572</v>
      </c>
      <c r="I3446" s="14" t="e">
        <f>=Round(10.18190000,0)</f>
        <v>#VALUE!</v>
      </c>
      <c r="J3446" s="14" t="e">
        <f>=Round(0.00000000,0)</f>
        <v>#VALUE!</v>
      </c>
    </row>
    <row r="3447">
      <c r="A3447" s="11" t="s">
        <v>32</v>
      </c>
      <c r="B3447" s="12">
        <v>1357.8735</v>
      </c>
      <c r="C3447" s="12">
        <v>0</v>
      </c>
      <c r="D3447" s="13">
        <v>0</v>
      </c>
      <c r="E3447" s="12">
        <v>0</v>
      </c>
      <c r="F3447" s="14">
        <v>0</v>
      </c>
      <c r="G3447" s="13">
        <v>499.1542</v>
      </c>
      <c r="H3447" s="14">
        <v>677788.260594</v>
      </c>
      <c r="I3447" s="14" t="e">
        <f>=Round(10.18360000,0)</f>
        <v>#VALUE!</v>
      </c>
      <c r="J3447" s="14" t="e">
        <f>=Round(0.00000000,0)</f>
        <v>#VALUE!</v>
      </c>
    </row>
    <row r="3448">
      <c r="A3448" s="11" t="s">
        <v>33</v>
      </c>
      <c r="B3448" s="12">
        <v>1358.1079</v>
      </c>
      <c r="C3448" s="12">
        <v>0</v>
      </c>
      <c r="D3448" s="13">
        <v>0</v>
      </c>
      <c r="E3448" s="12">
        <v>0</v>
      </c>
      <c r="F3448" s="14">
        <v>0</v>
      </c>
      <c r="G3448" s="13">
        <v>499.1542</v>
      </c>
      <c r="H3448" s="14">
        <v>677905.262338</v>
      </c>
      <c r="I3448" s="14" t="e">
        <f>=Round(10.18530000,0)</f>
        <v>#VALUE!</v>
      </c>
      <c r="J3448" s="14" t="e">
        <f>=Round(0.00000000,0)</f>
        <v>#VALUE!</v>
      </c>
    </row>
    <row r="3449">
      <c r="A3449" s="11" t="s">
        <v>34</v>
      </c>
      <c r="B3449" s="12">
        <v>1358.3402</v>
      </c>
      <c r="C3449" s="12">
        <v>0</v>
      </c>
      <c r="D3449" s="13">
        <v>0</v>
      </c>
      <c r="E3449" s="12">
        <v>0</v>
      </c>
      <c r="F3449" s="14">
        <v>0</v>
      </c>
      <c r="G3449" s="13">
        <v>499.1542</v>
      </c>
      <c r="H3449" s="14">
        <v>678021.215859</v>
      </c>
      <c r="I3449" s="14" t="e">
        <f>=Round(10.18710000,0)</f>
        <v>#VALUE!</v>
      </c>
      <c r="J3449" s="14" t="e">
        <f>=Round(0.00000000,0)</f>
        <v>#VALUE!</v>
      </c>
    </row>
    <row r="3450">
      <c r="A3450" s="11" t="s">
        <v>35</v>
      </c>
      <c r="B3450" s="12">
        <v>1358.3402</v>
      </c>
      <c r="C3450" s="12">
        <v>0</v>
      </c>
      <c r="D3450" s="13">
        <v>0</v>
      </c>
      <c r="E3450" s="12">
        <v>0</v>
      </c>
      <c r="F3450" s="14">
        <v>0</v>
      </c>
      <c r="G3450" s="13">
        <v>499.1542</v>
      </c>
      <c r="H3450" s="14">
        <v>678021.215859</v>
      </c>
      <c r="I3450" s="14" t="e">
        <f>=Round(10.18880000,0)</f>
        <v>#VALUE!</v>
      </c>
      <c r="J3450" s="14" t="e">
        <f>=Round(0.00000000,0)</f>
        <v>#VALUE!</v>
      </c>
    </row>
    <row r="3451">
      <c r="A3451" s="11" t="s">
        <v>36</v>
      </c>
      <c r="B3451" s="12">
        <v>1358.3402</v>
      </c>
      <c r="C3451" s="12">
        <v>0</v>
      </c>
      <c r="D3451" s="13">
        <v>0</v>
      </c>
      <c r="E3451" s="12">
        <v>0</v>
      </c>
      <c r="F3451" s="14">
        <v>0</v>
      </c>
      <c r="G3451" s="13">
        <v>499.1542</v>
      </c>
      <c r="H3451" s="14">
        <v>678021.215859</v>
      </c>
      <c r="I3451" s="14" t="e">
        <f>=Round(10.18880000,0)</f>
        <v>#VALUE!</v>
      </c>
      <c r="J3451" s="14" t="e">
        <f>=Round(0.00000000,0)</f>
        <v>#VALUE!</v>
      </c>
    </row>
    <row r="3452">
      <c r="A3452" s="11" t="s">
        <v>37</v>
      </c>
      <c r="B3452" s="12">
        <v>1359.0395</v>
      </c>
      <c r="C3452" s="12">
        <v>0</v>
      </c>
      <c r="D3452" s="13">
        <v>0</v>
      </c>
      <c r="E3452" s="12">
        <v>0</v>
      </c>
      <c r="F3452" s="14">
        <v>0</v>
      </c>
      <c r="G3452" s="13">
        <v>499.1542</v>
      </c>
      <c r="H3452" s="14">
        <v>678370.274391</v>
      </c>
      <c r="I3452" s="14" t="e">
        <f>=Round(10.18880000,0)</f>
        <v>#VALUE!</v>
      </c>
      <c r="J3452" s="14" t="e">
        <f>=Round(0.00000000,0)</f>
        <v>#VALUE!</v>
      </c>
    </row>
    <row r="3453">
      <c r="A3453" s="11" t="s">
        <v>38</v>
      </c>
      <c r="B3453" s="12">
        <v>1359.2726</v>
      </c>
      <c r="C3453" s="12">
        <v>0</v>
      </c>
      <c r="D3453" s="13">
        <v>0</v>
      </c>
      <c r="E3453" s="12">
        <v>0</v>
      </c>
      <c r="F3453" s="14">
        <v>0</v>
      </c>
      <c r="G3453" s="13">
        <v>499.1542</v>
      </c>
      <c r="H3453" s="14">
        <v>678486.627235</v>
      </c>
      <c r="I3453" s="14" t="e">
        <f>=Round(10.19410000,0)</f>
        <v>#VALUE!</v>
      </c>
      <c r="J3453" s="14" t="e">
        <f>=Round(0.00000000,0)</f>
        <v>#VALUE!</v>
      </c>
    </row>
    <row r="3454">
      <c r="A3454" s="11" t="s">
        <v>39</v>
      </c>
      <c r="B3454" s="12">
        <v>1359.5048</v>
      </c>
      <c r="C3454" s="12">
        <v>0</v>
      </c>
      <c r="D3454" s="13">
        <v>0</v>
      </c>
      <c r="E3454" s="12">
        <v>0</v>
      </c>
      <c r="F3454" s="14">
        <v>0</v>
      </c>
      <c r="G3454" s="13">
        <v>499.1542</v>
      </c>
      <c r="H3454" s="14">
        <v>678602.53084</v>
      </c>
      <c r="I3454" s="14" t="e">
        <f>=Round(10.19580000,0)</f>
        <v>#VALUE!</v>
      </c>
      <c r="J3454" s="14" t="e">
        <f>=Round(0.00000000,0)</f>
        <v>#VALUE!</v>
      </c>
    </row>
    <row r="3455">
      <c r="A3455" s="11" t="s">
        <v>40</v>
      </c>
      <c r="B3455" s="12">
        <v>1359.7365</v>
      </c>
      <c r="C3455" s="12">
        <v>0</v>
      </c>
      <c r="D3455" s="13">
        <v>0</v>
      </c>
      <c r="E3455" s="12">
        <v>0</v>
      </c>
      <c r="F3455" s="14">
        <v>0</v>
      </c>
      <c r="G3455" s="13">
        <v>499.1542</v>
      </c>
      <c r="H3455" s="14">
        <v>678718.184868</v>
      </c>
      <c r="I3455" s="14" t="e">
        <f>=Round(10.19760000,0)</f>
        <v>#VALUE!</v>
      </c>
      <c r="J3455" s="14" t="e">
        <f>=Round(0.00000000,0)</f>
        <v>#VALUE!</v>
      </c>
    </row>
    <row r="3456">
      <c r="A3456" s="11" t="s">
        <v>41</v>
      </c>
      <c r="B3456" s="12">
        <v>1359.979</v>
      </c>
      <c r="C3456" s="12">
        <v>0</v>
      </c>
      <c r="D3456" s="13">
        <v>0</v>
      </c>
      <c r="E3456" s="12">
        <v>0</v>
      </c>
      <c r="F3456" s="14">
        <v>0</v>
      </c>
      <c r="G3456" s="13">
        <v>499.1542</v>
      </c>
      <c r="H3456" s="14">
        <v>678839.229762</v>
      </c>
      <c r="I3456" s="14" t="e">
        <f>=Round(10.19930000,0)</f>
        <v>#VALUE!</v>
      </c>
      <c r="J3456" s="14" t="e">
        <f>=Round(0.00000000,0)</f>
        <v>#VALUE!</v>
      </c>
    </row>
    <row r="3457">
      <c r="A3457" s="11" t="s">
        <v>42</v>
      </c>
      <c r="B3457" s="12">
        <v>1359.979</v>
      </c>
      <c r="C3457" s="12">
        <v>0</v>
      </c>
      <c r="D3457" s="13">
        <v>0</v>
      </c>
      <c r="E3457" s="12">
        <v>0</v>
      </c>
      <c r="F3457" s="14">
        <v>0</v>
      </c>
      <c r="G3457" s="13">
        <v>499.1542</v>
      </c>
      <c r="H3457" s="14">
        <v>678839.229762</v>
      </c>
      <c r="I3457" s="14" t="e">
        <f>=Round(10.20110000,0)</f>
        <v>#VALUE!</v>
      </c>
      <c r="J3457" s="14" t="e">
        <f>=Round(0.00000000,0)</f>
        <v>#VALUE!</v>
      </c>
    </row>
    <row r="3458">
      <c r="A3458" s="11" t="s">
        <v>43</v>
      </c>
      <c r="B3458" s="12">
        <v>1359.979</v>
      </c>
      <c r="C3458" s="12">
        <v>0</v>
      </c>
      <c r="D3458" s="13">
        <v>0</v>
      </c>
      <c r="E3458" s="12">
        <v>0</v>
      </c>
      <c r="F3458" s="14">
        <v>0</v>
      </c>
      <c r="G3458" s="13">
        <v>499.1542</v>
      </c>
      <c r="H3458" s="14">
        <v>678839.229762</v>
      </c>
      <c r="I3458" s="14" t="e">
        <f>=Round(10.20110000,0)</f>
        <v>#VALUE!</v>
      </c>
      <c r="J3458" s="14" t="e">
        <f>=Round(0.00000000,0)</f>
        <v>#VALUE!</v>
      </c>
    </row>
    <row r="3459">
      <c r="A3459" s="11" t="s">
        <v>44</v>
      </c>
      <c r="B3459" s="12">
        <v>1360.6758</v>
      </c>
      <c r="C3459" s="12">
        <v>0</v>
      </c>
      <c r="D3459" s="13">
        <v>0</v>
      </c>
      <c r="E3459" s="12">
        <v>0</v>
      </c>
      <c r="F3459" s="14">
        <v>0</v>
      </c>
      <c r="G3459" s="13">
        <v>499.1542</v>
      </c>
      <c r="H3459" s="14">
        <v>679187.040408</v>
      </c>
      <c r="I3459" s="14" t="e">
        <f>=Round(10.20110000,0)</f>
        <v>#VALUE!</v>
      </c>
      <c r="J3459" s="14" t="e">
        <f>=Round(0.00000000,0)</f>
        <v>#VALUE!</v>
      </c>
    </row>
    <row r="3460">
      <c r="A3460" s="11" t="s">
        <v>45</v>
      </c>
      <c r="B3460" s="12">
        <v>1360.9062</v>
      </c>
      <c r="C3460" s="12">
        <v>0</v>
      </c>
      <c r="D3460" s="13">
        <v>0</v>
      </c>
      <c r="E3460" s="12">
        <v>0</v>
      </c>
      <c r="F3460" s="14">
        <v>0</v>
      </c>
      <c r="G3460" s="13">
        <v>499.1542</v>
      </c>
      <c r="H3460" s="14">
        <v>679302.045536</v>
      </c>
      <c r="I3460" s="14" t="e">
        <f>=Round(10.20640000,0)</f>
        <v>#VALUE!</v>
      </c>
      <c r="J3460" s="14" t="e">
        <f>=Round(0.00000000,0)</f>
        <v>#VALUE!</v>
      </c>
    </row>
    <row r="3461">
      <c r="A3461" s="11" t="s">
        <v>46</v>
      </c>
      <c r="B3461" s="12">
        <v>1361.137</v>
      </c>
      <c r="C3461" s="12">
        <v>0</v>
      </c>
      <c r="D3461" s="13">
        <v>0</v>
      </c>
      <c r="E3461" s="12">
        <v>0</v>
      </c>
      <c r="F3461" s="14">
        <v>0</v>
      </c>
      <c r="G3461" s="13">
        <v>499.1542</v>
      </c>
      <c r="H3461" s="14">
        <v>679417.250325</v>
      </c>
      <c r="I3461" s="14" t="e">
        <f>=Round(10.20810000,0)</f>
        <v>#VALUE!</v>
      </c>
      <c r="J3461" s="14" t="e">
        <f>=Round(0.00000000,0)</f>
        <v>#VALUE!</v>
      </c>
    </row>
    <row r="3462">
      <c r="A3462" s="11" t="s">
        <v>47</v>
      </c>
      <c r="B3462" s="12">
        <v>1361.367</v>
      </c>
      <c r="C3462" s="12">
        <v>0</v>
      </c>
      <c r="D3462" s="13">
        <v>0</v>
      </c>
      <c r="E3462" s="12">
        <v>0</v>
      </c>
      <c r="F3462" s="14">
        <v>0</v>
      </c>
      <c r="G3462" s="13">
        <v>499.1542</v>
      </c>
      <c r="H3462" s="14">
        <v>679532.055791</v>
      </c>
      <c r="I3462" s="14" t="e">
        <f>=Round(10.20980000,0)</f>
        <v>#VALUE!</v>
      </c>
      <c r="J3462" s="14" t="e">
        <f>=Round(0.00000000,0)</f>
        <v>#VALUE!</v>
      </c>
    </row>
    <row r="3463">
      <c r="A3463" s="11" t="s">
        <v>48</v>
      </c>
      <c r="B3463" s="12">
        <v>1361.6195</v>
      </c>
      <c r="C3463" s="12">
        <v>0</v>
      </c>
      <c r="D3463" s="13">
        <v>0</v>
      </c>
      <c r="E3463" s="12">
        <v>0</v>
      </c>
      <c r="F3463" s="14">
        <v>0</v>
      </c>
      <c r="G3463" s="13">
        <v>499.1542</v>
      </c>
      <c r="H3463" s="14">
        <v>679658.092227</v>
      </c>
      <c r="I3463" s="14" t="e">
        <f>=Round(10.21150000,0)</f>
        <v>#VALUE!</v>
      </c>
      <c r="J3463" s="14" t="e">
        <f>=Round(0.00000000,0)</f>
        <v>#VALUE!</v>
      </c>
    </row>
    <row r="3464">
      <c r="A3464" s="11" t="s">
        <v>49</v>
      </c>
      <c r="B3464" s="12">
        <v>1361.6195</v>
      </c>
      <c r="C3464" s="12">
        <v>0</v>
      </c>
      <c r="D3464" s="13">
        <v>0</v>
      </c>
      <c r="E3464" s="12">
        <v>0</v>
      </c>
      <c r="F3464" s="14">
        <v>0</v>
      </c>
      <c r="G3464" s="13">
        <v>499.1542</v>
      </c>
      <c r="H3464" s="14">
        <v>679658.092227</v>
      </c>
      <c r="I3464" s="14" t="e">
        <f>=Round(10.21340000,0)</f>
        <v>#VALUE!</v>
      </c>
      <c r="J3464" s="14" t="e">
        <f>=Round(0.00000000,0)</f>
        <v>#VALUE!</v>
      </c>
    </row>
    <row r="3465">
      <c r="A3465" s="11" t="s">
        <v>50</v>
      </c>
      <c r="B3465" s="12">
        <v>1361.6195</v>
      </c>
      <c r="C3465" s="12">
        <v>0</v>
      </c>
      <c r="D3465" s="13">
        <v>0</v>
      </c>
      <c r="E3465" s="12">
        <v>0</v>
      </c>
      <c r="F3465" s="14">
        <v>0</v>
      </c>
      <c r="G3465" s="13">
        <v>499.1542</v>
      </c>
      <c r="H3465" s="14">
        <v>679658.092227</v>
      </c>
      <c r="I3465" s="14" t="e">
        <f>=Round(10.21340000,0)</f>
        <v>#VALUE!</v>
      </c>
      <c r="J3465" s="14" t="e">
        <f>=Round(0.00000000,0)</f>
        <v>#VALUE!</v>
      </c>
    </row>
    <row r="3466">
      <c r="A3466" s="11" t="s">
        <v>51</v>
      </c>
      <c r="B3466" s="12">
        <v>1362.3425</v>
      </c>
      <c r="C3466" s="12">
        <v>0</v>
      </c>
      <c r="D3466" s="13">
        <v>0</v>
      </c>
      <c r="E3466" s="12">
        <v>0</v>
      </c>
      <c r="F3466" s="14">
        <v>0</v>
      </c>
      <c r="G3466" s="13">
        <v>499.1542</v>
      </c>
      <c r="H3466" s="14">
        <v>680018.980714</v>
      </c>
      <c r="I3466" s="14" t="e">
        <f>=Round(10.21340000,0)</f>
        <v>#VALUE!</v>
      </c>
      <c r="J3466" s="14" t="e">
        <f>=Round(0.00000000,0)</f>
        <v>#VALUE!</v>
      </c>
    </row>
    <row r="3467">
      <c r="A3467" s="11" t="s">
        <v>52</v>
      </c>
      <c r="B3467" s="12">
        <v>1362.5746</v>
      </c>
      <c r="C3467" s="12">
        <v>0</v>
      </c>
      <c r="D3467" s="13">
        <v>0</v>
      </c>
      <c r="E3467" s="12">
        <v>0</v>
      </c>
      <c r="F3467" s="14">
        <v>0</v>
      </c>
      <c r="G3467" s="13">
        <v>499.1542</v>
      </c>
      <c r="H3467" s="14">
        <v>680134.834403</v>
      </c>
      <c r="I3467" s="14" t="e">
        <f>=Round(10.21890000,0)</f>
        <v>#VALUE!</v>
      </c>
      <c r="J3467" s="14" t="e">
        <f>=Round(0.00000000,0)</f>
        <v>#VALUE!</v>
      </c>
    </row>
    <row r="3468">
      <c r="A3468" s="11" t="s">
        <v>53</v>
      </c>
      <c r="B3468" s="12">
        <v>1362.8067</v>
      </c>
      <c r="C3468" s="12">
        <v>0</v>
      </c>
      <c r="D3468" s="13">
        <v>0</v>
      </c>
      <c r="E3468" s="12">
        <v>0</v>
      </c>
      <c r="F3468" s="14">
        <v>0</v>
      </c>
      <c r="G3468" s="13">
        <v>499.1542</v>
      </c>
      <c r="H3468" s="14">
        <v>680250.688093</v>
      </c>
      <c r="I3468" s="14" t="e">
        <f>=Round(10.22060000,0)</f>
        <v>#VALUE!</v>
      </c>
      <c r="J3468" s="14" t="e">
        <f>=Round(0.00000000,0)</f>
        <v>#VALUE!</v>
      </c>
    </row>
    <row r="3469">
      <c r="A3469" s="11" t="s">
        <v>54</v>
      </c>
      <c r="B3469" s="12">
        <v>1363.0394</v>
      </c>
      <c r="C3469" s="12">
        <v>0</v>
      </c>
      <c r="D3469" s="13">
        <v>0</v>
      </c>
      <c r="E3469" s="12">
        <v>0</v>
      </c>
      <c r="F3469" s="14">
        <v>0</v>
      </c>
      <c r="G3469" s="13">
        <v>499.1542</v>
      </c>
      <c r="H3469" s="14">
        <v>680366.841275</v>
      </c>
      <c r="I3469" s="14" t="e">
        <f>=Round(10.22230000,0)</f>
        <v>#VALUE!</v>
      </c>
      <c r="J3469" s="14" t="e">
        <f>=Round(0.00000000,0)</f>
        <v>#VALUE!</v>
      </c>
    </row>
    <row r="3470">
      <c r="A3470" s="11" t="s">
        <v>55</v>
      </c>
      <c r="B3470" s="12">
        <v>1363.274</v>
      </c>
      <c r="C3470" s="12">
        <v>0</v>
      </c>
      <c r="D3470" s="13">
        <v>0</v>
      </c>
      <c r="E3470" s="12">
        <v>0</v>
      </c>
      <c r="F3470" s="14">
        <v>0</v>
      </c>
      <c r="G3470" s="13">
        <v>499.1542</v>
      </c>
      <c r="H3470" s="14">
        <v>680483.942851</v>
      </c>
      <c r="I3470" s="14" t="e">
        <f>=Round(10.22410000,0)</f>
        <v>#VALUE!</v>
      </c>
      <c r="J3470" s="14" t="e">
        <f>=Round(0.00000000,0)</f>
        <v>#VALUE!</v>
      </c>
    </row>
    <row r="3471" ht="-1">
      <c r="A3471" s="15"/>
      <c r="B3471" s="16" t="s">
        <v>56</v>
      </c>
      <c r="C3471" s="15"/>
      <c r="D3471" s="15"/>
      <c r="E3471" s="15"/>
      <c r="F3471" s="15"/>
      <c r="G3471" s="15"/>
      <c r="H3471" s="15"/>
      <c r="I3471" s="17" t="e">
        <f>=Round(SUM(I3445:I3470),0)</f>
        <v>#VALUE!</v>
      </c>
      <c r="J3471" s="17" t="e">
        <f>=Round(SUM(J3445:J3470),0)</f>
        <v>#VALUE!</v>
      </c>
    </row>
    <row r="3472">
      <c r="A3472" s="1" t="s">
        <v>0</v>
      </c>
      <c r="B3472" s="1"/>
      <c r="C3472" s="1"/>
      <c r="D3472" s="1"/>
    </row>
    <row r="3473">
      <c r="A3473" s="0" t="s">
        <v>1</v>
      </c>
      <c r="C3473" s="0" t="s">
        <v>144</v>
      </c>
      <c r="H3473" s="2" t="s">
        <v>3</v>
      </c>
    </row>
    <row r="3474">
      <c r="A3474" s="0" t="s">
        <v>4</v>
      </c>
      <c r="C3474" s="0" t="s">
        <v>150</v>
      </c>
      <c r="H3474" s="3" t="s">
        <v>6</v>
      </c>
    </row>
    <row r="3475">
      <c r="A3475" s="0" t="s">
        <v>7</v>
      </c>
      <c r="C3475" s="4" t="s">
        <v>146</v>
      </c>
      <c r="H3475" s="2" t="s">
        <v>9</v>
      </c>
    </row>
    <row r="3476">
      <c r="A3476" s="0" t="s">
        <v>10</v>
      </c>
      <c r="C3476" s="4" t="s">
        <v>11</v>
      </c>
      <c r="H3476" s="2" t="s">
        <v>12</v>
      </c>
    </row>
    <row r="3477">
      <c r="A3477" s="0" t="s">
        <v>13</v>
      </c>
      <c r="C3477" s="0" t="s">
        <v>14</v>
      </c>
    </row>
    <row r="3478">
      <c r="A3478" s="0" t="s">
        <v>15</v>
      </c>
      <c r="C3478" s="0" t="s">
        <v>16</v>
      </c>
    </row>
    <row r="3479">
      <c r="A3479" s="0" t="s">
        <v>17</v>
      </c>
      <c r="C3479" s="0" t="s">
        <v>18</v>
      </c>
    </row>
    <row r="3482">
      <c r="A3482" s="5" t="s">
        <v>19</v>
      </c>
      <c r="B3482" s="5" t="s">
        <v>20</v>
      </c>
      <c r="C3482" s="7" t="s">
        <v>21</v>
      </c>
      <c r="D3482" s="9"/>
      <c r="E3482" s="7" t="s">
        <v>22</v>
      </c>
      <c r="F3482" s="9"/>
      <c r="G3482" s="5" t="s">
        <v>23</v>
      </c>
      <c r="H3482" s="5" t="s">
        <v>24</v>
      </c>
      <c r="I3482" s="5" t="s">
        <v>147</v>
      </c>
      <c r="J3482" s="5" t="s">
        <v>26</v>
      </c>
    </row>
    <row r="3483">
      <c r="A3483" s="6"/>
      <c r="B3483" s="6"/>
      <c r="C3483" s="8" t="s">
        <v>27</v>
      </c>
      <c r="D3483" s="8" t="s">
        <v>28</v>
      </c>
      <c r="E3483" s="8" t="s">
        <v>27</v>
      </c>
      <c r="F3483" s="8" t="s">
        <v>28</v>
      </c>
      <c r="G3483" s="6"/>
      <c r="H3483" s="6"/>
      <c r="I3483" s="10" t="s">
        <v>29</v>
      </c>
      <c r="J3483" s="6"/>
    </row>
    <row r="3484">
      <c r="A3484" s="11" t="s">
        <v>30</v>
      </c>
      <c r="B3484" s="12">
        <v>1357.4104</v>
      </c>
      <c r="C3484" s="12">
        <v>0</v>
      </c>
      <c r="D3484" s="13">
        <v>0</v>
      </c>
      <c r="E3484" s="12">
        <v>0</v>
      </c>
      <c r="F3484" s="14">
        <v>0</v>
      </c>
      <c r="G3484" s="13">
        <v>4476.2305</v>
      </c>
      <c r="H3484" s="14">
        <v>6076081.833497</v>
      </c>
      <c r="I3484" s="14" t="e">
        <f>=Round(91.26060000,0)</f>
        <v>#VALUE!</v>
      </c>
      <c r="J3484" s="14" t="e">
        <f>=Round(0.00000000,0)</f>
        <v>#VALUE!</v>
      </c>
    </row>
    <row r="3485">
      <c r="A3485" s="11" t="s">
        <v>31</v>
      </c>
      <c r="B3485" s="12">
        <v>1357.6428</v>
      </c>
      <c r="C3485" s="12">
        <v>0</v>
      </c>
      <c r="D3485" s="13">
        <v>0</v>
      </c>
      <c r="E3485" s="12">
        <v>0</v>
      </c>
      <c r="F3485" s="14">
        <v>0</v>
      </c>
      <c r="G3485" s="13">
        <v>4476.2305</v>
      </c>
      <c r="H3485" s="14">
        <v>6077122.109465</v>
      </c>
      <c r="I3485" s="14" t="e">
        <f>=Round(91.30720000,0)</f>
        <v>#VALUE!</v>
      </c>
      <c r="J3485" s="14" t="e">
        <f>=Round(0.00000000,0)</f>
        <v>#VALUE!</v>
      </c>
    </row>
    <row r="3486">
      <c r="A3486" s="11" t="s">
        <v>32</v>
      </c>
      <c r="B3486" s="12">
        <v>1357.8735</v>
      </c>
      <c r="C3486" s="12">
        <v>0</v>
      </c>
      <c r="D3486" s="13">
        <v>0</v>
      </c>
      <c r="E3486" s="12">
        <v>0</v>
      </c>
      <c r="F3486" s="14">
        <v>0</v>
      </c>
      <c r="G3486" s="13">
        <v>4476.2305</v>
      </c>
      <c r="H3486" s="14">
        <v>6078154.775842</v>
      </c>
      <c r="I3486" s="14" t="e">
        <f>=Round(91.32290000,0)</f>
        <v>#VALUE!</v>
      </c>
      <c r="J3486" s="14" t="e">
        <f>=Round(0.00000000,0)</f>
        <v>#VALUE!</v>
      </c>
    </row>
    <row r="3487">
      <c r="A3487" s="11" t="s">
        <v>33</v>
      </c>
      <c r="B3487" s="12">
        <v>1358.1079</v>
      </c>
      <c r="C3487" s="12">
        <v>0</v>
      </c>
      <c r="D3487" s="13">
        <v>0</v>
      </c>
      <c r="E3487" s="12">
        <v>0</v>
      </c>
      <c r="F3487" s="14">
        <v>0</v>
      </c>
      <c r="G3487" s="13">
        <v>4476.2305</v>
      </c>
      <c r="H3487" s="14">
        <v>6079204.004271</v>
      </c>
      <c r="I3487" s="14" t="e">
        <f>=Round(91.33840000,0)</f>
        <v>#VALUE!</v>
      </c>
      <c r="J3487" s="14" t="e">
        <f>=Round(0.00000000,0)</f>
        <v>#VALUE!</v>
      </c>
    </row>
    <row r="3488">
      <c r="A3488" s="11" t="s">
        <v>34</v>
      </c>
      <c r="B3488" s="12">
        <v>1358.3402</v>
      </c>
      <c r="C3488" s="12">
        <v>0</v>
      </c>
      <c r="D3488" s="13">
        <v>0</v>
      </c>
      <c r="E3488" s="12">
        <v>0</v>
      </c>
      <c r="F3488" s="14">
        <v>0</v>
      </c>
      <c r="G3488" s="13">
        <v>4476.2305</v>
      </c>
      <c r="H3488" s="14">
        <v>6080243.832616</v>
      </c>
      <c r="I3488" s="14" t="e">
        <f>=Round(91.35420000,0)</f>
        <v>#VALUE!</v>
      </c>
      <c r="J3488" s="14" t="e">
        <f>=Round(0.00000000,0)</f>
        <v>#VALUE!</v>
      </c>
    </row>
    <row r="3489">
      <c r="A3489" s="11" t="s">
        <v>35</v>
      </c>
      <c r="B3489" s="12">
        <v>1358.3402</v>
      </c>
      <c r="C3489" s="12">
        <v>0</v>
      </c>
      <c r="D3489" s="13">
        <v>0</v>
      </c>
      <c r="E3489" s="12">
        <v>0</v>
      </c>
      <c r="F3489" s="14">
        <v>0</v>
      </c>
      <c r="G3489" s="13">
        <v>4476.2305</v>
      </c>
      <c r="H3489" s="14">
        <v>6080243.832616</v>
      </c>
      <c r="I3489" s="14" t="e">
        <f>=Round(91.36980000,0)</f>
        <v>#VALUE!</v>
      </c>
      <c r="J3489" s="14" t="e">
        <f>=Round(0.00000000,0)</f>
        <v>#VALUE!</v>
      </c>
    </row>
    <row r="3490">
      <c r="A3490" s="11" t="s">
        <v>36</v>
      </c>
      <c r="B3490" s="12">
        <v>1358.3402</v>
      </c>
      <c r="C3490" s="12">
        <v>0</v>
      </c>
      <c r="D3490" s="13">
        <v>0</v>
      </c>
      <c r="E3490" s="12">
        <v>0</v>
      </c>
      <c r="F3490" s="14">
        <v>0</v>
      </c>
      <c r="G3490" s="13">
        <v>4476.2305</v>
      </c>
      <c r="H3490" s="14">
        <v>6080243.832616</v>
      </c>
      <c r="I3490" s="14" t="e">
        <f>=Round(91.36980000,0)</f>
        <v>#VALUE!</v>
      </c>
      <c r="J3490" s="14" t="e">
        <f>=Round(0.00000000,0)</f>
        <v>#VALUE!</v>
      </c>
    </row>
    <row r="3491">
      <c r="A3491" s="11" t="s">
        <v>37</v>
      </c>
      <c r="B3491" s="12">
        <v>1359.0395</v>
      </c>
      <c r="C3491" s="12">
        <v>0</v>
      </c>
      <c r="D3491" s="13">
        <v>0</v>
      </c>
      <c r="E3491" s="12">
        <v>0</v>
      </c>
      <c r="F3491" s="14">
        <v>0</v>
      </c>
      <c r="G3491" s="13">
        <v>4476.2305</v>
      </c>
      <c r="H3491" s="14">
        <v>6083374.060605</v>
      </c>
      <c r="I3491" s="14" t="e">
        <f>=Round(91.36980000,0)</f>
        <v>#VALUE!</v>
      </c>
      <c r="J3491" s="14" t="e">
        <f>=Round(0.00000000,0)</f>
        <v>#VALUE!</v>
      </c>
    </row>
    <row r="3492">
      <c r="A3492" s="11" t="s">
        <v>38</v>
      </c>
      <c r="B3492" s="12">
        <v>1359.2726</v>
      </c>
      <c r="C3492" s="12">
        <v>0</v>
      </c>
      <c r="D3492" s="13">
        <v>0</v>
      </c>
      <c r="E3492" s="12">
        <v>0</v>
      </c>
      <c r="F3492" s="14">
        <v>0</v>
      </c>
      <c r="G3492" s="13">
        <v>4476.2305</v>
      </c>
      <c r="H3492" s="14">
        <v>6084417.469934</v>
      </c>
      <c r="I3492" s="14" t="e">
        <f>=Round(91.41680000,0)</f>
        <v>#VALUE!</v>
      </c>
      <c r="J3492" s="14" t="e">
        <f>=Round(0.00000000,0)</f>
        <v>#VALUE!</v>
      </c>
    </row>
    <row r="3493">
      <c r="A3493" s="11" t="s">
        <v>39</v>
      </c>
      <c r="B3493" s="12">
        <v>1359.5048</v>
      </c>
      <c r="C3493" s="12">
        <v>0</v>
      </c>
      <c r="D3493" s="13">
        <v>0</v>
      </c>
      <c r="E3493" s="12">
        <v>0</v>
      </c>
      <c r="F3493" s="14">
        <v>0</v>
      </c>
      <c r="G3493" s="13">
        <v>4476.2305</v>
      </c>
      <c r="H3493" s="14">
        <v>6085456.850656</v>
      </c>
      <c r="I3493" s="14" t="e">
        <f>=Round(91.43250000,0)</f>
        <v>#VALUE!</v>
      </c>
      <c r="J3493" s="14" t="e">
        <f>=Round(0.00000000,0)</f>
        <v>#VALUE!</v>
      </c>
    </row>
    <row r="3494">
      <c r="A3494" s="11" t="s">
        <v>40</v>
      </c>
      <c r="B3494" s="12">
        <v>1359.7365</v>
      </c>
      <c r="C3494" s="12">
        <v>0</v>
      </c>
      <c r="D3494" s="13">
        <v>0</v>
      </c>
      <c r="E3494" s="12">
        <v>0</v>
      </c>
      <c r="F3494" s="14">
        <v>0</v>
      </c>
      <c r="G3494" s="13">
        <v>4476.2305</v>
      </c>
      <c r="H3494" s="14">
        <v>6086493.993263</v>
      </c>
      <c r="I3494" s="14" t="e">
        <f>=Round(91.44810000,0)</f>
        <v>#VALUE!</v>
      </c>
      <c r="J3494" s="14" t="e">
        <f>=Round(0.00000000,0)</f>
        <v>#VALUE!</v>
      </c>
    </row>
    <row r="3495">
      <c r="A3495" s="11" t="s">
        <v>41</v>
      </c>
      <c r="B3495" s="12">
        <v>1359.979</v>
      </c>
      <c r="C3495" s="12">
        <v>0</v>
      </c>
      <c r="D3495" s="13">
        <v>0</v>
      </c>
      <c r="E3495" s="12">
        <v>0</v>
      </c>
      <c r="F3495" s="14">
        <v>0</v>
      </c>
      <c r="G3495" s="13">
        <v>4476.2305</v>
      </c>
      <c r="H3495" s="14">
        <v>6087579.47916</v>
      </c>
      <c r="I3495" s="14" t="e">
        <f>=Round(91.46370000,0)</f>
        <v>#VALUE!</v>
      </c>
      <c r="J3495" s="14" t="e">
        <f>=Round(0.00000000,0)</f>
        <v>#VALUE!</v>
      </c>
    </row>
    <row r="3496">
      <c r="A3496" s="11" t="s">
        <v>42</v>
      </c>
      <c r="B3496" s="12">
        <v>1359.979</v>
      </c>
      <c r="C3496" s="12">
        <v>0</v>
      </c>
      <c r="D3496" s="13">
        <v>0</v>
      </c>
      <c r="E3496" s="12">
        <v>0</v>
      </c>
      <c r="F3496" s="14">
        <v>0</v>
      </c>
      <c r="G3496" s="13">
        <v>4476.2305</v>
      </c>
      <c r="H3496" s="14">
        <v>6087579.47916</v>
      </c>
      <c r="I3496" s="14" t="e">
        <f>=Round(91.48000000,0)</f>
        <v>#VALUE!</v>
      </c>
      <c r="J3496" s="14" t="e">
        <f>=Round(0.00000000,0)</f>
        <v>#VALUE!</v>
      </c>
    </row>
    <row r="3497">
      <c r="A3497" s="11" t="s">
        <v>43</v>
      </c>
      <c r="B3497" s="12">
        <v>1359.979</v>
      </c>
      <c r="C3497" s="12">
        <v>0</v>
      </c>
      <c r="D3497" s="13">
        <v>0</v>
      </c>
      <c r="E3497" s="12">
        <v>0</v>
      </c>
      <c r="F3497" s="14">
        <v>0</v>
      </c>
      <c r="G3497" s="13">
        <v>4476.2305</v>
      </c>
      <c r="H3497" s="14">
        <v>6087579.47916</v>
      </c>
      <c r="I3497" s="14" t="e">
        <f>=Round(91.48000000,0)</f>
        <v>#VALUE!</v>
      </c>
      <c r="J3497" s="14" t="e">
        <f>=Round(0.00000000,0)</f>
        <v>#VALUE!</v>
      </c>
    </row>
    <row r="3498">
      <c r="A3498" s="11" t="s">
        <v>44</v>
      </c>
      <c r="B3498" s="12">
        <v>1360.6758</v>
      </c>
      <c r="C3498" s="12">
        <v>0</v>
      </c>
      <c r="D3498" s="13">
        <v>0</v>
      </c>
      <c r="E3498" s="12">
        <v>0</v>
      </c>
      <c r="F3498" s="14">
        <v>0</v>
      </c>
      <c r="G3498" s="13">
        <v>4476.2305</v>
      </c>
      <c r="H3498" s="14">
        <v>6090698.516572</v>
      </c>
      <c r="I3498" s="14" t="e">
        <f>=Round(91.48000000,0)</f>
        <v>#VALUE!</v>
      </c>
      <c r="J3498" s="14" t="e">
        <f>=Round(0.00000000,0)</f>
        <v>#VALUE!</v>
      </c>
    </row>
    <row r="3499">
      <c r="A3499" s="11" t="s">
        <v>45</v>
      </c>
      <c r="B3499" s="12">
        <v>1360.9062</v>
      </c>
      <c r="C3499" s="12">
        <v>0</v>
      </c>
      <c r="D3499" s="13">
        <v>0</v>
      </c>
      <c r="E3499" s="12">
        <v>0</v>
      </c>
      <c r="F3499" s="14">
        <v>0</v>
      </c>
      <c r="G3499" s="13">
        <v>4476.2305</v>
      </c>
      <c r="H3499" s="14">
        <v>6091729.840079</v>
      </c>
      <c r="I3499" s="14" t="e">
        <f>=Round(91.52690000,0)</f>
        <v>#VALUE!</v>
      </c>
      <c r="J3499" s="14" t="e">
        <f>=Round(0.00000000,0)</f>
        <v>#VALUE!</v>
      </c>
    </row>
    <row r="3500">
      <c r="A3500" s="11" t="s">
        <v>46</v>
      </c>
      <c r="B3500" s="12">
        <v>1361.137</v>
      </c>
      <c r="C3500" s="12">
        <v>0</v>
      </c>
      <c r="D3500" s="13">
        <v>0</v>
      </c>
      <c r="E3500" s="12">
        <v>0</v>
      </c>
      <c r="F3500" s="14">
        <v>0</v>
      </c>
      <c r="G3500" s="13">
        <v>4476.2305</v>
      </c>
      <c r="H3500" s="14">
        <v>6092762.954079</v>
      </c>
      <c r="I3500" s="14" t="e">
        <f>=Round(91.54240000,0)</f>
        <v>#VALUE!</v>
      </c>
      <c r="J3500" s="14" t="e">
        <f>=Round(0.00000000,0)</f>
        <v>#VALUE!</v>
      </c>
    </row>
    <row r="3501">
      <c r="A3501" s="11" t="s">
        <v>47</v>
      </c>
      <c r="B3501" s="12">
        <v>1361.367</v>
      </c>
      <c r="C3501" s="12">
        <v>0</v>
      </c>
      <c r="D3501" s="13">
        <v>0</v>
      </c>
      <c r="E3501" s="12">
        <v>0</v>
      </c>
      <c r="F3501" s="14">
        <v>0</v>
      </c>
      <c r="G3501" s="13">
        <v>4476.2305</v>
      </c>
      <c r="H3501" s="14">
        <v>6093792.487094</v>
      </c>
      <c r="I3501" s="14" t="e">
        <f>=Round(91.55790000,0)</f>
        <v>#VALUE!</v>
      </c>
      <c r="J3501" s="14" t="e">
        <f>=Round(0.00000000,0)</f>
        <v>#VALUE!</v>
      </c>
    </row>
    <row r="3502">
      <c r="A3502" s="11" t="s">
        <v>48</v>
      </c>
      <c r="B3502" s="12">
        <v>1361.6195</v>
      </c>
      <c r="C3502" s="12">
        <v>0</v>
      </c>
      <c r="D3502" s="13">
        <v>0</v>
      </c>
      <c r="E3502" s="12">
        <v>0</v>
      </c>
      <c r="F3502" s="14">
        <v>0</v>
      </c>
      <c r="G3502" s="13">
        <v>4476.2305</v>
      </c>
      <c r="H3502" s="14">
        <v>6094922.735295</v>
      </c>
      <c r="I3502" s="14" t="e">
        <f>=Round(91.57340000,0)</f>
        <v>#VALUE!</v>
      </c>
      <c r="J3502" s="14" t="e">
        <f>=Round(0.00000000,0)</f>
        <v>#VALUE!</v>
      </c>
    </row>
    <row r="3503">
      <c r="A3503" s="11" t="s">
        <v>49</v>
      </c>
      <c r="B3503" s="12">
        <v>1361.6195</v>
      </c>
      <c r="C3503" s="12">
        <v>0</v>
      </c>
      <c r="D3503" s="13">
        <v>0</v>
      </c>
      <c r="E3503" s="12">
        <v>0</v>
      </c>
      <c r="F3503" s="14">
        <v>0</v>
      </c>
      <c r="G3503" s="13">
        <v>4476.2305</v>
      </c>
      <c r="H3503" s="14">
        <v>6094922.735295</v>
      </c>
      <c r="I3503" s="14" t="e">
        <f>=Round(91.59040000,0)</f>
        <v>#VALUE!</v>
      </c>
      <c r="J3503" s="14" t="e">
        <f>=Round(0.00000000,0)</f>
        <v>#VALUE!</v>
      </c>
    </row>
    <row r="3504">
      <c r="A3504" s="11" t="s">
        <v>50</v>
      </c>
      <c r="B3504" s="12">
        <v>1361.6195</v>
      </c>
      <c r="C3504" s="12">
        <v>0</v>
      </c>
      <c r="D3504" s="13">
        <v>0</v>
      </c>
      <c r="E3504" s="12">
        <v>0</v>
      </c>
      <c r="F3504" s="14">
        <v>0</v>
      </c>
      <c r="G3504" s="13">
        <v>4476.2305</v>
      </c>
      <c r="H3504" s="14">
        <v>6094922.735295</v>
      </c>
      <c r="I3504" s="14" t="e">
        <f>=Round(91.59040000,0)</f>
        <v>#VALUE!</v>
      </c>
      <c r="J3504" s="14" t="e">
        <f>=Round(0.00000000,0)</f>
        <v>#VALUE!</v>
      </c>
    </row>
    <row r="3505">
      <c r="A3505" s="11" t="s">
        <v>51</v>
      </c>
      <c r="B3505" s="12">
        <v>1362.3425</v>
      </c>
      <c r="C3505" s="12">
        <v>0</v>
      </c>
      <c r="D3505" s="13">
        <v>0</v>
      </c>
      <c r="E3505" s="12">
        <v>0</v>
      </c>
      <c r="F3505" s="14">
        <v>0</v>
      </c>
      <c r="G3505" s="13">
        <v>4476.2305</v>
      </c>
      <c r="H3505" s="14">
        <v>6098159.049946</v>
      </c>
      <c r="I3505" s="14" t="e">
        <f>=Round(91.59040000,0)</f>
        <v>#VALUE!</v>
      </c>
      <c r="J3505" s="14" t="e">
        <f>=Round(0.00000000,0)</f>
        <v>#VALUE!</v>
      </c>
    </row>
    <row r="3506">
      <c r="A3506" s="11" t="s">
        <v>52</v>
      </c>
      <c r="B3506" s="12">
        <v>1362.5746</v>
      </c>
      <c r="C3506" s="12">
        <v>0</v>
      </c>
      <c r="D3506" s="13">
        <v>0</v>
      </c>
      <c r="E3506" s="12">
        <v>0</v>
      </c>
      <c r="F3506" s="14">
        <v>0</v>
      </c>
      <c r="G3506" s="13">
        <v>4476.2305</v>
      </c>
      <c r="H3506" s="14">
        <v>6099197.983045</v>
      </c>
      <c r="I3506" s="14" t="e">
        <f>=Round(91.63900000,0)</f>
        <v>#VALUE!</v>
      </c>
      <c r="J3506" s="14" t="e">
        <f>=Round(0.00000000,0)</f>
        <v>#VALUE!</v>
      </c>
    </row>
    <row r="3507">
      <c r="A3507" s="11" t="s">
        <v>53</v>
      </c>
      <c r="B3507" s="12">
        <v>1362.8067</v>
      </c>
      <c r="C3507" s="12">
        <v>0</v>
      </c>
      <c r="D3507" s="13">
        <v>0</v>
      </c>
      <c r="E3507" s="12">
        <v>0</v>
      </c>
      <c r="F3507" s="14">
        <v>0</v>
      </c>
      <c r="G3507" s="13">
        <v>4476.2305</v>
      </c>
      <c r="H3507" s="14">
        <v>6100236.916144</v>
      </c>
      <c r="I3507" s="14" t="e">
        <f>=Round(91.65460000,0)</f>
        <v>#VALUE!</v>
      </c>
      <c r="J3507" s="14" t="e">
        <f>=Round(0.00000000,0)</f>
        <v>#VALUE!</v>
      </c>
    </row>
    <row r="3508">
      <c r="A3508" s="11" t="s">
        <v>54</v>
      </c>
      <c r="B3508" s="12">
        <v>1363.0394</v>
      </c>
      <c r="C3508" s="12">
        <v>0</v>
      </c>
      <c r="D3508" s="13">
        <v>0</v>
      </c>
      <c r="E3508" s="12">
        <v>0</v>
      </c>
      <c r="F3508" s="14">
        <v>0</v>
      </c>
      <c r="G3508" s="13">
        <v>4476.2305</v>
      </c>
      <c r="H3508" s="14">
        <v>6101278.534982</v>
      </c>
      <c r="I3508" s="14" t="e">
        <f>=Round(91.67020000,0)</f>
        <v>#VALUE!</v>
      </c>
      <c r="J3508" s="14" t="e">
        <f>=Round(0.00000000,0)</f>
        <v>#VALUE!</v>
      </c>
    </row>
    <row r="3509">
      <c r="A3509" s="11" t="s">
        <v>55</v>
      </c>
      <c r="B3509" s="12">
        <v>1363.274</v>
      </c>
      <c r="C3509" s="12">
        <v>0</v>
      </c>
      <c r="D3509" s="13">
        <v>0</v>
      </c>
      <c r="E3509" s="12">
        <v>0</v>
      </c>
      <c r="F3509" s="14">
        <v>0</v>
      </c>
      <c r="G3509" s="13">
        <v>4476.2305</v>
      </c>
      <c r="H3509" s="14">
        <v>6102328.658657</v>
      </c>
      <c r="I3509" s="14" t="e">
        <f>=Round(91.68590000,0)</f>
        <v>#VALUE!</v>
      </c>
      <c r="J3509" s="14" t="e">
        <f>=Round(0.00000000,0)</f>
        <v>#VALUE!</v>
      </c>
    </row>
    <row r="3510" ht="-1">
      <c r="A3510" s="15"/>
      <c r="B3510" s="16" t="s">
        <v>56</v>
      </c>
      <c r="C3510" s="15"/>
      <c r="D3510" s="15"/>
      <c r="E3510" s="15"/>
      <c r="F3510" s="15"/>
      <c r="G3510" s="15"/>
      <c r="H3510" s="15"/>
      <c r="I3510" s="17" t="e">
        <f>=Round(SUM(I3484:I3509),0)</f>
        <v>#VALUE!</v>
      </c>
      <c r="J3510" s="17" t="e">
        <f>=Round(SUM(J3484:J3509),0)</f>
        <v>#VALUE!</v>
      </c>
    </row>
    <row r="3511">
      <c r="A3511" s="1" t="s">
        <v>0</v>
      </c>
      <c r="B3511" s="1"/>
      <c r="C3511" s="1"/>
      <c r="D3511" s="1"/>
    </row>
    <row r="3512">
      <c r="A3512" s="0" t="s">
        <v>1</v>
      </c>
      <c r="C3512" s="0" t="s">
        <v>144</v>
      </c>
      <c r="H3512" s="2" t="s">
        <v>3</v>
      </c>
    </row>
    <row r="3513">
      <c r="A3513" s="0" t="s">
        <v>4</v>
      </c>
      <c r="C3513" s="0" t="s">
        <v>140</v>
      </c>
      <c r="H3513" s="3" t="s">
        <v>6</v>
      </c>
    </row>
    <row r="3514">
      <c r="A3514" s="0" t="s">
        <v>7</v>
      </c>
      <c r="C3514" s="4" t="s">
        <v>146</v>
      </c>
      <c r="H3514" s="2" t="s">
        <v>9</v>
      </c>
    </row>
    <row r="3515">
      <c r="A3515" s="0" t="s">
        <v>10</v>
      </c>
      <c r="C3515" s="4" t="s">
        <v>11</v>
      </c>
      <c r="H3515" s="2" t="s">
        <v>12</v>
      </c>
    </row>
    <row r="3516">
      <c r="A3516" s="0" t="s">
        <v>13</v>
      </c>
      <c r="C3516" s="0" t="s">
        <v>14</v>
      </c>
    </row>
    <row r="3517">
      <c r="A3517" s="0" t="s">
        <v>15</v>
      </c>
      <c r="C3517" s="0" t="s">
        <v>16</v>
      </c>
    </row>
    <row r="3518">
      <c r="A3518" s="0" t="s">
        <v>17</v>
      </c>
      <c r="C3518" s="0" t="s">
        <v>18</v>
      </c>
    </row>
    <row r="3521">
      <c r="A3521" s="5" t="s">
        <v>19</v>
      </c>
      <c r="B3521" s="5" t="s">
        <v>20</v>
      </c>
      <c r="C3521" s="7" t="s">
        <v>21</v>
      </c>
      <c r="D3521" s="9"/>
      <c r="E3521" s="7" t="s">
        <v>22</v>
      </c>
      <c r="F3521" s="9"/>
      <c r="G3521" s="5" t="s">
        <v>23</v>
      </c>
      <c r="H3521" s="5" t="s">
        <v>24</v>
      </c>
      <c r="I3521" s="5" t="s">
        <v>147</v>
      </c>
      <c r="J3521" s="5" t="s">
        <v>26</v>
      </c>
    </row>
    <row r="3522">
      <c r="A3522" s="6"/>
      <c r="B3522" s="6"/>
      <c r="C3522" s="8" t="s">
        <v>27</v>
      </c>
      <c r="D3522" s="8" t="s">
        <v>28</v>
      </c>
      <c r="E3522" s="8" t="s">
        <v>27</v>
      </c>
      <c r="F3522" s="8" t="s">
        <v>28</v>
      </c>
      <c r="G3522" s="6"/>
      <c r="H3522" s="6"/>
      <c r="I3522" s="10" t="s">
        <v>29</v>
      </c>
      <c r="J3522" s="6"/>
    </row>
    <row r="3523">
      <c r="A3523" s="11" t="s">
        <v>30</v>
      </c>
      <c r="B3523" s="12">
        <v>1357.4104</v>
      </c>
      <c r="C3523" s="12">
        <v>0</v>
      </c>
      <c r="D3523" s="13">
        <v>0</v>
      </c>
      <c r="E3523" s="12">
        <v>0</v>
      </c>
      <c r="F3523" s="14">
        <v>0</v>
      </c>
      <c r="G3523" s="13">
        <v>498.8761</v>
      </c>
      <c r="H3523" s="14">
        <v>677179.606451</v>
      </c>
      <c r="I3523" s="14" t="e">
        <f>=Round(10.17100000,0)</f>
        <v>#VALUE!</v>
      </c>
      <c r="J3523" s="14" t="e">
        <f>=Round(0.00000000,0)</f>
        <v>#VALUE!</v>
      </c>
    </row>
    <row r="3524">
      <c r="A3524" s="11" t="s">
        <v>31</v>
      </c>
      <c r="B3524" s="12">
        <v>1357.6428</v>
      </c>
      <c r="C3524" s="12">
        <v>0</v>
      </c>
      <c r="D3524" s="13">
        <v>0</v>
      </c>
      <c r="E3524" s="12">
        <v>0</v>
      </c>
      <c r="F3524" s="14">
        <v>0</v>
      </c>
      <c r="G3524" s="13">
        <v>498.8761</v>
      </c>
      <c r="H3524" s="14">
        <v>677295.545257</v>
      </c>
      <c r="I3524" s="14" t="e">
        <f>=Round(10.17620000,0)</f>
        <v>#VALUE!</v>
      </c>
      <c r="J3524" s="14" t="e">
        <f>=Round(0.00000000,0)</f>
        <v>#VALUE!</v>
      </c>
    </row>
    <row r="3525">
      <c r="A3525" s="11" t="s">
        <v>32</v>
      </c>
      <c r="B3525" s="12">
        <v>1357.8735</v>
      </c>
      <c r="C3525" s="12">
        <v>0</v>
      </c>
      <c r="D3525" s="13">
        <v>0</v>
      </c>
      <c r="E3525" s="12">
        <v>0</v>
      </c>
      <c r="F3525" s="14">
        <v>0</v>
      </c>
      <c r="G3525" s="13">
        <v>498.8761</v>
      </c>
      <c r="H3525" s="14">
        <v>677410.635973</v>
      </c>
      <c r="I3525" s="14" t="e">
        <f>=Round(10.17790000,0)</f>
        <v>#VALUE!</v>
      </c>
      <c r="J3525" s="14" t="e">
        <f>=Round(0.00000000,0)</f>
        <v>#VALUE!</v>
      </c>
    </row>
    <row r="3526">
      <c r="A3526" s="11" t="s">
        <v>33</v>
      </c>
      <c r="B3526" s="12">
        <v>1358.1079</v>
      </c>
      <c r="C3526" s="12">
        <v>0</v>
      </c>
      <c r="D3526" s="13">
        <v>0</v>
      </c>
      <c r="E3526" s="12">
        <v>0</v>
      </c>
      <c r="F3526" s="14">
        <v>0</v>
      </c>
      <c r="G3526" s="13">
        <v>498.8761</v>
      </c>
      <c r="H3526" s="14">
        <v>677527.572531</v>
      </c>
      <c r="I3526" s="14" t="e">
        <f>=Round(10.17970000,0)</f>
        <v>#VALUE!</v>
      </c>
      <c r="J3526" s="14" t="e">
        <f>=Round(0.00000000,0)</f>
        <v>#VALUE!</v>
      </c>
    </row>
    <row r="3527">
      <c r="A3527" s="11" t="s">
        <v>34</v>
      </c>
      <c r="B3527" s="12">
        <v>1358.3402</v>
      </c>
      <c r="C3527" s="12">
        <v>0</v>
      </c>
      <c r="D3527" s="13">
        <v>0</v>
      </c>
      <c r="E3527" s="12">
        <v>0</v>
      </c>
      <c r="F3527" s="14">
        <v>0</v>
      </c>
      <c r="G3527" s="13">
        <v>498.8761</v>
      </c>
      <c r="H3527" s="14">
        <v>677643.461449</v>
      </c>
      <c r="I3527" s="14" t="e">
        <f>=Round(10.18140000,0)</f>
        <v>#VALUE!</v>
      </c>
      <c r="J3527" s="14" t="e">
        <f>=Round(0.00000000,0)</f>
        <v>#VALUE!</v>
      </c>
    </row>
    <row r="3528">
      <c r="A3528" s="11" t="s">
        <v>35</v>
      </c>
      <c r="B3528" s="12">
        <v>1358.3402</v>
      </c>
      <c r="C3528" s="12">
        <v>0</v>
      </c>
      <c r="D3528" s="13">
        <v>0</v>
      </c>
      <c r="E3528" s="12">
        <v>0</v>
      </c>
      <c r="F3528" s="14">
        <v>0</v>
      </c>
      <c r="G3528" s="13">
        <v>498.8761</v>
      </c>
      <c r="H3528" s="14">
        <v>677643.461449</v>
      </c>
      <c r="I3528" s="14" t="e">
        <f>=Round(10.18320000,0)</f>
        <v>#VALUE!</v>
      </c>
      <c r="J3528" s="14" t="e">
        <f>=Round(0.00000000,0)</f>
        <v>#VALUE!</v>
      </c>
    </row>
    <row r="3529">
      <c r="A3529" s="11" t="s">
        <v>36</v>
      </c>
      <c r="B3529" s="12">
        <v>1358.3402</v>
      </c>
      <c r="C3529" s="12">
        <v>0</v>
      </c>
      <c r="D3529" s="13">
        <v>0</v>
      </c>
      <c r="E3529" s="12">
        <v>0</v>
      </c>
      <c r="F3529" s="14">
        <v>0</v>
      </c>
      <c r="G3529" s="13">
        <v>498.8761</v>
      </c>
      <c r="H3529" s="14">
        <v>677643.461449</v>
      </c>
      <c r="I3529" s="14" t="e">
        <f>=Round(10.18320000,0)</f>
        <v>#VALUE!</v>
      </c>
      <c r="J3529" s="14" t="e">
        <f>=Round(0.00000000,0)</f>
        <v>#VALUE!</v>
      </c>
    </row>
    <row r="3530">
      <c r="A3530" s="11" t="s">
        <v>37</v>
      </c>
      <c r="B3530" s="12">
        <v>1359.0395</v>
      </c>
      <c r="C3530" s="12">
        <v>0</v>
      </c>
      <c r="D3530" s="13">
        <v>0</v>
      </c>
      <c r="E3530" s="12">
        <v>0</v>
      </c>
      <c r="F3530" s="14">
        <v>0</v>
      </c>
      <c r="G3530" s="13">
        <v>498.8761</v>
      </c>
      <c r="H3530" s="14">
        <v>677992.325506</v>
      </c>
      <c r="I3530" s="14" t="e">
        <f>=Round(10.18320000,0)</f>
        <v>#VALUE!</v>
      </c>
      <c r="J3530" s="14" t="e">
        <f>=Round(0.00000000,0)</f>
        <v>#VALUE!</v>
      </c>
    </row>
    <row r="3531">
      <c r="A3531" s="11" t="s">
        <v>38</v>
      </c>
      <c r="B3531" s="12">
        <v>1359.2726</v>
      </c>
      <c r="C3531" s="12">
        <v>0</v>
      </c>
      <c r="D3531" s="13">
        <v>0</v>
      </c>
      <c r="E3531" s="12">
        <v>0</v>
      </c>
      <c r="F3531" s="14">
        <v>0</v>
      </c>
      <c r="G3531" s="13">
        <v>498.8761</v>
      </c>
      <c r="H3531" s="14">
        <v>678108.613525</v>
      </c>
      <c r="I3531" s="14" t="e">
        <f>=Round(10.18840000,0)</f>
        <v>#VALUE!</v>
      </c>
      <c r="J3531" s="14" t="e">
        <f>=Round(0.00000000,0)</f>
        <v>#VALUE!</v>
      </c>
    </row>
    <row r="3532">
      <c r="A3532" s="11" t="s">
        <v>39</v>
      </c>
      <c r="B3532" s="12">
        <v>1359.5048</v>
      </c>
      <c r="C3532" s="12">
        <v>0</v>
      </c>
      <c r="D3532" s="13">
        <v>0</v>
      </c>
      <c r="E3532" s="12">
        <v>0</v>
      </c>
      <c r="F3532" s="14">
        <v>0</v>
      </c>
      <c r="G3532" s="13">
        <v>498.8761</v>
      </c>
      <c r="H3532" s="14">
        <v>678224.452555</v>
      </c>
      <c r="I3532" s="14" t="e">
        <f>=Round(10.19020000,0)</f>
        <v>#VALUE!</v>
      </c>
      <c r="J3532" s="14" t="e">
        <f>=Round(0.00000000,0)</f>
        <v>#VALUE!</v>
      </c>
    </row>
    <row r="3533">
      <c r="A3533" s="11" t="s">
        <v>40</v>
      </c>
      <c r="B3533" s="12">
        <v>1359.7365</v>
      </c>
      <c r="C3533" s="12">
        <v>0</v>
      </c>
      <c r="D3533" s="13">
        <v>0</v>
      </c>
      <c r="E3533" s="12">
        <v>0</v>
      </c>
      <c r="F3533" s="14">
        <v>0</v>
      </c>
      <c r="G3533" s="13">
        <v>498.8761</v>
      </c>
      <c r="H3533" s="14">
        <v>678340.042148</v>
      </c>
      <c r="I3533" s="14" t="e">
        <f>=Round(10.19190000,0)</f>
        <v>#VALUE!</v>
      </c>
      <c r="J3533" s="14" t="e">
        <f>=Round(0.00000000,0)</f>
        <v>#VALUE!</v>
      </c>
    </row>
    <row r="3534">
      <c r="A3534" s="11" t="s">
        <v>41</v>
      </c>
      <c r="B3534" s="12">
        <v>1359.979</v>
      </c>
      <c r="C3534" s="12">
        <v>0</v>
      </c>
      <c r="D3534" s="13">
        <v>0</v>
      </c>
      <c r="E3534" s="12">
        <v>0</v>
      </c>
      <c r="F3534" s="14">
        <v>0</v>
      </c>
      <c r="G3534" s="13">
        <v>498.8761</v>
      </c>
      <c r="H3534" s="14">
        <v>678461.019602</v>
      </c>
      <c r="I3534" s="14" t="e">
        <f>=Round(10.19360000,0)</f>
        <v>#VALUE!</v>
      </c>
      <c r="J3534" s="14" t="e">
        <f>=Round(0.00000000,0)</f>
        <v>#VALUE!</v>
      </c>
    </row>
    <row r="3535">
      <c r="A3535" s="11" t="s">
        <v>42</v>
      </c>
      <c r="B3535" s="12">
        <v>1359.979</v>
      </c>
      <c r="C3535" s="12">
        <v>0</v>
      </c>
      <c r="D3535" s="13">
        <v>0</v>
      </c>
      <c r="E3535" s="12">
        <v>0</v>
      </c>
      <c r="F3535" s="14">
        <v>0</v>
      </c>
      <c r="G3535" s="13">
        <v>498.8761</v>
      </c>
      <c r="H3535" s="14">
        <v>678461.019602</v>
      </c>
      <c r="I3535" s="14" t="e">
        <f>=Round(10.19550000,0)</f>
        <v>#VALUE!</v>
      </c>
      <c r="J3535" s="14" t="e">
        <f>=Round(0.00000000,0)</f>
        <v>#VALUE!</v>
      </c>
    </row>
    <row r="3536">
      <c r="A3536" s="11" t="s">
        <v>43</v>
      </c>
      <c r="B3536" s="12">
        <v>1359.979</v>
      </c>
      <c r="C3536" s="12">
        <v>0</v>
      </c>
      <c r="D3536" s="13">
        <v>0</v>
      </c>
      <c r="E3536" s="12">
        <v>0</v>
      </c>
      <c r="F3536" s="14">
        <v>0</v>
      </c>
      <c r="G3536" s="13">
        <v>498.8761</v>
      </c>
      <c r="H3536" s="14">
        <v>678461.019602</v>
      </c>
      <c r="I3536" s="14" t="e">
        <f>=Round(10.19550000,0)</f>
        <v>#VALUE!</v>
      </c>
      <c r="J3536" s="14" t="e">
        <f>=Round(0.00000000,0)</f>
        <v>#VALUE!</v>
      </c>
    </row>
    <row r="3537">
      <c r="A3537" s="11" t="s">
        <v>44</v>
      </c>
      <c r="B3537" s="12">
        <v>1360.6758</v>
      </c>
      <c r="C3537" s="12">
        <v>0</v>
      </c>
      <c r="D3537" s="13">
        <v>0</v>
      </c>
      <c r="E3537" s="12">
        <v>0</v>
      </c>
      <c r="F3537" s="14">
        <v>0</v>
      </c>
      <c r="G3537" s="13">
        <v>498.8761</v>
      </c>
      <c r="H3537" s="14">
        <v>678808.636468</v>
      </c>
      <c r="I3537" s="14" t="e">
        <f>=Round(10.19550000,0)</f>
        <v>#VALUE!</v>
      </c>
      <c r="J3537" s="14" t="e">
        <f>=Round(0.00000000,0)</f>
        <v>#VALUE!</v>
      </c>
    </row>
    <row r="3538">
      <c r="A3538" s="11" t="s">
        <v>45</v>
      </c>
      <c r="B3538" s="12">
        <v>1360.9062</v>
      </c>
      <c r="C3538" s="12">
        <v>0</v>
      </c>
      <c r="D3538" s="13">
        <v>0</v>
      </c>
      <c r="E3538" s="12">
        <v>0</v>
      </c>
      <c r="F3538" s="14">
        <v>0</v>
      </c>
      <c r="G3538" s="13">
        <v>498.8761</v>
      </c>
      <c r="H3538" s="14">
        <v>678923.577522</v>
      </c>
      <c r="I3538" s="14" t="e">
        <f>=Round(10.20070000,0)</f>
        <v>#VALUE!</v>
      </c>
      <c r="J3538" s="14" t="e">
        <f>=Round(0.00000000,0)</f>
        <v>#VALUE!</v>
      </c>
    </row>
    <row r="3539">
      <c r="A3539" s="11" t="s">
        <v>46</v>
      </c>
      <c r="B3539" s="12">
        <v>1361.137</v>
      </c>
      <c r="C3539" s="12">
        <v>0</v>
      </c>
      <c r="D3539" s="13">
        <v>0</v>
      </c>
      <c r="E3539" s="12">
        <v>0</v>
      </c>
      <c r="F3539" s="14">
        <v>0</v>
      </c>
      <c r="G3539" s="13">
        <v>498.8761</v>
      </c>
      <c r="H3539" s="14">
        <v>679038.718126</v>
      </c>
      <c r="I3539" s="14" t="e">
        <f>=Round(10.20240000,0)</f>
        <v>#VALUE!</v>
      </c>
      <c r="J3539" s="14" t="e">
        <f>=Round(0.00000000,0)</f>
        <v>#VALUE!</v>
      </c>
    </row>
    <row r="3540">
      <c r="A3540" s="11" t="s">
        <v>47</v>
      </c>
      <c r="B3540" s="12">
        <v>1361.367</v>
      </c>
      <c r="C3540" s="12">
        <v>0</v>
      </c>
      <c r="D3540" s="13">
        <v>0</v>
      </c>
      <c r="E3540" s="12">
        <v>0</v>
      </c>
      <c r="F3540" s="14">
        <v>0</v>
      </c>
      <c r="G3540" s="13">
        <v>498.8761</v>
      </c>
      <c r="H3540" s="14">
        <v>679153.459629</v>
      </c>
      <c r="I3540" s="14" t="e">
        <f>=Round(10.20410000,0)</f>
        <v>#VALUE!</v>
      </c>
      <c r="J3540" s="14" t="e">
        <f>=Round(0.00000000,0)</f>
        <v>#VALUE!</v>
      </c>
    </row>
    <row r="3541">
      <c r="A3541" s="11" t="s">
        <v>48</v>
      </c>
      <c r="B3541" s="12">
        <v>1361.6195</v>
      </c>
      <c r="C3541" s="12">
        <v>0</v>
      </c>
      <c r="D3541" s="13">
        <v>0</v>
      </c>
      <c r="E3541" s="12">
        <v>0</v>
      </c>
      <c r="F3541" s="14">
        <v>0</v>
      </c>
      <c r="G3541" s="13">
        <v>498.8761</v>
      </c>
      <c r="H3541" s="14">
        <v>679279.425844</v>
      </c>
      <c r="I3541" s="14" t="e">
        <f>=Round(10.20590000,0)</f>
        <v>#VALUE!</v>
      </c>
      <c r="J3541" s="14" t="e">
        <f>=Round(0.00000000,0)</f>
        <v>#VALUE!</v>
      </c>
    </row>
    <row r="3542">
      <c r="A3542" s="11" t="s">
        <v>49</v>
      </c>
      <c r="B3542" s="12">
        <v>1361.6195</v>
      </c>
      <c r="C3542" s="12">
        <v>0</v>
      </c>
      <c r="D3542" s="13">
        <v>0</v>
      </c>
      <c r="E3542" s="12">
        <v>0</v>
      </c>
      <c r="F3542" s="14">
        <v>0</v>
      </c>
      <c r="G3542" s="13">
        <v>498.8761</v>
      </c>
      <c r="H3542" s="14">
        <v>679279.425844</v>
      </c>
      <c r="I3542" s="14" t="e">
        <f>=Round(10.20780000,0)</f>
        <v>#VALUE!</v>
      </c>
      <c r="J3542" s="14" t="e">
        <f>=Round(0.00000000,0)</f>
        <v>#VALUE!</v>
      </c>
    </row>
    <row r="3543">
      <c r="A3543" s="11" t="s">
        <v>50</v>
      </c>
      <c r="B3543" s="12">
        <v>1361.6195</v>
      </c>
      <c r="C3543" s="12">
        <v>0</v>
      </c>
      <c r="D3543" s="13">
        <v>0</v>
      </c>
      <c r="E3543" s="12">
        <v>0</v>
      </c>
      <c r="F3543" s="14">
        <v>0</v>
      </c>
      <c r="G3543" s="13">
        <v>498.8761</v>
      </c>
      <c r="H3543" s="14">
        <v>679279.425844</v>
      </c>
      <c r="I3543" s="14" t="e">
        <f>=Round(10.20780000,0)</f>
        <v>#VALUE!</v>
      </c>
      <c r="J3543" s="14" t="e">
        <f>=Round(0.00000000,0)</f>
        <v>#VALUE!</v>
      </c>
    </row>
    <row r="3544">
      <c r="A3544" s="11" t="s">
        <v>51</v>
      </c>
      <c r="B3544" s="12">
        <v>1362.3425</v>
      </c>
      <c r="C3544" s="12">
        <v>0</v>
      </c>
      <c r="D3544" s="13">
        <v>0</v>
      </c>
      <c r="E3544" s="12">
        <v>0</v>
      </c>
      <c r="F3544" s="14">
        <v>0</v>
      </c>
      <c r="G3544" s="13">
        <v>498.8761</v>
      </c>
      <c r="H3544" s="14">
        <v>679640.113264</v>
      </c>
      <c r="I3544" s="14" t="e">
        <f>=Round(10.20780000,0)</f>
        <v>#VALUE!</v>
      </c>
      <c r="J3544" s="14" t="e">
        <f>=Round(0.00000000,0)</f>
        <v>#VALUE!</v>
      </c>
    </row>
    <row r="3545">
      <c r="A3545" s="11" t="s">
        <v>52</v>
      </c>
      <c r="B3545" s="12">
        <v>1362.5746</v>
      </c>
      <c r="C3545" s="12">
        <v>0</v>
      </c>
      <c r="D3545" s="13">
        <v>0</v>
      </c>
      <c r="E3545" s="12">
        <v>0</v>
      </c>
      <c r="F3545" s="14">
        <v>0</v>
      </c>
      <c r="G3545" s="13">
        <v>498.8761</v>
      </c>
      <c r="H3545" s="14">
        <v>679755.902407</v>
      </c>
      <c r="I3545" s="14" t="e">
        <f>=Round(10.21320000,0)</f>
        <v>#VALUE!</v>
      </c>
      <c r="J3545" s="14" t="e">
        <f>=Round(0.00000000,0)</f>
        <v>#VALUE!</v>
      </c>
    </row>
    <row r="3546">
      <c r="A3546" s="11" t="s">
        <v>53</v>
      </c>
      <c r="B3546" s="12">
        <v>1362.8067</v>
      </c>
      <c r="C3546" s="12">
        <v>0</v>
      </c>
      <c r="D3546" s="13">
        <v>0</v>
      </c>
      <c r="E3546" s="12">
        <v>0</v>
      </c>
      <c r="F3546" s="14">
        <v>0</v>
      </c>
      <c r="G3546" s="13">
        <v>498.8761</v>
      </c>
      <c r="H3546" s="14">
        <v>679871.69155</v>
      </c>
      <c r="I3546" s="14" t="e">
        <f>=Round(10.21490000,0)</f>
        <v>#VALUE!</v>
      </c>
      <c r="J3546" s="14" t="e">
        <f>=Round(0.00000000,0)</f>
        <v>#VALUE!</v>
      </c>
    </row>
    <row r="3547">
      <c r="A3547" s="11" t="s">
        <v>54</v>
      </c>
      <c r="B3547" s="12">
        <v>1363.0394</v>
      </c>
      <c r="C3547" s="12">
        <v>0</v>
      </c>
      <c r="D3547" s="13">
        <v>0</v>
      </c>
      <c r="E3547" s="12">
        <v>0</v>
      </c>
      <c r="F3547" s="14">
        <v>0</v>
      </c>
      <c r="G3547" s="13">
        <v>498.8761</v>
      </c>
      <c r="H3547" s="14">
        <v>679987.780018</v>
      </c>
      <c r="I3547" s="14" t="e">
        <f>=Round(10.21670000,0)</f>
        <v>#VALUE!</v>
      </c>
      <c r="J3547" s="14" t="e">
        <f>=Round(0.00000000,0)</f>
        <v>#VALUE!</v>
      </c>
    </row>
    <row r="3548">
      <c r="A3548" s="11" t="s">
        <v>55</v>
      </c>
      <c r="B3548" s="12">
        <v>1363.274</v>
      </c>
      <c r="C3548" s="12">
        <v>0</v>
      </c>
      <c r="D3548" s="13">
        <v>0</v>
      </c>
      <c r="E3548" s="12">
        <v>0</v>
      </c>
      <c r="F3548" s="14">
        <v>0</v>
      </c>
      <c r="G3548" s="13">
        <v>498.8761</v>
      </c>
      <c r="H3548" s="14">
        <v>680104.816351</v>
      </c>
      <c r="I3548" s="14" t="e">
        <f>=Round(10.21840000,0)</f>
        <v>#VALUE!</v>
      </c>
      <c r="J3548" s="14" t="e">
        <f>=Round(0.00000000,0)</f>
        <v>#VALUE!</v>
      </c>
    </row>
    <row r="3549" ht="-1">
      <c r="A3549" s="15"/>
      <c r="B3549" s="16" t="s">
        <v>56</v>
      </c>
      <c r="C3549" s="15"/>
      <c r="D3549" s="15"/>
      <c r="E3549" s="15"/>
      <c r="F3549" s="15"/>
      <c r="G3549" s="15"/>
      <c r="H3549" s="15"/>
      <c r="I3549" s="17" t="e">
        <f>=Round(SUM(I3523:I3548),0)</f>
        <v>#VALUE!</v>
      </c>
      <c r="J3549" s="17" t="e">
        <f>=Round(SUM(J3523:J3548),0)</f>
        <v>#VALUE!</v>
      </c>
    </row>
    <row r="3550">
      <c r="A3550" s="1" t="s">
        <v>0</v>
      </c>
      <c r="B3550" s="1"/>
      <c r="C3550" s="1"/>
      <c r="D3550" s="1"/>
    </row>
    <row r="3551">
      <c r="A3551" s="0" t="s">
        <v>1</v>
      </c>
      <c r="C3551" s="0" t="s">
        <v>144</v>
      </c>
      <c r="H3551" s="2" t="s">
        <v>3</v>
      </c>
    </row>
    <row r="3552">
      <c r="A3552" s="0" t="s">
        <v>4</v>
      </c>
      <c r="C3552" s="0" t="s">
        <v>141</v>
      </c>
      <c r="H3552" s="3" t="s">
        <v>6</v>
      </c>
    </row>
    <row r="3553">
      <c r="A3553" s="0" t="s">
        <v>7</v>
      </c>
      <c r="C3553" s="4" t="s">
        <v>146</v>
      </c>
      <c r="H3553" s="2" t="s">
        <v>9</v>
      </c>
    </row>
    <row r="3554">
      <c r="A3554" s="0" t="s">
        <v>10</v>
      </c>
      <c r="C3554" s="4" t="s">
        <v>11</v>
      </c>
      <c r="H3554" s="2" t="s">
        <v>12</v>
      </c>
    </row>
    <row r="3555">
      <c r="A3555" s="0" t="s">
        <v>13</v>
      </c>
      <c r="C3555" s="0" t="s">
        <v>14</v>
      </c>
    </row>
    <row r="3556">
      <c r="A3556" s="0" t="s">
        <v>15</v>
      </c>
      <c r="C3556" s="0" t="s">
        <v>16</v>
      </c>
    </row>
    <row r="3557">
      <c r="A3557" s="0" t="s">
        <v>17</v>
      </c>
      <c r="C3557" s="0" t="s">
        <v>18</v>
      </c>
    </row>
    <row r="3560">
      <c r="A3560" s="5" t="s">
        <v>19</v>
      </c>
      <c r="B3560" s="5" t="s">
        <v>20</v>
      </c>
      <c r="C3560" s="7" t="s">
        <v>21</v>
      </c>
      <c r="D3560" s="9"/>
      <c r="E3560" s="7" t="s">
        <v>22</v>
      </c>
      <c r="F3560" s="9"/>
      <c r="G3560" s="5" t="s">
        <v>23</v>
      </c>
      <c r="H3560" s="5" t="s">
        <v>24</v>
      </c>
      <c r="I3560" s="5" t="s">
        <v>147</v>
      </c>
      <c r="J3560" s="5" t="s">
        <v>26</v>
      </c>
    </row>
    <row r="3561">
      <c r="A3561" s="6"/>
      <c r="B3561" s="6"/>
      <c r="C3561" s="8" t="s">
        <v>27</v>
      </c>
      <c r="D3561" s="8" t="s">
        <v>28</v>
      </c>
      <c r="E3561" s="8" t="s">
        <v>27</v>
      </c>
      <c r="F3561" s="8" t="s">
        <v>28</v>
      </c>
      <c r="G3561" s="6"/>
      <c r="H3561" s="6"/>
      <c r="I3561" s="10" t="s">
        <v>29</v>
      </c>
      <c r="J3561" s="6"/>
    </row>
    <row r="3562">
      <c r="A3562" s="11" t="s">
        <v>30</v>
      </c>
      <c r="B3562" s="12">
        <v>1357.4104</v>
      </c>
      <c r="C3562" s="12">
        <v>0</v>
      </c>
      <c r="D3562" s="13">
        <v>0</v>
      </c>
      <c r="E3562" s="12">
        <v>0</v>
      </c>
      <c r="F3562" s="14">
        <v>0</v>
      </c>
      <c r="G3562" s="13">
        <v>458.7448</v>
      </c>
      <c r="H3562" s="14">
        <v>622704.962466</v>
      </c>
      <c r="I3562" s="14" t="e">
        <f>=Round(9.35280000,0)</f>
        <v>#VALUE!</v>
      </c>
      <c r="J3562" s="14" t="e">
        <f>=Round(0.00000000,0)</f>
        <v>#VALUE!</v>
      </c>
    </row>
    <row r="3563">
      <c r="A3563" s="11" t="s">
        <v>31</v>
      </c>
      <c r="B3563" s="12">
        <v>1357.6428</v>
      </c>
      <c r="C3563" s="12">
        <v>0</v>
      </c>
      <c r="D3563" s="13">
        <v>0</v>
      </c>
      <c r="E3563" s="12">
        <v>0</v>
      </c>
      <c r="F3563" s="14">
        <v>0</v>
      </c>
      <c r="G3563" s="13">
        <v>458.7448</v>
      </c>
      <c r="H3563" s="14">
        <v>622811.574757</v>
      </c>
      <c r="I3563" s="14" t="e">
        <f>=Round(9.35760000,0)</f>
        <v>#VALUE!</v>
      </c>
      <c r="J3563" s="14" t="e">
        <f>=Round(0.00000000,0)</f>
        <v>#VALUE!</v>
      </c>
    </row>
    <row r="3564">
      <c r="A3564" s="11" t="s">
        <v>32</v>
      </c>
      <c r="B3564" s="12">
        <v>1357.8735</v>
      </c>
      <c r="C3564" s="12">
        <v>0</v>
      </c>
      <c r="D3564" s="13">
        <v>0</v>
      </c>
      <c r="E3564" s="12">
        <v>0</v>
      </c>
      <c r="F3564" s="14">
        <v>0</v>
      </c>
      <c r="G3564" s="13">
        <v>458.7448</v>
      </c>
      <c r="H3564" s="14">
        <v>622917.407183</v>
      </c>
      <c r="I3564" s="14" t="e">
        <f>=Round(9.35920000,0)</f>
        <v>#VALUE!</v>
      </c>
      <c r="J3564" s="14" t="e">
        <f>=Round(0.00000000,0)</f>
        <v>#VALUE!</v>
      </c>
    </row>
    <row r="3565">
      <c r="A3565" s="11" t="s">
        <v>33</v>
      </c>
      <c r="B3565" s="12">
        <v>1358.1079</v>
      </c>
      <c r="C3565" s="12">
        <v>0</v>
      </c>
      <c r="D3565" s="13">
        <v>0</v>
      </c>
      <c r="E3565" s="12">
        <v>0</v>
      </c>
      <c r="F3565" s="14">
        <v>0</v>
      </c>
      <c r="G3565" s="13">
        <v>458.7448</v>
      </c>
      <c r="H3565" s="14">
        <v>623024.936964</v>
      </c>
      <c r="I3565" s="14" t="e">
        <f>=Round(9.36080000,0)</f>
        <v>#VALUE!</v>
      </c>
      <c r="J3565" s="14" t="e">
        <f>=Round(0.00000000,0)</f>
        <v>#VALUE!</v>
      </c>
    </row>
    <row r="3566">
      <c r="A3566" s="11" t="s">
        <v>34</v>
      </c>
      <c r="B3566" s="12">
        <v>1358.3402</v>
      </c>
      <c r="C3566" s="12">
        <v>0</v>
      </c>
      <c r="D3566" s="13">
        <v>0</v>
      </c>
      <c r="E3566" s="12">
        <v>0</v>
      </c>
      <c r="F3566" s="14">
        <v>0</v>
      </c>
      <c r="G3566" s="13">
        <v>458.7448</v>
      </c>
      <c r="H3566" s="14">
        <v>623131.503381</v>
      </c>
      <c r="I3566" s="14" t="e">
        <f>=Round(9.36240000,0)</f>
        <v>#VALUE!</v>
      </c>
      <c r="J3566" s="14" t="e">
        <f>=Round(0.00000000,0)</f>
        <v>#VALUE!</v>
      </c>
    </row>
    <row r="3567">
      <c r="A3567" s="11" t="s">
        <v>35</v>
      </c>
      <c r="B3567" s="12">
        <v>1358.3402</v>
      </c>
      <c r="C3567" s="12">
        <v>0</v>
      </c>
      <c r="D3567" s="13">
        <v>0</v>
      </c>
      <c r="E3567" s="12">
        <v>0</v>
      </c>
      <c r="F3567" s="14">
        <v>0</v>
      </c>
      <c r="G3567" s="13">
        <v>458.7448</v>
      </c>
      <c r="H3567" s="14">
        <v>623131.503381</v>
      </c>
      <c r="I3567" s="14" t="e">
        <f>=Round(9.36400000,0)</f>
        <v>#VALUE!</v>
      </c>
      <c r="J3567" s="14" t="e">
        <f>=Round(0.00000000,0)</f>
        <v>#VALUE!</v>
      </c>
    </row>
    <row r="3568">
      <c r="A3568" s="11" t="s">
        <v>36</v>
      </c>
      <c r="B3568" s="12">
        <v>1358.3402</v>
      </c>
      <c r="C3568" s="12">
        <v>0</v>
      </c>
      <c r="D3568" s="13">
        <v>0</v>
      </c>
      <c r="E3568" s="12">
        <v>0</v>
      </c>
      <c r="F3568" s="14">
        <v>0</v>
      </c>
      <c r="G3568" s="13">
        <v>458.7448</v>
      </c>
      <c r="H3568" s="14">
        <v>623131.503381</v>
      </c>
      <c r="I3568" s="14" t="e">
        <f>=Round(9.36400000,0)</f>
        <v>#VALUE!</v>
      </c>
      <c r="J3568" s="14" t="e">
        <f>=Round(0.00000000,0)</f>
        <v>#VALUE!</v>
      </c>
    </row>
    <row r="3569">
      <c r="A3569" s="11" t="s">
        <v>37</v>
      </c>
      <c r="B3569" s="12">
        <v>1359.0395</v>
      </c>
      <c r="C3569" s="12">
        <v>0</v>
      </c>
      <c r="D3569" s="13">
        <v>0</v>
      </c>
      <c r="E3569" s="12">
        <v>0</v>
      </c>
      <c r="F3569" s="14">
        <v>0</v>
      </c>
      <c r="G3569" s="13">
        <v>458.7448</v>
      </c>
      <c r="H3569" s="14">
        <v>623452.30362</v>
      </c>
      <c r="I3569" s="14" t="e">
        <f>=Round(9.36400000,0)</f>
        <v>#VALUE!</v>
      </c>
      <c r="J3569" s="14" t="e">
        <f>=Round(0.00000000,0)</f>
        <v>#VALUE!</v>
      </c>
    </row>
    <row r="3570">
      <c r="A3570" s="11" t="s">
        <v>38</v>
      </c>
      <c r="B3570" s="12">
        <v>1359.2726</v>
      </c>
      <c r="C3570" s="12">
        <v>0</v>
      </c>
      <c r="D3570" s="13">
        <v>0</v>
      </c>
      <c r="E3570" s="12">
        <v>0</v>
      </c>
      <c r="F3570" s="14">
        <v>0</v>
      </c>
      <c r="G3570" s="13">
        <v>458.7448</v>
      </c>
      <c r="H3570" s="14">
        <v>623559.237032</v>
      </c>
      <c r="I3570" s="14" t="e">
        <f>=Round(9.36880000,0)</f>
        <v>#VALUE!</v>
      </c>
      <c r="J3570" s="14" t="e">
        <f>=Round(0.00000000,0)</f>
        <v>#VALUE!</v>
      </c>
    </row>
    <row r="3571">
      <c r="A3571" s="11" t="s">
        <v>39</v>
      </c>
      <c r="B3571" s="12">
        <v>1359.5048</v>
      </c>
      <c r="C3571" s="12">
        <v>0</v>
      </c>
      <c r="D3571" s="13">
        <v>0</v>
      </c>
      <c r="E3571" s="12">
        <v>0</v>
      </c>
      <c r="F3571" s="14">
        <v>0</v>
      </c>
      <c r="G3571" s="13">
        <v>458.7448</v>
      </c>
      <c r="H3571" s="14">
        <v>623665.757575</v>
      </c>
      <c r="I3571" s="14" t="e">
        <f>=Round(9.37040000,0)</f>
        <v>#VALUE!</v>
      </c>
      <c r="J3571" s="14" t="e">
        <f>=Round(0.00000000,0)</f>
        <v>#VALUE!</v>
      </c>
    </row>
    <row r="3572">
      <c r="A3572" s="11" t="s">
        <v>40</v>
      </c>
      <c r="B3572" s="12">
        <v>1359.7365</v>
      </c>
      <c r="C3572" s="12">
        <v>0</v>
      </c>
      <c r="D3572" s="13">
        <v>0</v>
      </c>
      <c r="E3572" s="12">
        <v>0</v>
      </c>
      <c r="F3572" s="14">
        <v>0</v>
      </c>
      <c r="G3572" s="13">
        <v>458.7448</v>
      </c>
      <c r="H3572" s="14">
        <v>623772.048745</v>
      </c>
      <c r="I3572" s="14" t="e">
        <f>=Round(9.37200000,0)</f>
        <v>#VALUE!</v>
      </c>
      <c r="J3572" s="14" t="e">
        <f>=Round(0.00000000,0)</f>
        <v>#VALUE!</v>
      </c>
    </row>
    <row r="3573">
      <c r="A3573" s="11" t="s">
        <v>41</v>
      </c>
      <c r="B3573" s="12">
        <v>1359.979</v>
      </c>
      <c r="C3573" s="12">
        <v>0</v>
      </c>
      <c r="D3573" s="13">
        <v>0</v>
      </c>
      <c r="E3573" s="12">
        <v>0</v>
      </c>
      <c r="F3573" s="14">
        <v>0</v>
      </c>
      <c r="G3573" s="13">
        <v>458.7448</v>
      </c>
      <c r="H3573" s="14">
        <v>623883.294359</v>
      </c>
      <c r="I3573" s="14" t="e">
        <f>=Round(9.37360000,0)</f>
        <v>#VALUE!</v>
      </c>
      <c r="J3573" s="14" t="e">
        <f>=Round(0.00000000,0)</f>
        <v>#VALUE!</v>
      </c>
    </row>
    <row r="3574">
      <c r="A3574" s="11" t="s">
        <v>42</v>
      </c>
      <c r="B3574" s="12">
        <v>1359.979</v>
      </c>
      <c r="C3574" s="12">
        <v>0</v>
      </c>
      <c r="D3574" s="13">
        <v>0</v>
      </c>
      <c r="E3574" s="12">
        <v>0</v>
      </c>
      <c r="F3574" s="14">
        <v>0</v>
      </c>
      <c r="G3574" s="13">
        <v>458.7448</v>
      </c>
      <c r="H3574" s="14">
        <v>623883.294359</v>
      </c>
      <c r="I3574" s="14" t="e">
        <f>=Round(9.37530000,0)</f>
        <v>#VALUE!</v>
      </c>
      <c r="J3574" s="14" t="e">
        <f>=Round(0.00000000,0)</f>
        <v>#VALUE!</v>
      </c>
    </row>
    <row r="3575">
      <c r="A3575" s="11" t="s">
        <v>43</v>
      </c>
      <c r="B3575" s="12">
        <v>1359.979</v>
      </c>
      <c r="C3575" s="12">
        <v>0</v>
      </c>
      <c r="D3575" s="13">
        <v>0</v>
      </c>
      <c r="E3575" s="12">
        <v>0</v>
      </c>
      <c r="F3575" s="14">
        <v>0</v>
      </c>
      <c r="G3575" s="13">
        <v>458.7448</v>
      </c>
      <c r="H3575" s="14">
        <v>623883.294359</v>
      </c>
      <c r="I3575" s="14" t="e">
        <f>=Round(9.37530000,0)</f>
        <v>#VALUE!</v>
      </c>
      <c r="J3575" s="14" t="e">
        <f>=Round(0.00000000,0)</f>
        <v>#VALUE!</v>
      </c>
    </row>
    <row r="3576">
      <c r="A3576" s="11" t="s">
        <v>44</v>
      </c>
      <c r="B3576" s="12">
        <v>1360.6758</v>
      </c>
      <c r="C3576" s="12">
        <v>0</v>
      </c>
      <c r="D3576" s="13">
        <v>0</v>
      </c>
      <c r="E3576" s="12">
        <v>0</v>
      </c>
      <c r="F3576" s="14">
        <v>0</v>
      </c>
      <c r="G3576" s="13">
        <v>458.7448</v>
      </c>
      <c r="H3576" s="14">
        <v>624202.947736</v>
      </c>
      <c r="I3576" s="14" t="e">
        <f>=Round(9.37530000,0)</f>
        <v>#VALUE!</v>
      </c>
      <c r="J3576" s="14" t="e">
        <f>=Round(0.00000000,0)</f>
        <v>#VALUE!</v>
      </c>
    </row>
    <row r="3577">
      <c r="A3577" s="11" t="s">
        <v>45</v>
      </c>
      <c r="B3577" s="12">
        <v>1360.9062</v>
      </c>
      <c r="C3577" s="12">
        <v>0</v>
      </c>
      <c r="D3577" s="13">
        <v>0</v>
      </c>
      <c r="E3577" s="12">
        <v>0</v>
      </c>
      <c r="F3577" s="14">
        <v>0</v>
      </c>
      <c r="G3577" s="13">
        <v>458.7448</v>
      </c>
      <c r="H3577" s="14">
        <v>624308.642538</v>
      </c>
      <c r="I3577" s="14" t="e">
        <f>=Round(9.38010000,0)</f>
        <v>#VALUE!</v>
      </c>
      <c r="J3577" s="14" t="e">
        <f>=Round(0.00000000,0)</f>
        <v>#VALUE!</v>
      </c>
    </row>
    <row r="3578">
      <c r="A3578" s="11" t="s">
        <v>46</v>
      </c>
      <c r="B3578" s="12">
        <v>1361.137</v>
      </c>
      <c r="C3578" s="12">
        <v>0</v>
      </c>
      <c r="D3578" s="13">
        <v>0</v>
      </c>
      <c r="E3578" s="12">
        <v>0</v>
      </c>
      <c r="F3578" s="14">
        <v>0</v>
      </c>
      <c r="G3578" s="13">
        <v>458.7448</v>
      </c>
      <c r="H3578" s="14">
        <v>624414.520838</v>
      </c>
      <c r="I3578" s="14" t="e">
        <f>=Round(9.38170000,0)</f>
        <v>#VALUE!</v>
      </c>
      <c r="J3578" s="14" t="e">
        <f>=Round(0.00000000,0)</f>
        <v>#VALUE!</v>
      </c>
    </row>
    <row r="3579">
      <c r="A3579" s="11" t="s">
        <v>47</v>
      </c>
      <c r="B3579" s="12">
        <v>1361.367</v>
      </c>
      <c r="C3579" s="12">
        <v>0</v>
      </c>
      <c r="D3579" s="13">
        <v>0</v>
      </c>
      <c r="E3579" s="12">
        <v>0</v>
      </c>
      <c r="F3579" s="14">
        <v>0</v>
      </c>
      <c r="G3579" s="13">
        <v>458.7448</v>
      </c>
      <c r="H3579" s="14">
        <v>624520.032142</v>
      </c>
      <c r="I3579" s="14" t="e">
        <f>=Round(9.38330000,0)</f>
        <v>#VALUE!</v>
      </c>
      <c r="J3579" s="14" t="e">
        <f>=Round(0.00000000,0)</f>
        <v>#VALUE!</v>
      </c>
    </row>
    <row r="3580">
      <c r="A3580" s="11" t="s">
        <v>48</v>
      </c>
      <c r="B3580" s="12">
        <v>1361.6195</v>
      </c>
      <c r="C3580" s="12">
        <v>0</v>
      </c>
      <c r="D3580" s="13">
        <v>0</v>
      </c>
      <c r="E3580" s="12">
        <v>0</v>
      </c>
      <c r="F3580" s="14">
        <v>0</v>
      </c>
      <c r="G3580" s="13">
        <v>458.7448</v>
      </c>
      <c r="H3580" s="14">
        <v>624635.865204</v>
      </c>
      <c r="I3580" s="14" t="e">
        <f>=Round(9.38490000,0)</f>
        <v>#VALUE!</v>
      </c>
      <c r="J3580" s="14" t="e">
        <f>=Round(0.00000000,0)</f>
        <v>#VALUE!</v>
      </c>
    </row>
    <row r="3581">
      <c r="A3581" s="11" t="s">
        <v>49</v>
      </c>
      <c r="B3581" s="12">
        <v>1361.6195</v>
      </c>
      <c r="C3581" s="12">
        <v>0</v>
      </c>
      <c r="D3581" s="13">
        <v>0</v>
      </c>
      <c r="E3581" s="12">
        <v>0</v>
      </c>
      <c r="F3581" s="14">
        <v>0</v>
      </c>
      <c r="G3581" s="13">
        <v>458.7448</v>
      </c>
      <c r="H3581" s="14">
        <v>624635.865204</v>
      </c>
      <c r="I3581" s="14" t="e">
        <f>=Round(9.38660000,0)</f>
        <v>#VALUE!</v>
      </c>
      <c r="J3581" s="14" t="e">
        <f>=Round(0.00000000,0)</f>
        <v>#VALUE!</v>
      </c>
    </row>
    <row r="3582">
      <c r="A3582" s="11" t="s">
        <v>50</v>
      </c>
      <c r="B3582" s="12">
        <v>1361.6195</v>
      </c>
      <c r="C3582" s="12">
        <v>0</v>
      </c>
      <c r="D3582" s="13">
        <v>0</v>
      </c>
      <c r="E3582" s="12">
        <v>0</v>
      </c>
      <c r="F3582" s="14">
        <v>0</v>
      </c>
      <c r="G3582" s="13">
        <v>458.7448</v>
      </c>
      <c r="H3582" s="14">
        <v>624635.865204</v>
      </c>
      <c r="I3582" s="14" t="e">
        <f>=Round(9.38660000,0)</f>
        <v>#VALUE!</v>
      </c>
      <c r="J3582" s="14" t="e">
        <f>=Round(0.00000000,0)</f>
        <v>#VALUE!</v>
      </c>
    </row>
    <row r="3583">
      <c r="A3583" s="11" t="s">
        <v>51</v>
      </c>
      <c r="B3583" s="12">
        <v>1362.3425</v>
      </c>
      <c r="C3583" s="12">
        <v>0</v>
      </c>
      <c r="D3583" s="13">
        <v>0</v>
      </c>
      <c r="E3583" s="12">
        <v>0</v>
      </c>
      <c r="F3583" s="14">
        <v>0</v>
      </c>
      <c r="G3583" s="13">
        <v>458.7448</v>
      </c>
      <c r="H3583" s="14">
        <v>624967.537694</v>
      </c>
      <c r="I3583" s="14" t="e">
        <f>=Round(9.38660000,0)</f>
        <v>#VALUE!</v>
      </c>
      <c r="J3583" s="14" t="e">
        <f>=Round(0.00000000,0)</f>
        <v>#VALUE!</v>
      </c>
    </row>
    <row r="3584">
      <c r="A3584" s="11" t="s">
        <v>52</v>
      </c>
      <c r="B3584" s="12">
        <v>1362.5746</v>
      </c>
      <c r="C3584" s="12">
        <v>0</v>
      </c>
      <c r="D3584" s="13">
        <v>0</v>
      </c>
      <c r="E3584" s="12">
        <v>0</v>
      </c>
      <c r="F3584" s="14">
        <v>0</v>
      </c>
      <c r="G3584" s="13">
        <v>458.7448</v>
      </c>
      <c r="H3584" s="14">
        <v>625074.012362</v>
      </c>
      <c r="I3584" s="14" t="e">
        <f>=Round(9.39160000,0)</f>
        <v>#VALUE!</v>
      </c>
      <c r="J3584" s="14" t="e">
        <f>=Round(0.00000000,0)</f>
        <v>#VALUE!</v>
      </c>
    </row>
    <row r="3585">
      <c r="A3585" s="11" t="s">
        <v>53</v>
      </c>
      <c r="B3585" s="12">
        <v>1362.8067</v>
      </c>
      <c r="C3585" s="12">
        <v>0</v>
      </c>
      <c r="D3585" s="13">
        <v>0</v>
      </c>
      <c r="E3585" s="12">
        <v>0</v>
      </c>
      <c r="F3585" s="14">
        <v>0</v>
      </c>
      <c r="G3585" s="13">
        <v>458.7448</v>
      </c>
      <c r="H3585" s="14">
        <v>625180.48703</v>
      </c>
      <c r="I3585" s="14" t="e">
        <f>=Round(9.39320000,0)</f>
        <v>#VALUE!</v>
      </c>
      <c r="J3585" s="14" t="e">
        <f>=Round(0.00000000,0)</f>
        <v>#VALUE!</v>
      </c>
    </row>
    <row r="3586">
      <c r="A3586" s="11" t="s">
        <v>54</v>
      </c>
      <c r="B3586" s="12">
        <v>1363.0394</v>
      </c>
      <c r="C3586" s="12">
        <v>0</v>
      </c>
      <c r="D3586" s="13">
        <v>0</v>
      </c>
      <c r="E3586" s="12">
        <v>0</v>
      </c>
      <c r="F3586" s="14">
        <v>0</v>
      </c>
      <c r="G3586" s="13">
        <v>458.7448</v>
      </c>
      <c r="H3586" s="14">
        <v>625287.236945</v>
      </c>
      <c r="I3586" s="14" t="e">
        <f>=Round(9.39480000,0)</f>
        <v>#VALUE!</v>
      </c>
      <c r="J3586" s="14" t="e">
        <f>=Round(0.00000000,0)</f>
        <v>#VALUE!</v>
      </c>
    </row>
    <row r="3587">
      <c r="A3587" s="11" t="s">
        <v>55</v>
      </c>
      <c r="B3587" s="12">
        <v>1363.274</v>
      </c>
      <c r="C3587" s="12">
        <v>0</v>
      </c>
      <c r="D3587" s="13">
        <v>0</v>
      </c>
      <c r="E3587" s="12">
        <v>0</v>
      </c>
      <c r="F3587" s="14">
        <v>0</v>
      </c>
      <c r="G3587" s="13">
        <v>458.7448</v>
      </c>
      <c r="H3587" s="14">
        <v>625394.858475</v>
      </c>
      <c r="I3587" s="14" t="e">
        <f>=Round(9.39640000,0)</f>
        <v>#VALUE!</v>
      </c>
      <c r="J3587" s="14" t="e">
        <f>=Round(0.00000000,0)</f>
        <v>#VALUE!</v>
      </c>
    </row>
    <row r="3588" ht="-1">
      <c r="A3588" s="15"/>
      <c r="B3588" s="16" t="s">
        <v>56</v>
      </c>
      <c r="C3588" s="15"/>
      <c r="D3588" s="15"/>
      <c r="E3588" s="15"/>
      <c r="F3588" s="15"/>
      <c r="G3588" s="15"/>
      <c r="H3588" s="15"/>
      <c r="I3588" s="17" t="e">
        <f>=Round(SUM(I3562:I3587),0)</f>
        <v>#VALUE!</v>
      </c>
      <c r="J3588" s="17" t="e">
        <f>=Round(SUM(J3562:J3587),0)</f>
        <v>#VALUE!</v>
      </c>
    </row>
    <row r="3589">
      <c r="A3589" s="1" t="s">
        <v>0</v>
      </c>
      <c r="B3589" s="1"/>
      <c r="C3589" s="1"/>
      <c r="D3589" s="1"/>
    </row>
    <row r="3590">
      <c r="A3590" s="0" t="s">
        <v>1</v>
      </c>
      <c r="C3590" s="0" t="s">
        <v>144</v>
      </c>
      <c r="H3590" s="2" t="s">
        <v>3</v>
      </c>
    </row>
    <row r="3591">
      <c r="A3591" s="0" t="s">
        <v>4</v>
      </c>
      <c r="C3591" s="0" t="s">
        <v>151</v>
      </c>
      <c r="H3591" s="3" t="s">
        <v>6</v>
      </c>
    </row>
    <row r="3592">
      <c r="A3592" s="0" t="s">
        <v>7</v>
      </c>
      <c r="C3592" s="4" t="s">
        <v>146</v>
      </c>
      <c r="H3592" s="2" t="s">
        <v>9</v>
      </c>
    </row>
    <row r="3593">
      <c r="A3593" s="0" t="s">
        <v>10</v>
      </c>
      <c r="C3593" s="4" t="s">
        <v>11</v>
      </c>
      <c r="H3593" s="2" t="s">
        <v>12</v>
      </c>
    </row>
    <row r="3594">
      <c r="A3594" s="0" t="s">
        <v>13</v>
      </c>
      <c r="C3594" s="0" t="s">
        <v>14</v>
      </c>
    </row>
    <row r="3595">
      <c r="A3595" s="0" t="s">
        <v>15</v>
      </c>
      <c r="C3595" s="0" t="s">
        <v>16</v>
      </c>
    </row>
    <row r="3596">
      <c r="A3596" s="0" t="s">
        <v>17</v>
      </c>
      <c r="C3596" s="0" t="s">
        <v>18</v>
      </c>
    </row>
    <row r="3599">
      <c r="A3599" s="5" t="s">
        <v>19</v>
      </c>
      <c r="B3599" s="5" t="s">
        <v>20</v>
      </c>
      <c r="C3599" s="7" t="s">
        <v>21</v>
      </c>
      <c r="D3599" s="9"/>
      <c r="E3599" s="7" t="s">
        <v>22</v>
      </c>
      <c r="F3599" s="9"/>
      <c r="G3599" s="5" t="s">
        <v>23</v>
      </c>
      <c r="H3599" s="5" t="s">
        <v>24</v>
      </c>
      <c r="I3599" s="5" t="s">
        <v>147</v>
      </c>
      <c r="J3599" s="5" t="s">
        <v>26</v>
      </c>
    </row>
    <row r="3600">
      <c r="A3600" s="6"/>
      <c r="B3600" s="6"/>
      <c r="C3600" s="8" t="s">
        <v>27</v>
      </c>
      <c r="D3600" s="8" t="s">
        <v>28</v>
      </c>
      <c r="E3600" s="8" t="s">
        <v>27</v>
      </c>
      <c r="F3600" s="8" t="s">
        <v>28</v>
      </c>
      <c r="G3600" s="6"/>
      <c r="H3600" s="6"/>
      <c r="I3600" s="10" t="s">
        <v>29</v>
      </c>
      <c r="J3600" s="6"/>
    </row>
    <row r="3601">
      <c r="A3601" s="11" t="s">
        <v>30</v>
      </c>
      <c r="B3601" s="12">
        <v>1357.4104</v>
      </c>
      <c r="C3601" s="12">
        <v>0</v>
      </c>
      <c r="D3601" s="13">
        <v>0</v>
      </c>
      <c r="E3601" s="12">
        <v>0</v>
      </c>
      <c r="F3601" s="14">
        <v>0</v>
      </c>
      <c r="G3601" s="13">
        <v>30084.0276</v>
      </c>
      <c r="H3601" s="14">
        <v>40836371.938127</v>
      </c>
      <c r="I3601" s="14" t="e">
        <f>=Round(613.34750000,0)</f>
        <v>#VALUE!</v>
      </c>
      <c r="J3601" s="14" t="e">
        <f>=Round(0.00000000,0)</f>
        <v>#VALUE!</v>
      </c>
    </row>
    <row r="3602">
      <c r="A3602" s="11" t="s">
        <v>31</v>
      </c>
      <c r="B3602" s="12">
        <v>1357.6428</v>
      </c>
      <c r="C3602" s="12">
        <v>0</v>
      </c>
      <c r="D3602" s="13">
        <v>0</v>
      </c>
      <c r="E3602" s="12">
        <v>0</v>
      </c>
      <c r="F3602" s="14">
        <v>0</v>
      </c>
      <c r="G3602" s="13">
        <v>30084.0276</v>
      </c>
      <c r="H3602" s="14">
        <v>40843363.466141</v>
      </c>
      <c r="I3602" s="14" t="e">
        <f>=Round(613.66130000,0)</f>
        <v>#VALUE!</v>
      </c>
      <c r="J3602" s="14" t="e">
        <f>=Round(0.00000000,0)</f>
        <v>#VALUE!</v>
      </c>
    </row>
    <row r="3603">
      <c r="A3603" s="11" t="s">
        <v>32</v>
      </c>
      <c r="B3603" s="12">
        <v>1357.8735</v>
      </c>
      <c r="C3603" s="12">
        <v>0</v>
      </c>
      <c r="D3603" s="13">
        <v>0</v>
      </c>
      <c r="E3603" s="12">
        <v>0</v>
      </c>
      <c r="F3603" s="14">
        <v>0</v>
      </c>
      <c r="G3603" s="13">
        <v>30084.0276</v>
      </c>
      <c r="H3603" s="14">
        <v>40850303.851309</v>
      </c>
      <c r="I3603" s="14" t="e">
        <f>=Round(613.76640000,0)</f>
        <v>#VALUE!</v>
      </c>
      <c r="J3603" s="14" t="e">
        <f>=Round(0.00000000,0)</f>
        <v>#VALUE!</v>
      </c>
    </row>
    <row r="3604">
      <c r="A3604" s="11" t="s">
        <v>33</v>
      </c>
      <c r="B3604" s="12">
        <v>1358.1079</v>
      </c>
      <c r="C3604" s="12">
        <v>0</v>
      </c>
      <c r="D3604" s="13">
        <v>0</v>
      </c>
      <c r="E3604" s="12">
        <v>0</v>
      </c>
      <c r="F3604" s="14">
        <v>0</v>
      </c>
      <c r="G3604" s="13">
        <v>30084.0276</v>
      </c>
      <c r="H3604" s="14">
        <v>40857355.547378</v>
      </c>
      <c r="I3604" s="14" t="e">
        <f>=Round(613.87070000,0)</f>
        <v>#VALUE!</v>
      </c>
      <c r="J3604" s="14" t="e">
        <f>=Round(0.00000000,0)</f>
        <v>#VALUE!</v>
      </c>
    </row>
    <row r="3605">
      <c r="A3605" s="11" t="s">
        <v>34</v>
      </c>
      <c r="B3605" s="12">
        <v>1358.3402</v>
      </c>
      <c r="C3605" s="12">
        <v>0</v>
      </c>
      <c r="D3605" s="13">
        <v>0</v>
      </c>
      <c r="E3605" s="12">
        <v>0</v>
      </c>
      <c r="F3605" s="14">
        <v>0</v>
      </c>
      <c r="G3605" s="13">
        <v>30084.0276</v>
      </c>
      <c r="H3605" s="14">
        <v>40864344.06699</v>
      </c>
      <c r="I3605" s="14" t="e">
        <f>=Round(613.97670000,0)</f>
        <v>#VALUE!</v>
      </c>
      <c r="J3605" s="14" t="e">
        <f>=Round(0.00000000,0)</f>
        <v>#VALUE!</v>
      </c>
    </row>
    <row r="3606">
      <c r="A3606" s="11" t="s">
        <v>35</v>
      </c>
      <c r="B3606" s="12">
        <v>1358.3402</v>
      </c>
      <c r="C3606" s="12">
        <v>0</v>
      </c>
      <c r="D3606" s="13">
        <v>0</v>
      </c>
      <c r="E3606" s="12">
        <v>0</v>
      </c>
      <c r="F3606" s="14">
        <v>0</v>
      </c>
      <c r="G3606" s="13">
        <v>30084.0276</v>
      </c>
      <c r="H3606" s="14">
        <v>40864344.06699</v>
      </c>
      <c r="I3606" s="14" t="e">
        <f>=Round(614.08170000,0)</f>
        <v>#VALUE!</v>
      </c>
      <c r="J3606" s="14" t="e">
        <f>=Round(0.00000000,0)</f>
        <v>#VALUE!</v>
      </c>
    </row>
    <row r="3607">
      <c r="A3607" s="11" t="s">
        <v>36</v>
      </c>
      <c r="B3607" s="12">
        <v>1358.3402</v>
      </c>
      <c r="C3607" s="12">
        <v>0</v>
      </c>
      <c r="D3607" s="13">
        <v>0</v>
      </c>
      <c r="E3607" s="12">
        <v>0</v>
      </c>
      <c r="F3607" s="14">
        <v>0</v>
      </c>
      <c r="G3607" s="13">
        <v>30084.0276</v>
      </c>
      <c r="H3607" s="14">
        <v>40864344.06699</v>
      </c>
      <c r="I3607" s="14" t="e">
        <f>=Round(614.08170000,0)</f>
        <v>#VALUE!</v>
      </c>
      <c r="J3607" s="14" t="e">
        <f>=Round(0.00000000,0)</f>
        <v>#VALUE!</v>
      </c>
    </row>
    <row r="3608">
      <c r="A3608" s="11" t="s">
        <v>37</v>
      </c>
      <c r="B3608" s="12">
        <v>1359.0395</v>
      </c>
      <c r="C3608" s="12">
        <v>0</v>
      </c>
      <c r="D3608" s="13">
        <v>0</v>
      </c>
      <c r="E3608" s="12">
        <v>0</v>
      </c>
      <c r="F3608" s="14">
        <v>0</v>
      </c>
      <c r="G3608" s="13">
        <v>30084.0276</v>
      </c>
      <c r="H3608" s="14">
        <v>40885381.82749</v>
      </c>
      <c r="I3608" s="14" t="e">
        <f>=Round(614.08170000,0)</f>
        <v>#VALUE!</v>
      </c>
      <c r="J3608" s="14" t="e">
        <f>=Round(0.00000000,0)</f>
        <v>#VALUE!</v>
      </c>
    </row>
    <row r="3609">
      <c r="A3609" s="11" t="s">
        <v>38</v>
      </c>
      <c r="B3609" s="12">
        <v>1359.2726</v>
      </c>
      <c r="C3609" s="12">
        <v>0</v>
      </c>
      <c r="D3609" s="13">
        <v>0</v>
      </c>
      <c r="E3609" s="12">
        <v>0</v>
      </c>
      <c r="F3609" s="14">
        <v>0</v>
      </c>
      <c r="G3609" s="13">
        <v>30084.0276</v>
      </c>
      <c r="H3609" s="14">
        <v>40892394.414324</v>
      </c>
      <c r="I3609" s="14" t="e">
        <f>=Round(614.39780000,0)</f>
        <v>#VALUE!</v>
      </c>
      <c r="J3609" s="14" t="e">
        <f>=Round(0.00000000,0)</f>
        <v>#VALUE!</v>
      </c>
    </row>
    <row r="3610">
      <c r="A3610" s="11" t="s">
        <v>39</v>
      </c>
      <c r="B3610" s="12">
        <v>1359.5048</v>
      </c>
      <c r="C3610" s="12">
        <v>0</v>
      </c>
      <c r="D3610" s="13">
        <v>0</v>
      </c>
      <c r="E3610" s="12">
        <v>0</v>
      </c>
      <c r="F3610" s="14">
        <v>0</v>
      </c>
      <c r="G3610" s="13">
        <v>30084.0276</v>
      </c>
      <c r="H3610" s="14">
        <v>40899379.925532</v>
      </c>
      <c r="I3610" s="14" t="e">
        <f>=Round(614.50320000,0)</f>
        <v>#VALUE!</v>
      </c>
      <c r="J3610" s="14" t="e">
        <f>=Round(0.00000000,0)</f>
        <v>#VALUE!</v>
      </c>
    </row>
    <row r="3611">
      <c r="A3611" s="11" t="s">
        <v>40</v>
      </c>
      <c r="B3611" s="12">
        <v>1359.7365</v>
      </c>
      <c r="C3611" s="12">
        <v>0</v>
      </c>
      <c r="D3611" s="13">
        <v>0</v>
      </c>
      <c r="E3611" s="12">
        <v>0</v>
      </c>
      <c r="F3611" s="14">
        <v>0</v>
      </c>
      <c r="G3611" s="13">
        <v>30084.0276</v>
      </c>
      <c r="H3611" s="14">
        <v>40906350.394727</v>
      </c>
      <c r="I3611" s="14" t="e">
        <f>=Round(614.60820000,0)</f>
        <v>#VALUE!</v>
      </c>
      <c r="J3611" s="14" t="e">
        <f>=Round(0.00000000,0)</f>
        <v>#VALUE!</v>
      </c>
    </row>
    <row r="3612">
      <c r="A3612" s="11" t="s">
        <v>41</v>
      </c>
      <c r="B3612" s="12">
        <v>1359.979</v>
      </c>
      <c r="C3612" s="12">
        <v>0</v>
      </c>
      <c r="D3612" s="13">
        <v>0</v>
      </c>
      <c r="E3612" s="12">
        <v>0</v>
      </c>
      <c r="F3612" s="14">
        <v>0</v>
      </c>
      <c r="G3612" s="13">
        <v>30084.0276</v>
      </c>
      <c r="H3612" s="14">
        <v>40913645.77142</v>
      </c>
      <c r="I3612" s="14" t="e">
        <f>=Round(614.71290000,0)</f>
        <v>#VALUE!</v>
      </c>
      <c r="J3612" s="14" t="e">
        <f>=Round(0.00000000,0)</f>
        <v>#VALUE!</v>
      </c>
    </row>
    <row r="3613">
      <c r="A3613" s="11" t="s">
        <v>42</v>
      </c>
      <c r="B3613" s="12">
        <v>1359.979</v>
      </c>
      <c r="C3613" s="12">
        <v>0</v>
      </c>
      <c r="D3613" s="13">
        <v>0</v>
      </c>
      <c r="E3613" s="12">
        <v>0</v>
      </c>
      <c r="F3613" s="14">
        <v>0</v>
      </c>
      <c r="G3613" s="13">
        <v>30084.0276</v>
      </c>
      <c r="H3613" s="14">
        <v>40913645.77142</v>
      </c>
      <c r="I3613" s="14" t="e">
        <f>=Round(614.82250000,0)</f>
        <v>#VALUE!</v>
      </c>
      <c r="J3613" s="14" t="e">
        <f>=Round(0.00000000,0)</f>
        <v>#VALUE!</v>
      </c>
    </row>
    <row r="3614">
      <c r="A3614" s="11" t="s">
        <v>43</v>
      </c>
      <c r="B3614" s="12">
        <v>1359.979</v>
      </c>
      <c r="C3614" s="12">
        <v>0</v>
      </c>
      <c r="D3614" s="13">
        <v>0</v>
      </c>
      <c r="E3614" s="12">
        <v>0</v>
      </c>
      <c r="F3614" s="14">
        <v>0</v>
      </c>
      <c r="G3614" s="13">
        <v>30084.0276</v>
      </c>
      <c r="H3614" s="14">
        <v>40913645.77142</v>
      </c>
      <c r="I3614" s="14" t="e">
        <f>=Round(614.82250000,0)</f>
        <v>#VALUE!</v>
      </c>
      <c r="J3614" s="14" t="e">
        <f>=Round(0.00000000,0)</f>
        <v>#VALUE!</v>
      </c>
    </row>
    <row r="3615">
      <c r="A3615" s="11" t="s">
        <v>44</v>
      </c>
      <c r="B3615" s="12">
        <v>1360.6758</v>
      </c>
      <c r="C3615" s="12">
        <v>0</v>
      </c>
      <c r="D3615" s="13">
        <v>0</v>
      </c>
      <c r="E3615" s="12">
        <v>0</v>
      </c>
      <c r="F3615" s="14">
        <v>0</v>
      </c>
      <c r="G3615" s="13">
        <v>30084.0276</v>
      </c>
      <c r="H3615" s="14">
        <v>40934608.321852</v>
      </c>
      <c r="I3615" s="14" t="e">
        <f>=Round(614.82250000,0)</f>
        <v>#VALUE!</v>
      </c>
      <c r="J3615" s="14" t="e">
        <f>=Round(0.00000000,0)</f>
        <v>#VALUE!</v>
      </c>
    </row>
    <row r="3616">
      <c r="A3616" s="11" t="s">
        <v>45</v>
      </c>
      <c r="B3616" s="12">
        <v>1360.9062</v>
      </c>
      <c r="C3616" s="12">
        <v>0</v>
      </c>
      <c r="D3616" s="13">
        <v>0</v>
      </c>
      <c r="E3616" s="12">
        <v>0</v>
      </c>
      <c r="F3616" s="14">
        <v>0</v>
      </c>
      <c r="G3616" s="13">
        <v>30084.0276</v>
      </c>
      <c r="H3616" s="14">
        <v>40941539.681811</v>
      </c>
      <c r="I3616" s="14" t="e">
        <f>=Round(615.13760000,0)</f>
        <v>#VALUE!</v>
      </c>
      <c r="J3616" s="14" t="e">
        <f>=Round(0.00000000,0)</f>
        <v>#VALUE!</v>
      </c>
    </row>
    <row r="3617">
      <c r="A3617" s="11" t="s">
        <v>46</v>
      </c>
      <c r="B3617" s="12">
        <v>1361.137</v>
      </c>
      <c r="C3617" s="12">
        <v>0</v>
      </c>
      <c r="D3617" s="13">
        <v>0</v>
      </c>
      <c r="E3617" s="12">
        <v>18366.9976</v>
      </c>
      <c r="F3617" s="14">
        <v>25000000.01</v>
      </c>
      <c r="G3617" s="13">
        <v>30084.0276</v>
      </c>
      <c r="H3617" s="14">
        <v>40948483.075381</v>
      </c>
      <c r="I3617" s="14" t="e">
        <f>=Round(615.24170000,0)</f>
        <v>#VALUE!</v>
      </c>
      <c r="J3617" s="14" t="e">
        <f>=Round(0.00000000,0)</f>
        <v>#VALUE!</v>
      </c>
    </row>
    <row r="3618">
      <c r="A3618" s="11" t="s">
        <v>47</v>
      </c>
      <c r="B3618" s="12">
        <v>1361.367</v>
      </c>
      <c r="C3618" s="12">
        <v>0</v>
      </c>
      <c r="D3618" s="13">
        <v>0</v>
      </c>
      <c r="E3618" s="12">
        <v>0</v>
      </c>
      <c r="F3618" s="14">
        <v>0</v>
      </c>
      <c r="G3618" s="13">
        <v>11717.03</v>
      </c>
      <c r="H3618" s="14">
        <v>15951177.98001</v>
      </c>
      <c r="I3618" s="14" t="e">
        <f>=Round(615.34610000,0)</f>
        <v>#VALUE!</v>
      </c>
      <c r="J3618" s="14" t="e">
        <f>=Round(0.00000000,0)</f>
        <v>#VALUE!</v>
      </c>
    </row>
    <row r="3619">
      <c r="A3619" s="11" t="s">
        <v>48</v>
      </c>
      <c r="B3619" s="12">
        <v>1361.6195</v>
      </c>
      <c r="C3619" s="12">
        <v>0</v>
      </c>
      <c r="D3619" s="13">
        <v>0</v>
      </c>
      <c r="E3619" s="12">
        <v>0</v>
      </c>
      <c r="F3619" s="14">
        <v>0</v>
      </c>
      <c r="G3619" s="13">
        <v>11717.03</v>
      </c>
      <c r="H3619" s="14">
        <v>15954136.530085</v>
      </c>
      <c r="I3619" s="14" t="e">
        <f>=Round(239.70350000,0)</f>
        <v>#VALUE!</v>
      </c>
      <c r="J3619" s="14" t="e">
        <f>=Round(0.00000000,0)</f>
        <v>#VALUE!</v>
      </c>
    </row>
    <row r="3620">
      <c r="A3620" s="11" t="s">
        <v>49</v>
      </c>
      <c r="B3620" s="12">
        <v>1361.6195</v>
      </c>
      <c r="C3620" s="12">
        <v>0</v>
      </c>
      <c r="D3620" s="13">
        <v>0</v>
      </c>
      <c r="E3620" s="12">
        <v>0</v>
      </c>
      <c r="F3620" s="14">
        <v>0</v>
      </c>
      <c r="G3620" s="13">
        <v>11717.03</v>
      </c>
      <c r="H3620" s="14">
        <v>15954136.530085</v>
      </c>
      <c r="I3620" s="14" t="e">
        <f>=Round(239.74800000,0)</f>
        <v>#VALUE!</v>
      </c>
      <c r="J3620" s="14" t="e">
        <f>=Round(0.00000000,0)</f>
        <v>#VALUE!</v>
      </c>
    </row>
    <row r="3621">
      <c r="A3621" s="11" t="s">
        <v>50</v>
      </c>
      <c r="B3621" s="12">
        <v>1361.6195</v>
      </c>
      <c r="C3621" s="12">
        <v>0</v>
      </c>
      <c r="D3621" s="13">
        <v>0</v>
      </c>
      <c r="E3621" s="12">
        <v>0</v>
      </c>
      <c r="F3621" s="14">
        <v>0</v>
      </c>
      <c r="G3621" s="13">
        <v>11717.03</v>
      </c>
      <c r="H3621" s="14">
        <v>15954136.530085</v>
      </c>
      <c r="I3621" s="14" t="e">
        <f>=Round(239.74800000,0)</f>
        <v>#VALUE!</v>
      </c>
      <c r="J3621" s="14" t="e">
        <f>=Round(0.00000000,0)</f>
        <v>#VALUE!</v>
      </c>
    </row>
    <row r="3622">
      <c r="A3622" s="11" t="s">
        <v>51</v>
      </c>
      <c r="B3622" s="12">
        <v>1362.3425</v>
      </c>
      <c r="C3622" s="12">
        <v>0</v>
      </c>
      <c r="D3622" s="13">
        <v>0</v>
      </c>
      <c r="E3622" s="12">
        <v>0</v>
      </c>
      <c r="F3622" s="14">
        <v>0</v>
      </c>
      <c r="G3622" s="13">
        <v>11717.03</v>
      </c>
      <c r="H3622" s="14">
        <v>15962607.942775</v>
      </c>
      <c r="I3622" s="14" t="e">
        <f>=Round(239.74800000,0)</f>
        <v>#VALUE!</v>
      </c>
      <c r="J3622" s="14" t="e">
        <f>=Round(0.00000000,0)</f>
        <v>#VALUE!</v>
      </c>
    </row>
    <row r="3623">
      <c r="A3623" s="11" t="s">
        <v>52</v>
      </c>
      <c r="B3623" s="12">
        <v>1362.5746</v>
      </c>
      <c r="C3623" s="12">
        <v>0</v>
      </c>
      <c r="D3623" s="13">
        <v>0</v>
      </c>
      <c r="E3623" s="12">
        <v>0</v>
      </c>
      <c r="F3623" s="14">
        <v>0</v>
      </c>
      <c r="G3623" s="13">
        <v>11717.03</v>
      </c>
      <c r="H3623" s="14">
        <v>15965327.465438</v>
      </c>
      <c r="I3623" s="14" t="e">
        <f>=Round(239.87530000,0)</f>
        <v>#VALUE!</v>
      </c>
      <c r="J3623" s="14" t="e">
        <f>=Round(0.00000000,0)</f>
        <v>#VALUE!</v>
      </c>
    </row>
    <row r="3624">
      <c r="A3624" s="11" t="s">
        <v>53</v>
      </c>
      <c r="B3624" s="12">
        <v>1362.8067</v>
      </c>
      <c r="C3624" s="12">
        <v>0</v>
      </c>
      <c r="D3624" s="13">
        <v>0</v>
      </c>
      <c r="E3624" s="12">
        <v>0</v>
      </c>
      <c r="F3624" s="14">
        <v>0</v>
      </c>
      <c r="G3624" s="13">
        <v>11717.03</v>
      </c>
      <c r="H3624" s="14">
        <v>15968046.988101</v>
      </c>
      <c r="I3624" s="14" t="e">
        <f>=Round(239.91610000,0)</f>
        <v>#VALUE!</v>
      </c>
      <c r="J3624" s="14" t="e">
        <f>=Round(0.00000000,0)</f>
        <v>#VALUE!</v>
      </c>
    </row>
    <row r="3625">
      <c r="A3625" s="11" t="s">
        <v>54</v>
      </c>
      <c r="B3625" s="12">
        <v>1363.0394</v>
      </c>
      <c r="C3625" s="12">
        <v>0</v>
      </c>
      <c r="D3625" s="13">
        <v>0</v>
      </c>
      <c r="E3625" s="12">
        <v>0</v>
      </c>
      <c r="F3625" s="14">
        <v>0</v>
      </c>
      <c r="G3625" s="13">
        <v>11717.03</v>
      </c>
      <c r="H3625" s="14">
        <v>15970773.540982</v>
      </c>
      <c r="I3625" s="14" t="e">
        <f>=Round(239.95700000,0)</f>
        <v>#VALUE!</v>
      </c>
      <c r="J3625" s="14" t="e">
        <f>=Round(0.00000000,0)</f>
        <v>#VALUE!</v>
      </c>
    </row>
    <row r="3626">
      <c r="A3626" s="11" t="s">
        <v>55</v>
      </c>
      <c r="B3626" s="12">
        <v>1363.274</v>
      </c>
      <c r="C3626" s="12">
        <v>0</v>
      </c>
      <c r="D3626" s="13">
        <v>0</v>
      </c>
      <c r="E3626" s="12">
        <v>0</v>
      </c>
      <c r="F3626" s="14">
        <v>0</v>
      </c>
      <c r="G3626" s="13">
        <v>11717.03</v>
      </c>
      <c r="H3626" s="14">
        <v>15973522.35622</v>
      </c>
      <c r="I3626" s="14" t="e">
        <f>=Round(239.99800000,0)</f>
        <v>#VALUE!</v>
      </c>
      <c r="J3626" s="14" t="e">
        <f>=Round(0.00000000,0)</f>
        <v>#VALUE!</v>
      </c>
    </row>
    <row r="3627" ht="-1">
      <c r="A3627" s="15"/>
      <c r="B3627" s="16" t="s">
        <v>56</v>
      </c>
      <c r="C3627" s="15"/>
      <c r="D3627" s="15"/>
      <c r="E3627" s="15"/>
      <c r="F3627" s="15"/>
      <c r="G3627" s="15"/>
      <c r="H3627" s="15"/>
      <c r="I3627" s="17" t="e">
        <f>=Round(SUM(I3601:I3626),0)</f>
        <v>#VALUE!</v>
      </c>
      <c r="J3627" s="17" t="e">
        <f>=Round(SUM(J3601:J3626),0)</f>
        <v>#VALUE!</v>
      </c>
    </row>
    <row r="3628">
      <c r="A3628" s="1" t="s">
        <v>0</v>
      </c>
      <c r="B3628" s="1"/>
      <c r="C3628" s="1"/>
      <c r="D3628" s="1"/>
    </row>
    <row r="3629">
      <c r="A3629" s="0" t="s">
        <v>1</v>
      </c>
      <c r="C3629" s="0" t="s">
        <v>144</v>
      </c>
      <c r="H3629" s="2" t="s">
        <v>3</v>
      </c>
    </row>
    <row r="3630">
      <c r="A3630" s="0" t="s">
        <v>4</v>
      </c>
      <c r="C3630" s="0" t="s">
        <v>152</v>
      </c>
      <c r="H3630" s="3" t="s">
        <v>6</v>
      </c>
    </row>
    <row r="3631">
      <c r="A3631" s="0" t="s">
        <v>7</v>
      </c>
      <c r="C3631" s="4" t="s">
        <v>146</v>
      </c>
      <c r="H3631" s="2" t="s">
        <v>9</v>
      </c>
    </row>
    <row r="3632">
      <c r="A3632" s="0" t="s">
        <v>10</v>
      </c>
      <c r="C3632" s="4" t="s">
        <v>11</v>
      </c>
      <c r="H3632" s="2" t="s">
        <v>12</v>
      </c>
    </row>
    <row r="3633">
      <c r="A3633" s="0" t="s">
        <v>13</v>
      </c>
      <c r="C3633" s="0" t="s">
        <v>14</v>
      </c>
    </row>
    <row r="3634">
      <c r="A3634" s="0" t="s">
        <v>15</v>
      </c>
      <c r="C3634" s="0" t="s">
        <v>16</v>
      </c>
    </row>
    <row r="3635">
      <c r="A3635" s="0" t="s">
        <v>17</v>
      </c>
      <c r="C3635" s="0" t="s">
        <v>18</v>
      </c>
    </row>
    <row r="3638">
      <c r="A3638" s="5" t="s">
        <v>19</v>
      </c>
      <c r="B3638" s="5" t="s">
        <v>20</v>
      </c>
      <c r="C3638" s="7" t="s">
        <v>21</v>
      </c>
      <c r="D3638" s="9"/>
      <c r="E3638" s="7" t="s">
        <v>22</v>
      </c>
      <c r="F3638" s="9"/>
      <c r="G3638" s="5" t="s">
        <v>23</v>
      </c>
      <c r="H3638" s="5" t="s">
        <v>24</v>
      </c>
      <c r="I3638" s="5" t="s">
        <v>147</v>
      </c>
      <c r="J3638" s="5" t="s">
        <v>26</v>
      </c>
    </row>
    <row r="3639">
      <c r="A3639" s="6"/>
      <c r="B3639" s="6"/>
      <c r="C3639" s="8" t="s">
        <v>27</v>
      </c>
      <c r="D3639" s="8" t="s">
        <v>28</v>
      </c>
      <c r="E3639" s="8" t="s">
        <v>27</v>
      </c>
      <c r="F3639" s="8" t="s">
        <v>28</v>
      </c>
      <c r="G3639" s="6"/>
      <c r="H3639" s="6"/>
      <c r="I3639" s="10" t="s">
        <v>29</v>
      </c>
      <c r="J3639" s="6"/>
    </row>
    <row r="3640">
      <c r="A3640" s="11" t="s">
        <v>30</v>
      </c>
      <c r="B3640" s="12">
        <v>1357.4104</v>
      </c>
      <c r="C3640" s="12">
        <v>0</v>
      </c>
      <c r="D3640" s="13">
        <v>0</v>
      </c>
      <c r="E3640" s="12">
        <v>0</v>
      </c>
      <c r="F3640" s="14">
        <v>0</v>
      </c>
      <c r="G3640" s="13">
        <v>398533.1962</v>
      </c>
      <c r="H3640" s="14">
        <v>540973105.26712</v>
      </c>
      <c r="I3640" s="14" t="e">
        <f>=Round(8125.22040000,0)</f>
        <v>#VALUE!</v>
      </c>
      <c r="J3640" s="14" t="e">
        <f>=Round(0.00000000,0)</f>
        <v>#VALUE!</v>
      </c>
    </row>
    <row r="3641">
      <c r="A3641" s="11" t="s">
        <v>31</v>
      </c>
      <c r="B3641" s="12">
        <v>1357.6428</v>
      </c>
      <c r="C3641" s="12">
        <v>0</v>
      </c>
      <c r="D3641" s="13">
        <v>0</v>
      </c>
      <c r="E3641" s="12">
        <v>0</v>
      </c>
      <c r="F3641" s="14">
        <v>0</v>
      </c>
      <c r="G3641" s="13">
        <v>398533.1962</v>
      </c>
      <c r="H3641" s="14">
        <v>541065724.381917</v>
      </c>
      <c r="I3641" s="14" t="e">
        <f>=Round(8129.37730000,0)</f>
        <v>#VALUE!</v>
      </c>
      <c r="J3641" s="14" t="e">
        <f>=Round(0.00000000,0)</f>
        <v>#VALUE!</v>
      </c>
    </row>
    <row r="3642">
      <c r="A3642" s="11" t="s">
        <v>32</v>
      </c>
      <c r="B3642" s="12">
        <v>1357.8735</v>
      </c>
      <c r="C3642" s="12">
        <v>0</v>
      </c>
      <c r="D3642" s="13">
        <v>0</v>
      </c>
      <c r="E3642" s="12">
        <v>0</v>
      </c>
      <c r="F3642" s="14">
        <v>0</v>
      </c>
      <c r="G3642" s="13">
        <v>398533.1962</v>
      </c>
      <c r="H3642" s="14">
        <v>541157665.990281</v>
      </c>
      <c r="I3642" s="14" t="e">
        <f>=Round(8130.76910000,0)</f>
        <v>#VALUE!</v>
      </c>
      <c r="J3642" s="14" t="e">
        <f>=Round(0.00000000,0)</f>
        <v>#VALUE!</v>
      </c>
    </row>
    <row r="3643">
      <c r="A3643" s="11" t="s">
        <v>33</v>
      </c>
      <c r="B3643" s="12">
        <v>1358.1079</v>
      </c>
      <c r="C3643" s="12">
        <v>0</v>
      </c>
      <c r="D3643" s="13">
        <v>0</v>
      </c>
      <c r="E3643" s="12">
        <v>0</v>
      </c>
      <c r="F3643" s="14">
        <v>0</v>
      </c>
      <c r="G3643" s="13">
        <v>398533.1962</v>
      </c>
      <c r="H3643" s="14">
        <v>541251082.17147</v>
      </c>
      <c r="I3643" s="14" t="e">
        <f>=Round(8132.15070000,0)</f>
        <v>#VALUE!</v>
      </c>
      <c r="J3643" s="14" t="e">
        <f>=Round(0.00000000,0)</f>
        <v>#VALUE!</v>
      </c>
    </row>
    <row r="3644">
      <c r="A3644" s="11" t="s">
        <v>34</v>
      </c>
      <c r="B3644" s="12">
        <v>1358.3402</v>
      </c>
      <c r="C3644" s="12">
        <v>0</v>
      </c>
      <c r="D3644" s="13">
        <v>0</v>
      </c>
      <c r="E3644" s="12">
        <v>0</v>
      </c>
      <c r="F3644" s="14">
        <v>0</v>
      </c>
      <c r="G3644" s="13">
        <v>398533.1962</v>
      </c>
      <c r="H3644" s="14">
        <v>541343661.432947</v>
      </c>
      <c r="I3644" s="14" t="e">
        <f>=Round(8133.55450000,0)</f>
        <v>#VALUE!</v>
      </c>
      <c r="J3644" s="14" t="e">
        <f>=Round(0.00000000,0)</f>
        <v>#VALUE!</v>
      </c>
    </row>
    <row r="3645">
      <c r="A3645" s="11" t="s">
        <v>35</v>
      </c>
      <c r="B3645" s="12">
        <v>1358.3402</v>
      </c>
      <c r="C3645" s="12">
        <v>0</v>
      </c>
      <c r="D3645" s="13">
        <v>0</v>
      </c>
      <c r="E3645" s="12">
        <v>0</v>
      </c>
      <c r="F3645" s="14">
        <v>0</v>
      </c>
      <c r="G3645" s="13">
        <v>398533.1962</v>
      </c>
      <c r="H3645" s="14">
        <v>541343661.432947</v>
      </c>
      <c r="I3645" s="14" t="e">
        <f>=Round(8134.94570000,0)</f>
        <v>#VALUE!</v>
      </c>
      <c r="J3645" s="14" t="e">
        <f>=Round(0.00000000,0)</f>
        <v>#VALUE!</v>
      </c>
    </row>
    <row r="3646">
      <c r="A3646" s="11" t="s">
        <v>36</v>
      </c>
      <c r="B3646" s="12">
        <v>1358.3402</v>
      </c>
      <c r="C3646" s="12">
        <v>0</v>
      </c>
      <c r="D3646" s="13">
        <v>0</v>
      </c>
      <c r="E3646" s="12">
        <v>0</v>
      </c>
      <c r="F3646" s="14">
        <v>0</v>
      </c>
      <c r="G3646" s="13">
        <v>398533.1962</v>
      </c>
      <c r="H3646" s="14">
        <v>541343661.432947</v>
      </c>
      <c r="I3646" s="14" t="e">
        <f>=Round(8134.94570000,0)</f>
        <v>#VALUE!</v>
      </c>
      <c r="J3646" s="14" t="e">
        <f>=Round(0.00000000,0)</f>
        <v>#VALUE!</v>
      </c>
    </row>
    <row r="3647">
      <c r="A3647" s="11" t="s">
        <v>37</v>
      </c>
      <c r="B3647" s="12">
        <v>1359.0395</v>
      </c>
      <c r="C3647" s="12">
        <v>0</v>
      </c>
      <c r="D3647" s="13">
        <v>0</v>
      </c>
      <c r="E3647" s="12">
        <v>0</v>
      </c>
      <c r="F3647" s="14">
        <v>0</v>
      </c>
      <c r="G3647" s="13">
        <v>398533.1962</v>
      </c>
      <c r="H3647" s="14">
        <v>541622355.69705</v>
      </c>
      <c r="I3647" s="14" t="e">
        <f>=Round(8134.94570000,0)</f>
        <v>#VALUE!</v>
      </c>
      <c r="J3647" s="14" t="e">
        <f>=Round(0.00000000,0)</f>
        <v>#VALUE!</v>
      </c>
    </row>
    <row r="3648">
      <c r="A3648" s="11" t="s">
        <v>38</v>
      </c>
      <c r="B3648" s="12">
        <v>1359.2726</v>
      </c>
      <c r="C3648" s="12">
        <v>0</v>
      </c>
      <c r="D3648" s="13">
        <v>0</v>
      </c>
      <c r="E3648" s="12">
        <v>0</v>
      </c>
      <c r="F3648" s="14">
        <v>0</v>
      </c>
      <c r="G3648" s="13">
        <v>398533.1962</v>
      </c>
      <c r="H3648" s="14">
        <v>541715253.785084</v>
      </c>
      <c r="I3648" s="14" t="e">
        <f>=Round(8139.13380000,0)</f>
        <v>#VALUE!</v>
      </c>
      <c r="J3648" s="14" t="e">
        <f>=Round(0.00000000,0)</f>
        <v>#VALUE!</v>
      </c>
    </row>
    <row r="3649">
      <c r="A3649" s="11" t="s">
        <v>39</v>
      </c>
      <c r="B3649" s="12">
        <v>1359.5048</v>
      </c>
      <c r="C3649" s="12">
        <v>0</v>
      </c>
      <c r="D3649" s="13">
        <v>0</v>
      </c>
      <c r="E3649" s="12">
        <v>0</v>
      </c>
      <c r="F3649" s="14">
        <v>0</v>
      </c>
      <c r="G3649" s="13">
        <v>398533.1962</v>
      </c>
      <c r="H3649" s="14">
        <v>541807793.193242</v>
      </c>
      <c r="I3649" s="14" t="e">
        <f>=Round(8140.52980000,0)</f>
        <v>#VALUE!</v>
      </c>
      <c r="J3649" s="14" t="e">
        <f>=Round(0.00000000,0)</f>
        <v>#VALUE!</v>
      </c>
    </row>
    <row r="3650">
      <c r="A3650" s="11" t="s">
        <v>40</v>
      </c>
      <c r="B3650" s="12">
        <v>1359.7365</v>
      </c>
      <c r="C3650" s="12">
        <v>0</v>
      </c>
      <c r="D3650" s="13">
        <v>0</v>
      </c>
      <c r="E3650" s="12">
        <v>0</v>
      </c>
      <c r="F3650" s="14">
        <v>0</v>
      </c>
      <c r="G3650" s="13">
        <v>398533.1962</v>
      </c>
      <c r="H3650" s="14">
        <v>541900133.334801</v>
      </c>
      <c r="I3650" s="14" t="e">
        <f>=Round(8141.92040000,0)</f>
        <v>#VALUE!</v>
      </c>
      <c r="J3650" s="14" t="e">
        <f>=Round(0.00000000,0)</f>
        <v>#VALUE!</v>
      </c>
    </row>
    <row r="3651">
      <c r="A3651" s="11" t="s">
        <v>41</v>
      </c>
      <c r="B3651" s="12">
        <v>1359.979</v>
      </c>
      <c r="C3651" s="12">
        <v>0</v>
      </c>
      <c r="D3651" s="13">
        <v>0</v>
      </c>
      <c r="E3651" s="12">
        <v>0</v>
      </c>
      <c r="F3651" s="14">
        <v>0</v>
      </c>
      <c r="G3651" s="13">
        <v>398533.1962</v>
      </c>
      <c r="H3651" s="14">
        <v>541996777.63488</v>
      </c>
      <c r="I3651" s="14" t="e">
        <f>=Round(8143.30800000,0)</f>
        <v>#VALUE!</v>
      </c>
      <c r="J3651" s="14" t="e">
        <f>=Round(0.00000000,0)</f>
        <v>#VALUE!</v>
      </c>
    </row>
    <row r="3652">
      <c r="A3652" s="11" t="s">
        <v>42</v>
      </c>
      <c r="B3652" s="12">
        <v>1359.979</v>
      </c>
      <c r="C3652" s="12">
        <v>0</v>
      </c>
      <c r="D3652" s="13">
        <v>0</v>
      </c>
      <c r="E3652" s="12">
        <v>0</v>
      </c>
      <c r="F3652" s="14">
        <v>0</v>
      </c>
      <c r="G3652" s="13">
        <v>398533.1962</v>
      </c>
      <c r="H3652" s="14">
        <v>541996777.63488</v>
      </c>
      <c r="I3652" s="14" t="e">
        <f>=Round(8144.76030000,0)</f>
        <v>#VALUE!</v>
      </c>
      <c r="J3652" s="14" t="e">
        <f>=Round(0.00000000,0)</f>
        <v>#VALUE!</v>
      </c>
    </row>
    <row r="3653">
      <c r="A3653" s="11" t="s">
        <v>43</v>
      </c>
      <c r="B3653" s="12">
        <v>1359.979</v>
      </c>
      <c r="C3653" s="12">
        <v>0</v>
      </c>
      <c r="D3653" s="13">
        <v>0</v>
      </c>
      <c r="E3653" s="12">
        <v>0</v>
      </c>
      <c r="F3653" s="14">
        <v>0</v>
      </c>
      <c r="G3653" s="13">
        <v>398533.1962</v>
      </c>
      <c r="H3653" s="14">
        <v>541996777.63488</v>
      </c>
      <c r="I3653" s="14" t="e">
        <f>=Round(8144.76030000,0)</f>
        <v>#VALUE!</v>
      </c>
      <c r="J3653" s="14" t="e">
        <f>=Round(0.00000000,0)</f>
        <v>#VALUE!</v>
      </c>
    </row>
    <row r="3654">
      <c r="A3654" s="11" t="s">
        <v>44</v>
      </c>
      <c r="B3654" s="12">
        <v>1360.6758</v>
      </c>
      <c r="C3654" s="12">
        <v>0</v>
      </c>
      <c r="D3654" s="13">
        <v>0</v>
      </c>
      <c r="E3654" s="12">
        <v>0</v>
      </c>
      <c r="F3654" s="14">
        <v>0</v>
      </c>
      <c r="G3654" s="13">
        <v>398533.1962</v>
      </c>
      <c r="H3654" s="14">
        <v>542274475.565992</v>
      </c>
      <c r="I3654" s="14" t="e">
        <f>=Round(8144.76030000,0)</f>
        <v>#VALUE!</v>
      </c>
      <c r="J3654" s="14" t="e">
        <f>=Round(0.00000000,0)</f>
        <v>#VALUE!</v>
      </c>
    </row>
    <row r="3655">
      <c r="A3655" s="11" t="s">
        <v>45</v>
      </c>
      <c r="B3655" s="12">
        <v>1360.9062</v>
      </c>
      <c r="C3655" s="12">
        <v>0</v>
      </c>
      <c r="D3655" s="13">
        <v>0</v>
      </c>
      <c r="E3655" s="12">
        <v>0</v>
      </c>
      <c r="F3655" s="14">
        <v>0</v>
      </c>
      <c r="G3655" s="13">
        <v>398533.1962</v>
      </c>
      <c r="H3655" s="14">
        <v>542366297.614396</v>
      </c>
      <c r="I3655" s="14" t="e">
        <f>=Round(8148.93340000,0)</f>
        <v>#VALUE!</v>
      </c>
      <c r="J3655" s="14" t="e">
        <f>=Round(0.00000000,0)</f>
        <v>#VALUE!</v>
      </c>
    </row>
    <row r="3656">
      <c r="A3656" s="11" t="s">
        <v>46</v>
      </c>
      <c r="B3656" s="12">
        <v>1361.137</v>
      </c>
      <c r="C3656" s="12">
        <v>0</v>
      </c>
      <c r="D3656" s="13">
        <v>0</v>
      </c>
      <c r="E3656" s="12">
        <v>0</v>
      </c>
      <c r="F3656" s="14">
        <v>0</v>
      </c>
      <c r="G3656" s="13">
        <v>398533.1962</v>
      </c>
      <c r="H3656" s="14">
        <v>542458279.076079</v>
      </c>
      <c r="I3656" s="14" t="e">
        <f>=Round(8150.31320000,0)</f>
        <v>#VALUE!</v>
      </c>
      <c r="J3656" s="14" t="e">
        <f>=Round(0.00000000,0)</f>
        <v>#VALUE!</v>
      </c>
    </row>
    <row r="3657">
      <c r="A3657" s="11" t="s">
        <v>47</v>
      </c>
      <c r="B3657" s="12">
        <v>1361.367</v>
      </c>
      <c r="C3657" s="12">
        <v>0</v>
      </c>
      <c r="D3657" s="13">
        <v>0</v>
      </c>
      <c r="E3657" s="12">
        <v>0</v>
      </c>
      <c r="F3657" s="14">
        <v>0</v>
      </c>
      <c r="G3657" s="13">
        <v>398533.1962</v>
      </c>
      <c r="H3657" s="14">
        <v>542549941.711205</v>
      </c>
      <c r="I3657" s="14" t="e">
        <f>=Round(8151.69550000,0)</f>
        <v>#VALUE!</v>
      </c>
      <c r="J3657" s="14" t="e">
        <f>=Round(0.00000000,0)</f>
        <v>#VALUE!</v>
      </c>
    </row>
    <row r="3658">
      <c r="A3658" s="11" t="s">
        <v>48</v>
      </c>
      <c r="B3658" s="12">
        <v>1361.6195</v>
      </c>
      <c r="C3658" s="12">
        <v>0</v>
      </c>
      <c r="D3658" s="13">
        <v>0</v>
      </c>
      <c r="E3658" s="12">
        <v>0</v>
      </c>
      <c r="F3658" s="14">
        <v>0</v>
      </c>
      <c r="G3658" s="13">
        <v>398533.1962</v>
      </c>
      <c r="H3658" s="14">
        <v>542650571.343246</v>
      </c>
      <c r="I3658" s="14" t="e">
        <f>=Round(8153.07290000,0)</f>
        <v>#VALUE!</v>
      </c>
      <c r="J3658" s="14" t="e">
        <f>=Round(0.00000000,0)</f>
        <v>#VALUE!</v>
      </c>
    </row>
    <row r="3659">
      <c r="A3659" s="11" t="s">
        <v>49</v>
      </c>
      <c r="B3659" s="12">
        <v>1361.6195</v>
      </c>
      <c r="C3659" s="12">
        <v>0</v>
      </c>
      <c r="D3659" s="13">
        <v>0</v>
      </c>
      <c r="E3659" s="12">
        <v>0</v>
      </c>
      <c r="F3659" s="14">
        <v>0</v>
      </c>
      <c r="G3659" s="13">
        <v>398533.1962</v>
      </c>
      <c r="H3659" s="14">
        <v>542650571.343246</v>
      </c>
      <c r="I3659" s="14" t="e">
        <f>=Round(8154.58510000,0)</f>
        <v>#VALUE!</v>
      </c>
      <c r="J3659" s="14" t="e">
        <f>=Round(0.00000000,0)</f>
        <v>#VALUE!</v>
      </c>
    </row>
    <row r="3660">
      <c r="A3660" s="11" t="s">
        <v>50</v>
      </c>
      <c r="B3660" s="12">
        <v>1361.6195</v>
      </c>
      <c r="C3660" s="12">
        <v>0</v>
      </c>
      <c r="D3660" s="13">
        <v>0</v>
      </c>
      <c r="E3660" s="12">
        <v>0</v>
      </c>
      <c r="F3660" s="14">
        <v>0</v>
      </c>
      <c r="G3660" s="13">
        <v>398533.1962</v>
      </c>
      <c r="H3660" s="14">
        <v>542650571.343246</v>
      </c>
      <c r="I3660" s="14" t="e">
        <f>=Round(8154.58510000,0)</f>
        <v>#VALUE!</v>
      </c>
      <c r="J3660" s="14" t="e">
        <f>=Round(0.00000000,0)</f>
        <v>#VALUE!</v>
      </c>
    </row>
    <row r="3661">
      <c r="A3661" s="11" t="s">
        <v>51</v>
      </c>
      <c r="B3661" s="12">
        <v>1362.3425</v>
      </c>
      <c r="C3661" s="12">
        <v>0</v>
      </c>
      <c r="D3661" s="13">
        <v>0</v>
      </c>
      <c r="E3661" s="12">
        <v>0</v>
      </c>
      <c r="F3661" s="14">
        <v>0</v>
      </c>
      <c r="G3661" s="13">
        <v>398533.1962</v>
      </c>
      <c r="H3661" s="14">
        <v>542938710.844099</v>
      </c>
      <c r="I3661" s="14" t="e">
        <f>=Round(8154.58510000,0)</f>
        <v>#VALUE!</v>
      </c>
      <c r="J3661" s="14" t="e">
        <f>=Round(0.00000000,0)</f>
        <v>#VALUE!</v>
      </c>
    </row>
    <row r="3662">
      <c r="A3662" s="11" t="s">
        <v>52</v>
      </c>
      <c r="B3662" s="12">
        <v>1362.5746</v>
      </c>
      <c r="C3662" s="12">
        <v>0</v>
      </c>
      <c r="D3662" s="13">
        <v>0</v>
      </c>
      <c r="E3662" s="12">
        <v>0</v>
      </c>
      <c r="F3662" s="14">
        <v>0</v>
      </c>
      <c r="G3662" s="13">
        <v>398533.1962</v>
      </c>
      <c r="H3662" s="14">
        <v>543031210.398937</v>
      </c>
      <c r="I3662" s="14" t="e">
        <f>=Round(8158.91510000,0)</f>
        <v>#VALUE!</v>
      </c>
      <c r="J3662" s="14" t="e">
        <f>=Round(0.00000000,0)</f>
        <v>#VALUE!</v>
      </c>
    </row>
    <row r="3663">
      <c r="A3663" s="11" t="s">
        <v>53</v>
      </c>
      <c r="B3663" s="12">
        <v>1362.8067</v>
      </c>
      <c r="C3663" s="12">
        <v>0</v>
      </c>
      <c r="D3663" s="13">
        <v>0</v>
      </c>
      <c r="E3663" s="12">
        <v>0</v>
      </c>
      <c r="F3663" s="14">
        <v>0</v>
      </c>
      <c r="G3663" s="13">
        <v>398533.1962</v>
      </c>
      <c r="H3663" s="14">
        <v>543123709.953775</v>
      </c>
      <c r="I3663" s="14" t="e">
        <f>=Round(8160.30510000,0)</f>
        <v>#VALUE!</v>
      </c>
      <c r="J3663" s="14" t="e">
        <f>=Round(0.00000000,0)</f>
        <v>#VALUE!</v>
      </c>
    </row>
    <row r="3664">
      <c r="A3664" s="11" t="s">
        <v>54</v>
      </c>
      <c r="B3664" s="12">
        <v>1363.0394</v>
      </c>
      <c r="C3664" s="12">
        <v>0</v>
      </c>
      <c r="D3664" s="13">
        <v>0</v>
      </c>
      <c r="E3664" s="12">
        <v>0</v>
      </c>
      <c r="F3664" s="14">
        <v>0</v>
      </c>
      <c r="G3664" s="13">
        <v>398533.1962</v>
      </c>
      <c r="H3664" s="14">
        <v>543216448.62853</v>
      </c>
      <c r="I3664" s="14" t="e">
        <f>=Round(8161.69510000,0)</f>
        <v>#VALUE!</v>
      </c>
      <c r="J3664" s="14" t="e">
        <f>=Round(0.00000000,0)</f>
        <v>#VALUE!</v>
      </c>
    </row>
    <row r="3665">
      <c r="A3665" s="11" t="s">
        <v>55</v>
      </c>
      <c r="B3665" s="12">
        <v>1363.274</v>
      </c>
      <c r="C3665" s="12">
        <v>0</v>
      </c>
      <c r="D3665" s="13">
        <v>0</v>
      </c>
      <c r="E3665" s="12">
        <v>0</v>
      </c>
      <c r="F3665" s="14">
        <v>0</v>
      </c>
      <c r="G3665" s="13">
        <v>398533.1962</v>
      </c>
      <c r="H3665" s="14">
        <v>543309944.516359</v>
      </c>
      <c r="I3665" s="14" t="e">
        <f>=Round(8163.08870000,0)</f>
        <v>#VALUE!</v>
      </c>
      <c r="J3665" s="14" t="e">
        <f>=Round(0.00000000,0)</f>
        <v>#VALUE!</v>
      </c>
    </row>
    <row r="3666" ht="-1">
      <c r="A3666" s="15"/>
      <c r="B3666" s="16" t="s">
        <v>56</v>
      </c>
      <c r="C3666" s="15"/>
      <c r="D3666" s="15"/>
      <c r="E3666" s="15"/>
      <c r="F3666" s="15"/>
      <c r="G3666" s="15"/>
      <c r="H3666" s="15"/>
      <c r="I3666" s="17" t="e">
        <f>=Round(SUM(I3640:I3665),0)</f>
        <v>#VALUE!</v>
      </c>
      <c r="J3666" s="17" t="e">
        <f>=Round(SUM(J3640:J3665),0)</f>
        <v>#VALUE!</v>
      </c>
    </row>
    <row r="3667">
      <c r="A3667" s="1" t="s">
        <v>0</v>
      </c>
      <c r="B3667" s="1"/>
      <c r="C3667" s="1"/>
      <c r="D3667" s="1"/>
    </row>
    <row r="3668">
      <c r="A3668" s="0" t="s">
        <v>1</v>
      </c>
      <c r="C3668" s="0" t="s">
        <v>144</v>
      </c>
      <c r="H3668" s="2" t="s">
        <v>3</v>
      </c>
    </row>
    <row r="3669">
      <c r="A3669" s="0" t="s">
        <v>4</v>
      </c>
      <c r="C3669" s="0" t="s">
        <v>153</v>
      </c>
      <c r="H3669" s="3" t="s">
        <v>6</v>
      </c>
    </row>
    <row r="3670">
      <c r="A3670" s="0" t="s">
        <v>7</v>
      </c>
      <c r="C3670" s="4" t="s">
        <v>146</v>
      </c>
      <c r="H3670" s="2" t="s">
        <v>9</v>
      </c>
    </row>
    <row r="3671">
      <c r="A3671" s="0" t="s">
        <v>10</v>
      </c>
      <c r="C3671" s="4" t="s">
        <v>11</v>
      </c>
      <c r="H3671" s="2" t="s">
        <v>12</v>
      </c>
    </row>
    <row r="3672">
      <c r="A3672" s="0" t="s">
        <v>13</v>
      </c>
      <c r="C3672" s="0" t="s">
        <v>14</v>
      </c>
    </row>
    <row r="3673">
      <c r="A3673" s="0" t="s">
        <v>15</v>
      </c>
      <c r="C3673" s="0" t="s">
        <v>16</v>
      </c>
    </row>
    <row r="3674">
      <c r="A3674" s="0" t="s">
        <v>17</v>
      </c>
      <c r="C3674" s="0" t="s">
        <v>18</v>
      </c>
    </row>
    <row r="3677">
      <c r="A3677" s="5" t="s">
        <v>19</v>
      </c>
      <c r="B3677" s="5" t="s">
        <v>20</v>
      </c>
      <c r="C3677" s="7" t="s">
        <v>21</v>
      </c>
      <c r="D3677" s="9"/>
      <c r="E3677" s="7" t="s">
        <v>22</v>
      </c>
      <c r="F3677" s="9"/>
      <c r="G3677" s="5" t="s">
        <v>23</v>
      </c>
      <c r="H3677" s="5" t="s">
        <v>24</v>
      </c>
      <c r="I3677" s="5" t="s">
        <v>147</v>
      </c>
      <c r="J3677" s="5" t="s">
        <v>26</v>
      </c>
    </row>
    <row r="3678">
      <c r="A3678" s="6"/>
      <c r="B3678" s="6"/>
      <c r="C3678" s="8" t="s">
        <v>27</v>
      </c>
      <c r="D3678" s="8" t="s">
        <v>28</v>
      </c>
      <c r="E3678" s="8" t="s">
        <v>27</v>
      </c>
      <c r="F3678" s="8" t="s">
        <v>28</v>
      </c>
      <c r="G3678" s="6"/>
      <c r="H3678" s="6"/>
      <c r="I3678" s="10" t="s">
        <v>29</v>
      </c>
      <c r="J3678" s="6"/>
    </row>
    <row r="3679">
      <c r="A3679" s="11" t="s">
        <v>30</v>
      </c>
      <c r="B3679" s="12">
        <v>1357.4104</v>
      </c>
      <c r="C3679" s="12">
        <v>0</v>
      </c>
      <c r="D3679" s="13">
        <v>0</v>
      </c>
      <c r="E3679" s="12">
        <v>0</v>
      </c>
      <c r="F3679" s="14">
        <v>0</v>
      </c>
      <c r="G3679" s="13">
        <v>498.8713</v>
      </c>
      <c r="H3679" s="14">
        <v>677173.090882</v>
      </c>
      <c r="I3679" s="14" t="e">
        <f>=Round(10.17090000,0)</f>
        <v>#VALUE!</v>
      </c>
      <c r="J3679" s="14" t="e">
        <f>=Round(0.00000000,0)</f>
        <v>#VALUE!</v>
      </c>
    </row>
    <row r="3680">
      <c r="A3680" s="11" t="s">
        <v>31</v>
      </c>
      <c r="B3680" s="12">
        <v>1357.6428</v>
      </c>
      <c r="C3680" s="12">
        <v>0</v>
      </c>
      <c r="D3680" s="13">
        <v>0</v>
      </c>
      <c r="E3680" s="12">
        <v>0</v>
      </c>
      <c r="F3680" s="14">
        <v>0</v>
      </c>
      <c r="G3680" s="13">
        <v>498.8713</v>
      </c>
      <c r="H3680" s="14">
        <v>677289.028572</v>
      </c>
      <c r="I3680" s="14" t="e">
        <f>=Round(10.17610000,0)</f>
        <v>#VALUE!</v>
      </c>
      <c r="J3680" s="14" t="e">
        <f>=Round(0.00000000,0)</f>
        <v>#VALUE!</v>
      </c>
    </row>
    <row r="3681">
      <c r="A3681" s="11" t="s">
        <v>32</v>
      </c>
      <c r="B3681" s="12">
        <v>1357.8735</v>
      </c>
      <c r="C3681" s="12">
        <v>0</v>
      </c>
      <c r="D3681" s="13">
        <v>0</v>
      </c>
      <c r="E3681" s="12">
        <v>0</v>
      </c>
      <c r="F3681" s="14">
        <v>0</v>
      </c>
      <c r="G3681" s="13">
        <v>498.8713</v>
      </c>
      <c r="H3681" s="14">
        <v>677404.118181</v>
      </c>
      <c r="I3681" s="14" t="e">
        <f>=Round(10.17780000,0)</f>
        <v>#VALUE!</v>
      </c>
      <c r="J3681" s="14" t="e">
        <f>=Round(0.00000000,0)</f>
        <v>#VALUE!</v>
      </c>
    </row>
    <row r="3682">
      <c r="A3682" s="11" t="s">
        <v>33</v>
      </c>
      <c r="B3682" s="12">
        <v>1358.1079</v>
      </c>
      <c r="C3682" s="12">
        <v>0</v>
      </c>
      <c r="D3682" s="13">
        <v>0</v>
      </c>
      <c r="E3682" s="12">
        <v>0</v>
      </c>
      <c r="F3682" s="14">
        <v>0</v>
      </c>
      <c r="G3682" s="13">
        <v>498.8713</v>
      </c>
      <c r="H3682" s="14">
        <v>677521.053613</v>
      </c>
      <c r="I3682" s="14" t="e">
        <f>=Round(10.17960000,0)</f>
        <v>#VALUE!</v>
      </c>
      <c r="J3682" s="14" t="e">
        <f>=Round(0.00000000,0)</f>
        <v>#VALUE!</v>
      </c>
    </row>
    <row r="3683">
      <c r="A3683" s="11" t="s">
        <v>34</v>
      </c>
      <c r="B3683" s="12">
        <v>1358.3402</v>
      </c>
      <c r="C3683" s="12">
        <v>0</v>
      </c>
      <c r="D3683" s="13">
        <v>0</v>
      </c>
      <c r="E3683" s="12">
        <v>0</v>
      </c>
      <c r="F3683" s="14">
        <v>0</v>
      </c>
      <c r="G3683" s="13">
        <v>498.8713</v>
      </c>
      <c r="H3683" s="14">
        <v>677636.941416</v>
      </c>
      <c r="I3683" s="14" t="e">
        <f>=Round(10.18130000,0)</f>
        <v>#VALUE!</v>
      </c>
      <c r="J3683" s="14" t="e">
        <f>=Round(0.00000000,0)</f>
        <v>#VALUE!</v>
      </c>
    </row>
    <row r="3684">
      <c r="A3684" s="11" t="s">
        <v>35</v>
      </c>
      <c r="B3684" s="12">
        <v>1358.3402</v>
      </c>
      <c r="C3684" s="12">
        <v>0</v>
      </c>
      <c r="D3684" s="13">
        <v>0</v>
      </c>
      <c r="E3684" s="12">
        <v>0</v>
      </c>
      <c r="F3684" s="14">
        <v>0</v>
      </c>
      <c r="G3684" s="13">
        <v>498.8713</v>
      </c>
      <c r="H3684" s="14">
        <v>677636.941416</v>
      </c>
      <c r="I3684" s="14" t="e">
        <f>=Round(10.18310000,0)</f>
        <v>#VALUE!</v>
      </c>
      <c r="J3684" s="14" t="e">
        <f>=Round(0.00000000,0)</f>
        <v>#VALUE!</v>
      </c>
    </row>
    <row r="3685">
      <c r="A3685" s="11" t="s">
        <v>36</v>
      </c>
      <c r="B3685" s="12">
        <v>1358.3402</v>
      </c>
      <c r="C3685" s="12">
        <v>0</v>
      </c>
      <c r="D3685" s="13">
        <v>0</v>
      </c>
      <c r="E3685" s="12">
        <v>0</v>
      </c>
      <c r="F3685" s="14">
        <v>0</v>
      </c>
      <c r="G3685" s="13">
        <v>498.8713</v>
      </c>
      <c r="H3685" s="14">
        <v>677636.941416</v>
      </c>
      <c r="I3685" s="14" t="e">
        <f>=Round(10.18310000,0)</f>
        <v>#VALUE!</v>
      </c>
      <c r="J3685" s="14" t="e">
        <f>=Round(0.00000000,0)</f>
        <v>#VALUE!</v>
      </c>
    </row>
    <row r="3686">
      <c r="A3686" s="11" t="s">
        <v>37</v>
      </c>
      <c r="B3686" s="12">
        <v>1359.0395</v>
      </c>
      <c r="C3686" s="12">
        <v>0</v>
      </c>
      <c r="D3686" s="13">
        <v>0</v>
      </c>
      <c r="E3686" s="12">
        <v>0</v>
      </c>
      <c r="F3686" s="14">
        <v>0</v>
      </c>
      <c r="G3686" s="13">
        <v>498.8713</v>
      </c>
      <c r="H3686" s="14">
        <v>677985.802116</v>
      </c>
      <c r="I3686" s="14" t="e">
        <f>=Round(10.18310000,0)</f>
        <v>#VALUE!</v>
      </c>
      <c r="J3686" s="14" t="e">
        <f>=Round(0.00000000,0)</f>
        <v>#VALUE!</v>
      </c>
    </row>
    <row r="3687">
      <c r="A3687" s="11" t="s">
        <v>38</v>
      </c>
      <c r="B3687" s="12">
        <v>1359.2726</v>
      </c>
      <c r="C3687" s="12">
        <v>0</v>
      </c>
      <c r="D3687" s="13">
        <v>0</v>
      </c>
      <c r="E3687" s="12">
        <v>0</v>
      </c>
      <c r="F3687" s="14">
        <v>0</v>
      </c>
      <c r="G3687" s="13">
        <v>498.8713</v>
      </c>
      <c r="H3687" s="14">
        <v>678102.089016</v>
      </c>
      <c r="I3687" s="14" t="e">
        <f>=Round(10.18830000,0)</f>
        <v>#VALUE!</v>
      </c>
      <c r="J3687" s="14" t="e">
        <f>=Round(0.00000000,0)</f>
        <v>#VALUE!</v>
      </c>
    </row>
    <row r="3688">
      <c r="A3688" s="11" t="s">
        <v>39</v>
      </c>
      <c r="B3688" s="12">
        <v>1359.5048</v>
      </c>
      <c r="C3688" s="12">
        <v>0</v>
      </c>
      <c r="D3688" s="13">
        <v>0</v>
      </c>
      <c r="E3688" s="12">
        <v>0</v>
      </c>
      <c r="F3688" s="14">
        <v>0</v>
      </c>
      <c r="G3688" s="13">
        <v>498.8713</v>
      </c>
      <c r="H3688" s="14">
        <v>678217.926932</v>
      </c>
      <c r="I3688" s="14" t="e">
        <f>=Round(10.19010000,0)</f>
        <v>#VALUE!</v>
      </c>
      <c r="J3688" s="14" t="e">
        <f>=Round(0.00000000,0)</f>
        <v>#VALUE!</v>
      </c>
    </row>
    <row r="3689">
      <c r="A3689" s="11" t="s">
        <v>40</v>
      </c>
      <c r="B3689" s="12">
        <v>1359.7365</v>
      </c>
      <c r="C3689" s="12">
        <v>0</v>
      </c>
      <c r="D3689" s="13">
        <v>0</v>
      </c>
      <c r="E3689" s="12">
        <v>0</v>
      </c>
      <c r="F3689" s="14">
        <v>0</v>
      </c>
      <c r="G3689" s="13">
        <v>498.8713</v>
      </c>
      <c r="H3689" s="14">
        <v>678333.515412</v>
      </c>
      <c r="I3689" s="14" t="e">
        <f>=Round(10.19180000,0)</f>
        <v>#VALUE!</v>
      </c>
      <c r="J3689" s="14" t="e">
        <f>=Round(0.00000000,0)</f>
        <v>#VALUE!</v>
      </c>
    </row>
    <row r="3690">
      <c r="A3690" s="11" t="s">
        <v>41</v>
      </c>
      <c r="B3690" s="12">
        <v>1359.979</v>
      </c>
      <c r="C3690" s="12">
        <v>0</v>
      </c>
      <c r="D3690" s="13">
        <v>0</v>
      </c>
      <c r="E3690" s="12">
        <v>0</v>
      </c>
      <c r="F3690" s="14">
        <v>0</v>
      </c>
      <c r="G3690" s="13">
        <v>498.8713</v>
      </c>
      <c r="H3690" s="14">
        <v>678454.491703</v>
      </c>
      <c r="I3690" s="14" t="e">
        <f>=Round(10.19350000,0)</f>
        <v>#VALUE!</v>
      </c>
      <c r="J3690" s="14" t="e">
        <f>=Round(0.00000000,0)</f>
        <v>#VALUE!</v>
      </c>
    </row>
    <row r="3691">
      <c r="A3691" s="11" t="s">
        <v>42</v>
      </c>
      <c r="B3691" s="12">
        <v>1359.979</v>
      </c>
      <c r="C3691" s="12">
        <v>0</v>
      </c>
      <c r="D3691" s="13">
        <v>0</v>
      </c>
      <c r="E3691" s="12">
        <v>0</v>
      </c>
      <c r="F3691" s="14">
        <v>0</v>
      </c>
      <c r="G3691" s="13">
        <v>498.8713</v>
      </c>
      <c r="H3691" s="14">
        <v>678454.491703</v>
      </c>
      <c r="I3691" s="14" t="e">
        <f>=Round(10.19540000,0)</f>
        <v>#VALUE!</v>
      </c>
      <c r="J3691" s="14" t="e">
        <f>=Round(0.00000000,0)</f>
        <v>#VALUE!</v>
      </c>
    </row>
    <row r="3692">
      <c r="A3692" s="11" t="s">
        <v>43</v>
      </c>
      <c r="B3692" s="12">
        <v>1359.979</v>
      </c>
      <c r="C3692" s="12">
        <v>0</v>
      </c>
      <c r="D3692" s="13">
        <v>0</v>
      </c>
      <c r="E3692" s="12">
        <v>0</v>
      </c>
      <c r="F3692" s="14">
        <v>0</v>
      </c>
      <c r="G3692" s="13">
        <v>498.8713</v>
      </c>
      <c r="H3692" s="14">
        <v>678454.491703</v>
      </c>
      <c r="I3692" s="14" t="e">
        <f>=Round(10.19540000,0)</f>
        <v>#VALUE!</v>
      </c>
      <c r="J3692" s="14" t="e">
        <f>=Round(0.00000000,0)</f>
        <v>#VALUE!</v>
      </c>
    </row>
    <row r="3693">
      <c r="A3693" s="11" t="s">
        <v>44</v>
      </c>
      <c r="B3693" s="12">
        <v>1360.6758</v>
      </c>
      <c r="C3693" s="12">
        <v>0</v>
      </c>
      <c r="D3693" s="13">
        <v>0</v>
      </c>
      <c r="E3693" s="12">
        <v>0</v>
      </c>
      <c r="F3693" s="14">
        <v>0</v>
      </c>
      <c r="G3693" s="13">
        <v>498.8713</v>
      </c>
      <c r="H3693" s="14">
        <v>678802.105225</v>
      </c>
      <c r="I3693" s="14" t="e">
        <f>=Round(10.19540000,0)</f>
        <v>#VALUE!</v>
      </c>
      <c r="J3693" s="14" t="e">
        <f>=Round(0.00000000,0)</f>
        <v>#VALUE!</v>
      </c>
    </row>
    <row r="3694">
      <c r="A3694" s="11" t="s">
        <v>45</v>
      </c>
      <c r="B3694" s="12">
        <v>1360.9062</v>
      </c>
      <c r="C3694" s="12">
        <v>0</v>
      </c>
      <c r="D3694" s="13">
        <v>0</v>
      </c>
      <c r="E3694" s="12">
        <v>0</v>
      </c>
      <c r="F3694" s="14">
        <v>0</v>
      </c>
      <c r="G3694" s="13">
        <v>498.8713</v>
      </c>
      <c r="H3694" s="14">
        <v>678917.045172</v>
      </c>
      <c r="I3694" s="14" t="e">
        <f>=Round(10.20060000,0)</f>
        <v>#VALUE!</v>
      </c>
      <c r="J3694" s="14" t="e">
        <f>=Round(0.00000000,0)</f>
        <v>#VALUE!</v>
      </c>
    </row>
    <row r="3695">
      <c r="A3695" s="11" t="s">
        <v>46</v>
      </c>
      <c r="B3695" s="12">
        <v>1361.137</v>
      </c>
      <c r="C3695" s="12">
        <v>0</v>
      </c>
      <c r="D3695" s="13">
        <v>0</v>
      </c>
      <c r="E3695" s="12">
        <v>0</v>
      </c>
      <c r="F3695" s="14">
        <v>0</v>
      </c>
      <c r="G3695" s="13">
        <v>498.8713</v>
      </c>
      <c r="H3695" s="14">
        <v>679032.184668</v>
      </c>
      <c r="I3695" s="14" t="e">
        <f>=Round(10.20230000,0)</f>
        <v>#VALUE!</v>
      </c>
      <c r="J3695" s="14" t="e">
        <f>=Round(0.00000000,0)</f>
        <v>#VALUE!</v>
      </c>
    </row>
    <row r="3696">
      <c r="A3696" s="11" t="s">
        <v>47</v>
      </c>
      <c r="B3696" s="12">
        <v>1361.367</v>
      </c>
      <c r="C3696" s="12">
        <v>0</v>
      </c>
      <c r="D3696" s="13">
        <v>0</v>
      </c>
      <c r="E3696" s="12">
        <v>0</v>
      </c>
      <c r="F3696" s="14">
        <v>0</v>
      </c>
      <c r="G3696" s="13">
        <v>498.8713</v>
      </c>
      <c r="H3696" s="14">
        <v>679146.925067</v>
      </c>
      <c r="I3696" s="14" t="e">
        <f>=Round(10.20400000,0)</f>
        <v>#VALUE!</v>
      </c>
      <c r="J3696" s="14" t="e">
        <f>=Round(0.00000000,0)</f>
        <v>#VALUE!</v>
      </c>
    </row>
    <row r="3697">
      <c r="A3697" s="11" t="s">
        <v>48</v>
      </c>
      <c r="B3697" s="12">
        <v>1361.6195</v>
      </c>
      <c r="C3697" s="12">
        <v>0</v>
      </c>
      <c r="D3697" s="13">
        <v>0</v>
      </c>
      <c r="E3697" s="12">
        <v>0</v>
      </c>
      <c r="F3697" s="14">
        <v>0</v>
      </c>
      <c r="G3697" s="13">
        <v>498.8713</v>
      </c>
      <c r="H3697" s="14">
        <v>679272.89007</v>
      </c>
      <c r="I3697" s="14" t="e">
        <f>=Round(10.20580000,0)</f>
        <v>#VALUE!</v>
      </c>
      <c r="J3697" s="14" t="e">
        <f>=Round(0.00000000,0)</f>
        <v>#VALUE!</v>
      </c>
    </row>
    <row r="3698">
      <c r="A3698" s="11" t="s">
        <v>49</v>
      </c>
      <c r="B3698" s="12">
        <v>1361.6195</v>
      </c>
      <c r="C3698" s="12">
        <v>0</v>
      </c>
      <c r="D3698" s="13">
        <v>0</v>
      </c>
      <c r="E3698" s="12">
        <v>0</v>
      </c>
      <c r="F3698" s="14">
        <v>0</v>
      </c>
      <c r="G3698" s="13">
        <v>498.8713</v>
      </c>
      <c r="H3698" s="14">
        <v>679272.89007</v>
      </c>
      <c r="I3698" s="14" t="e">
        <f>=Round(10.20770000,0)</f>
        <v>#VALUE!</v>
      </c>
      <c r="J3698" s="14" t="e">
        <f>=Round(0.00000000,0)</f>
        <v>#VALUE!</v>
      </c>
    </row>
    <row r="3699">
      <c r="A3699" s="11" t="s">
        <v>50</v>
      </c>
      <c r="B3699" s="12">
        <v>1361.6195</v>
      </c>
      <c r="C3699" s="12">
        <v>0</v>
      </c>
      <c r="D3699" s="13">
        <v>0</v>
      </c>
      <c r="E3699" s="12">
        <v>0</v>
      </c>
      <c r="F3699" s="14">
        <v>0</v>
      </c>
      <c r="G3699" s="13">
        <v>498.8713</v>
      </c>
      <c r="H3699" s="14">
        <v>679272.89007</v>
      </c>
      <c r="I3699" s="14" t="e">
        <f>=Round(10.20770000,0)</f>
        <v>#VALUE!</v>
      </c>
      <c r="J3699" s="14" t="e">
        <f>=Round(0.00000000,0)</f>
        <v>#VALUE!</v>
      </c>
    </row>
    <row r="3700">
      <c r="A3700" s="11" t="s">
        <v>51</v>
      </c>
      <c r="B3700" s="12">
        <v>1362.3425</v>
      </c>
      <c r="C3700" s="12">
        <v>0</v>
      </c>
      <c r="D3700" s="13">
        <v>0</v>
      </c>
      <c r="E3700" s="12">
        <v>0</v>
      </c>
      <c r="F3700" s="14">
        <v>0</v>
      </c>
      <c r="G3700" s="13">
        <v>498.8713</v>
      </c>
      <c r="H3700" s="14">
        <v>679633.57402</v>
      </c>
      <c r="I3700" s="14" t="e">
        <f>=Round(10.20770000,0)</f>
        <v>#VALUE!</v>
      </c>
      <c r="J3700" s="14" t="e">
        <f>=Round(0.00000000,0)</f>
        <v>#VALUE!</v>
      </c>
    </row>
    <row r="3701">
      <c r="A3701" s="11" t="s">
        <v>52</v>
      </c>
      <c r="B3701" s="12">
        <v>1362.5746</v>
      </c>
      <c r="C3701" s="12">
        <v>0</v>
      </c>
      <c r="D3701" s="13">
        <v>0</v>
      </c>
      <c r="E3701" s="12">
        <v>0</v>
      </c>
      <c r="F3701" s="14">
        <v>0</v>
      </c>
      <c r="G3701" s="13">
        <v>498.8713</v>
      </c>
      <c r="H3701" s="14">
        <v>679749.362049</v>
      </c>
      <c r="I3701" s="14" t="e">
        <f>=Round(10.21310000,0)</f>
        <v>#VALUE!</v>
      </c>
      <c r="J3701" s="14" t="e">
        <f>=Round(0.00000000,0)</f>
        <v>#VALUE!</v>
      </c>
    </row>
    <row r="3702">
      <c r="A3702" s="11" t="s">
        <v>53</v>
      </c>
      <c r="B3702" s="12">
        <v>1362.8067</v>
      </c>
      <c r="C3702" s="12">
        <v>0</v>
      </c>
      <c r="D3702" s="13">
        <v>0</v>
      </c>
      <c r="E3702" s="12">
        <v>0</v>
      </c>
      <c r="F3702" s="14">
        <v>0</v>
      </c>
      <c r="G3702" s="13">
        <v>498.8713</v>
      </c>
      <c r="H3702" s="14">
        <v>679865.150078</v>
      </c>
      <c r="I3702" s="14" t="e">
        <f>=Round(10.21480000,0)</f>
        <v>#VALUE!</v>
      </c>
      <c r="J3702" s="14" t="e">
        <f>=Round(0.00000000,0)</f>
        <v>#VALUE!</v>
      </c>
    </row>
    <row r="3703">
      <c r="A3703" s="11" t="s">
        <v>54</v>
      </c>
      <c r="B3703" s="12">
        <v>1363.0394</v>
      </c>
      <c r="C3703" s="12">
        <v>0</v>
      </c>
      <c r="D3703" s="13">
        <v>0</v>
      </c>
      <c r="E3703" s="12">
        <v>0</v>
      </c>
      <c r="F3703" s="14">
        <v>0</v>
      </c>
      <c r="G3703" s="13">
        <v>498.8713</v>
      </c>
      <c r="H3703" s="14">
        <v>679981.237429</v>
      </c>
      <c r="I3703" s="14" t="e">
        <f>=Round(10.21660000,0)</f>
        <v>#VALUE!</v>
      </c>
      <c r="J3703" s="14" t="e">
        <f>=Round(0.00000000,0)</f>
        <v>#VALUE!</v>
      </c>
    </row>
    <row r="3704">
      <c r="A3704" s="11" t="s">
        <v>55</v>
      </c>
      <c r="B3704" s="12">
        <v>1363.274</v>
      </c>
      <c r="C3704" s="12">
        <v>0</v>
      </c>
      <c r="D3704" s="13">
        <v>0</v>
      </c>
      <c r="E3704" s="12">
        <v>0</v>
      </c>
      <c r="F3704" s="14">
        <v>0</v>
      </c>
      <c r="G3704" s="13">
        <v>498.8713</v>
      </c>
      <c r="H3704" s="14">
        <v>680098.272636</v>
      </c>
      <c r="I3704" s="14" t="e">
        <f>=Round(10.21830000,0)</f>
        <v>#VALUE!</v>
      </c>
      <c r="J3704" s="14" t="e">
        <f>=Round(0.00000000,0)</f>
        <v>#VALUE!</v>
      </c>
    </row>
    <row r="3705" ht="-1">
      <c r="A3705" s="15"/>
      <c r="B3705" s="16" t="s">
        <v>56</v>
      </c>
      <c r="C3705" s="15"/>
      <c r="D3705" s="15"/>
      <c r="E3705" s="15"/>
      <c r="F3705" s="15"/>
      <c r="G3705" s="15"/>
      <c r="H3705" s="15"/>
      <c r="I3705" s="17" t="e">
        <f>=Round(SUM(I3679:I3704),0)</f>
        <v>#VALUE!</v>
      </c>
      <c r="J3705" s="17" t="e">
        <f>=Round(SUM(J3679:J3704),0)</f>
        <v>#VALUE!</v>
      </c>
    </row>
    <row r="3706">
      <c r="A3706" s="1" t="s">
        <v>0</v>
      </c>
      <c r="B3706" s="1"/>
      <c r="C3706" s="1"/>
      <c r="D3706" s="1"/>
    </row>
    <row r="3707">
      <c r="A3707" s="0" t="s">
        <v>1</v>
      </c>
      <c r="C3707" s="0" t="s">
        <v>144</v>
      </c>
      <c r="H3707" s="2" t="s">
        <v>3</v>
      </c>
    </row>
    <row r="3708">
      <c r="A3708" s="0" t="s">
        <v>4</v>
      </c>
      <c r="C3708" s="0" t="s">
        <v>93</v>
      </c>
      <c r="H3708" s="3" t="s">
        <v>6</v>
      </c>
    </row>
    <row r="3709">
      <c r="A3709" s="0" t="s">
        <v>7</v>
      </c>
      <c r="C3709" s="4" t="s">
        <v>146</v>
      </c>
      <c r="H3709" s="2" t="s">
        <v>9</v>
      </c>
    </row>
    <row r="3710">
      <c r="A3710" s="0" t="s">
        <v>10</v>
      </c>
      <c r="C3710" s="4" t="s">
        <v>11</v>
      </c>
      <c r="H3710" s="2" t="s">
        <v>12</v>
      </c>
    </row>
    <row r="3711">
      <c r="A3711" s="0" t="s">
        <v>13</v>
      </c>
      <c r="C3711" s="0" t="s">
        <v>14</v>
      </c>
    </row>
    <row r="3712">
      <c r="A3712" s="0" t="s">
        <v>15</v>
      </c>
      <c r="C3712" s="0" t="s">
        <v>16</v>
      </c>
    </row>
    <row r="3713">
      <c r="A3713" s="0" t="s">
        <v>17</v>
      </c>
      <c r="C3713" s="0" t="s">
        <v>18</v>
      </c>
    </row>
    <row r="3716">
      <c r="A3716" s="5" t="s">
        <v>19</v>
      </c>
      <c r="B3716" s="5" t="s">
        <v>20</v>
      </c>
      <c r="C3716" s="7" t="s">
        <v>21</v>
      </c>
      <c r="D3716" s="9"/>
      <c r="E3716" s="7" t="s">
        <v>22</v>
      </c>
      <c r="F3716" s="9"/>
      <c r="G3716" s="5" t="s">
        <v>23</v>
      </c>
      <c r="H3716" s="5" t="s">
        <v>24</v>
      </c>
      <c r="I3716" s="5" t="s">
        <v>147</v>
      </c>
      <c r="J3716" s="5" t="s">
        <v>26</v>
      </c>
    </row>
    <row r="3717">
      <c r="A3717" s="6"/>
      <c r="B3717" s="6"/>
      <c r="C3717" s="8" t="s">
        <v>27</v>
      </c>
      <c r="D3717" s="8" t="s">
        <v>28</v>
      </c>
      <c r="E3717" s="8" t="s">
        <v>27</v>
      </c>
      <c r="F3717" s="8" t="s">
        <v>28</v>
      </c>
      <c r="G3717" s="6"/>
      <c r="H3717" s="6"/>
      <c r="I3717" s="10" t="s">
        <v>29</v>
      </c>
      <c r="J3717" s="6"/>
    </row>
    <row r="3718">
      <c r="A3718" s="11" t="s">
        <v>30</v>
      </c>
      <c r="B3718" s="12">
        <v>1357.4104</v>
      </c>
      <c r="C3718" s="12">
        <v>0</v>
      </c>
      <c r="D3718" s="13">
        <v>0</v>
      </c>
      <c r="E3718" s="12">
        <v>0</v>
      </c>
      <c r="F3718" s="14">
        <v>0</v>
      </c>
      <c r="G3718" s="13">
        <v>68051.5581</v>
      </c>
      <c r="H3718" s="14">
        <v>92373892.701144</v>
      </c>
      <c r="I3718" s="14" t="e">
        <f>=Round(1387.42250000,0)</f>
        <v>#VALUE!</v>
      </c>
      <c r="J3718" s="14" t="e">
        <f>=Round(0.00000000,0)</f>
        <v>#VALUE!</v>
      </c>
    </row>
    <row r="3719">
      <c r="A3719" s="11" t="s">
        <v>31</v>
      </c>
      <c r="B3719" s="12">
        <v>1357.6428</v>
      </c>
      <c r="C3719" s="12">
        <v>0</v>
      </c>
      <c r="D3719" s="13">
        <v>0</v>
      </c>
      <c r="E3719" s="12">
        <v>0</v>
      </c>
      <c r="F3719" s="14">
        <v>0</v>
      </c>
      <c r="G3719" s="13">
        <v>68051.5581</v>
      </c>
      <c r="H3719" s="14">
        <v>92389707.883247</v>
      </c>
      <c r="I3719" s="14" t="e">
        <f>=Round(1388.13230000,0)</f>
        <v>#VALUE!</v>
      </c>
      <c r="J3719" s="14" t="e">
        <f>=Round(0.00000000,0)</f>
        <v>#VALUE!</v>
      </c>
    </row>
    <row r="3720">
      <c r="A3720" s="11" t="s">
        <v>32</v>
      </c>
      <c r="B3720" s="12">
        <v>1357.8735</v>
      </c>
      <c r="C3720" s="12">
        <v>0</v>
      </c>
      <c r="D3720" s="13">
        <v>0</v>
      </c>
      <c r="E3720" s="12">
        <v>0</v>
      </c>
      <c r="F3720" s="14">
        <v>0</v>
      </c>
      <c r="G3720" s="13">
        <v>68051.5581</v>
      </c>
      <c r="H3720" s="14">
        <v>92405407.3777</v>
      </c>
      <c r="I3720" s="14" t="e">
        <f>=Round(1388.36990000,0)</f>
        <v>#VALUE!</v>
      </c>
      <c r="J3720" s="14" t="e">
        <f>=Round(0.00000000,0)</f>
        <v>#VALUE!</v>
      </c>
    </row>
    <row r="3721">
      <c r="A3721" s="11" t="s">
        <v>33</v>
      </c>
      <c r="B3721" s="12">
        <v>1358.1079</v>
      </c>
      <c r="C3721" s="12">
        <v>0</v>
      </c>
      <c r="D3721" s="13">
        <v>0</v>
      </c>
      <c r="E3721" s="12">
        <v>0</v>
      </c>
      <c r="F3721" s="14">
        <v>0</v>
      </c>
      <c r="G3721" s="13">
        <v>68051.5581</v>
      </c>
      <c r="H3721" s="14">
        <v>92421358.662919</v>
      </c>
      <c r="I3721" s="14" t="e">
        <f>=Round(1388.60580000,0)</f>
        <v>#VALUE!</v>
      </c>
      <c r="J3721" s="14" t="e">
        <f>=Round(0.00000000,0)</f>
        <v>#VALUE!</v>
      </c>
    </row>
    <row r="3722">
      <c r="A3722" s="11" t="s">
        <v>34</v>
      </c>
      <c r="B3722" s="12">
        <v>1358.3402</v>
      </c>
      <c r="C3722" s="12">
        <v>0</v>
      </c>
      <c r="D3722" s="13">
        <v>0</v>
      </c>
      <c r="E3722" s="12">
        <v>0</v>
      </c>
      <c r="F3722" s="14">
        <v>0</v>
      </c>
      <c r="G3722" s="13">
        <v>68051.5581</v>
      </c>
      <c r="H3722" s="14">
        <v>92437167.039866</v>
      </c>
      <c r="I3722" s="14" t="e">
        <f>=Round(1388.84560000,0)</f>
        <v>#VALUE!</v>
      </c>
      <c r="J3722" s="14" t="e">
        <f>=Round(0.00000000,0)</f>
        <v>#VALUE!</v>
      </c>
    </row>
    <row r="3723">
      <c r="A3723" s="11" t="s">
        <v>35</v>
      </c>
      <c r="B3723" s="12">
        <v>1358.3402</v>
      </c>
      <c r="C3723" s="12">
        <v>0</v>
      </c>
      <c r="D3723" s="13">
        <v>0</v>
      </c>
      <c r="E3723" s="12">
        <v>0</v>
      </c>
      <c r="F3723" s="14">
        <v>0</v>
      </c>
      <c r="G3723" s="13">
        <v>68051.5581</v>
      </c>
      <c r="H3723" s="14">
        <v>92437167.039866</v>
      </c>
      <c r="I3723" s="14" t="e">
        <f>=Round(1389.08310000,0)</f>
        <v>#VALUE!</v>
      </c>
      <c r="J3723" s="14" t="e">
        <f>=Round(0.00000000,0)</f>
        <v>#VALUE!</v>
      </c>
    </row>
    <row r="3724">
      <c r="A3724" s="11" t="s">
        <v>36</v>
      </c>
      <c r="B3724" s="12">
        <v>1358.3402</v>
      </c>
      <c r="C3724" s="12">
        <v>0</v>
      </c>
      <c r="D3724" s="13">
        <v>0</v>
      </c>
      <c r="E3724" s="12">
        <v>0</v>
      </c>
      <c r="F3724" s="14">
        <v>0</v>
      </c>
      <c r="G3724" s="13">
        <v>68051.5581</v>
      </c>
      <c r="H3724" s="14">
        <v>92437167.039866</v>
      </c>
      <c r="I3724" s="14" t="e">
        <f>=Round(1389.08310000,0)</f>
        <v>#VALUE!</v>
      </c>
      <c r="J3724" s="14" t="e">
        <f>=Round(0.00000000,0)</f>
        <v>#VALUE!</v>
      </c>
    </row>
    <row r="3725">
      <c r="A3725" s="11" t="s">
        <v>37</v>
      </c>
      <c r="B3725" s="12">
        <v>1359.0395</v>
      </c>
      <c r="C3725" s="12">
        <v>0</v>
      </c>
      <c r="D3725" s="13">
        <v>0</v>
      </c>
      <c r="E3725" s="12">
        <v>0</v>
      </c>
      <c r="F3725" s="14">
        <v>0</v>
      </c>
      <c r="G3725" s="13">
        <v>68051.5581</v>
      </c>
      <c r="H3725" s="14">
        <v>92484755.494445</v>
      </c>
      <c r="I3725" s="14" t="e">
        <f>=Round(1389.08310000,0)</f>
        <v>#VALUE!</v>
      </c>
      <c r="J3725" s="14" t="e">
        <f>=Round(0.00000000,0)</f>
        <v>#VALUE!</v>
      </c>
    </row>
    <row r="3726">
      <c r="A3726" s="11" t="s">
        <v>38</v>
      </c>
      <c r="B3726" s="12">
        <v>1359.2726</v>
      </c>
      <c r="C3726" s="12">
        <v>0</v>
      </c>
      <c r="D3726" s="13">
        <v>0</v>
      </c>
      <c r="E3726" s="12">
        <v>0</v>
      </c>
      <c r="F3726" s="14">
        <v>0</v>
      </c>
      <c r="G3726" s="13">
        <v>68051.5581</v>
      </c>
      <c r="H3726" s="14">
        <v>92500618.312638</v>
      </c>
      <c r="I3726" s="14" t="e">
        <f>=Round(1389.79820000,0)</f>
        <v>#VALUE!</v>
      </c>
      <c r="J3726" s="14" t="e">
        <f>=Round(0.00000000,0)</f>
        <v>#VALUE!</v>
      </c>
    </row>
    <row r="3727">
      <c r="A3727" s="11" t="s">
        <v>39</v>
      </c>
      <c r="B3727" s="12">
        <v>1359.5048</v>
      </c>
      <c r="C3727" s="12">
        <v>0</v>
      </c>
      <c r="D3727" s="13">
        <v>0</v>
      </c>
      <c r="E3727" s="12">
        <v>0</v>
      </c>
      <c r="F3727" s="14">
        <v>0</v>
      </c>
      <c r="G3727" s="13">
        <v>68051.5581</v>
      </c>
      <c r="H3727" s="14">
        <v>92516419.884429</v>
      </c>
      <c r="I3727" s="14" t="e">
        <f>=Round(1390.03660000,0)</f>
        <v>#VALUE!</v>
      </c>
      <c r="J3727" s="14" t="e">
        <f>=Round(0.00000000,0)</f>
        <v>#VALUE!</v>
      </c>
    </row>
    <row r="3728">
      <c r="A3728" s="11" t="s">
        <v>40</v>
      </c>
      <c r="B3728" s="12">
        <v>1359.7365</v>
      </c>
      <c r="C3728" s="12">
        <v>0</v>
      </c>
      <c r="D3728" s="13">
        <v>0</v>
      </c>
      <c r="E3728" s="12">
        <v>0</v>
      </c>
      <c r="F3728" s="14">
        <v>0</v>
      </c>
      <c r="G3728" s="13">
        <v>68051.5581</v>
      </c>
      <c r="H3728" s="14">
        <v>92532187.430441</v>
      </c>
      <c r="I3728" s="14" t="e">
        <f>=Round(1390.27410000,0)</f>
        <v>#VALUE!</v>
      </c>
      <c r="J3728" s="14" t="e">
        <f>=Round(0.00000000,0)</f>
        <v>#VALUE!</v>
      </c>
    </row>
    <row r="3729">
      <c r="A3729" s="11" t="s">
        <v>41</v>
      </c>
      <c r="B3729" s="12">
        <v>1359.979</v>
      </c>
      <c r="C3729" s="12">
        <v>0</v>
      </c>
      <c r="D3729" s="13">
        <v>0</v>
      </c>
      <c r="E3729" s="12">
        <v>0</v>
      </c>
      <c r="F3729" s="14">
        <v>0</v>
      </c>
      <c r="G3729" s="13">
        <v>68051.5581</v>
      </c>
      <c r="H3729" s="14">
        <v>92548689.93328</v>
      </c>
      <c r="I3729" s="14" t="e">
        <f>=Round(1390.51100000,0)</f>
        <v>#VALUE!</v>
      </c>
      <c r="J3729" s="14" t="e">
        <f>=Round(0.00000000,0)</f>
        <v>#VALUE!</v>
      </c>
    </row>
    <row r="3730">
      <c r="A3730" s="11" t="s">
        <v>42</v>
      </c>
      <c r="B3730" s="12">
        <v>1359.979</v>
      </c>
      <c r="C3730" s="12">
        <v>0</v>
      </c>
      <c r="D3730" s="13">
        <v>0</v>
      </c>
      <c r="E3730" s="12">
        <v>0</v>
      </c>
      <c r="F3730" s="14">
        <v>0</v>
      </c>
      <c r="G3730" s="13">
        <v>68051.5581</v>
      </c>
      <c r="H3730" s="14">
        <v>92548689.93328</v>
      </c>
      <c r="I3730" s="14" t="e">
        <f>=Round(1390.75900000,0)</f>
        <v>#VALUE!</v>
      </c>
      <c r="J3730" s="14" t="e">
        <f>=Round(0.00000000,0)</f>
        <v>#VALUE!</v>
      </c>
    </row>
    <row r="3731">
      <c r="A3731" s="11" t="s">
        <v>43</v>
      </c>
      <c r="B3731" s="12">
        <v>1359.979</v>
      </c>
      <c r="C3731" s="12">
        <v>0</v>
      </c>
      <c r="D3731" s="13">
        <v>0</v>
      </c>
      <c r="E3731" s="12">
        <v>0</v>
      </c>
      <c r="F3731" s="14">
        <v>0</v>
      </c>
      <c r="G3731" s="13">
        <v>68051.5581</v>
      </c>
      <c r="H3731" s="14">
        <v>92548689.93328</v>
      </c>
      <c r="I3731" s="14" t="e">
        <f>=Round(1390.75900000,0)</f>
        <v>#VALUE!</v>
      </c>
      <c r="J3731" s="14" t="e">
        <f>=Round(0.00000000,0)</f>
        <v>#VALUE!</v>
      </c>
    </row>
    <row r="3732">
      <c r="A3732" s="11" t="s">
        <v>44</v>
      </c>
      <c r="B3732" s="12">
        <v>1360.6758</v>
      </c>
      <c r="C3732" s="12">
        <v>0</v>
      </c>
      <c r="D3732" s="13">
        <v>0</v>
      </c>
      <c r="E3732" s="12">
        <v>0</v>
      </c>
      <c r="F3732" s="14">
        <v>0</v>
      </c>
      <c r="G3732" s="13">
        <v>68051.5581</v>
      </c>
      <c r="H3732" s="14">
        <v>92596108.258964</v>
      </c>
      <c r="I3732" s="14" t="e">
        <f>=Round(1390.75900000,0)</f>
        <v>#VALUE!</v>
      </c>
      <c r="J3732" s="14" t="e">
        <f>=Round(0.00000000,0)</f>
        <v>#VALUE!</v>
      </c>
    </row>
    <row r="3733">
      <c r="A3733" s="11" t="s">
        <v>45</v>
      </c>
      <c r="B3733" s="12">
        <v>1360.9062</v>
      </c>
      <c r="C3733" s="12">
        <v>0</v>
      </c>
      <c r="D3733" s="13">
        <v>0</v>
      </c>
      <c r="E3733" s="12">
        <v>0</v>
      </c>
      <c r="F3733" s="14">
        <v>0</v>
      </c>
      <c r="G3733" s="13">
        <v>68051.5581</v>
      </c>
      <c r="H3733" s="14">
        <v>92611787.33795</v>
      </c>
      <c r="I3733" s="14" t="e">
        <f>=Round(1391.47160000,0)</f>
        <v>#VALUE!</v>
      </c>
      <c r="J3733" s="14" t="e">
        <f>=Round(0.00000000,0)</f>
        <v>#VALUE!</v>
      </c>
    </row>
    <row r="3734">
      <c r="A3734" s="11" t="s">
        <v>46</v>
      </c>
      <c r="B3734" s="12">
        <v>1361.137</v>
      </c>
      <c r="C3734" s="12">
        <v>0</v>
      </c>
      <c r="D3734" s="13">
        <v>0</v>
      </c>
      <c r="E3734" s="12">
        <v>0</v>
      </c>
      <c r="F3734" s="14">
        <v>0</v>
      </c>
      <c r="G3734" s="13">
        <v>68051.5581</v>
      </c>
      <c r="H3734" s="14">
        <v>92627493.63756</v>
      </c>
      <c r="I3734" s="14" t="e">
        <f>=Round(1391.70720000,0)</f>
        <v>#VALUE!</v>
      </c>
      <c r="J3734" s="14" t="e">
        <f>=Round(0.00000000,0)</f>
        <v>#VALUE!</v>
      </c>
    </row>
    <row r="3735">
      <c r="A3735" s="11" t="s">
        <v>47</v>
      </c>
      <c r="B3735" s="12">
        <v>1361.367</v>
      </c>
      <c r="C3735" s="12">
        <v>0</v>
      </c>
      <c r="D3735" s="13">
        <v>0</v>
      </c>
      <c r="E3735" s="12">
        <v>0</v>
      </c>
      <c r="F3735" s="14">
        <v>0</v>
      </c>
      <c r="G3735" s="13">
        <v>68051.5581</v>
      </c>
      <c r="H3735" s="14">
        <v>92643145.495923</v>
      </c>
      <c r="I3735" s="14" t="e">
        <f>=Round(1391.94320000,0)</f>
        <v>#VALUE!</v>
      </c>
      <c r="J3735" s="14" t="e">
        <f>=Round(0.00000000,0)</f>
        <v>#VALUE!</v>
      </c>
    </row>
    <row r="3736">
      <c r="A3736" s="11" t="s">
        <v>48</v>
      </c>
      <c r="B3736" s="12">
        <v>1361.6195</v>
      </c>
      <c r="C3736" s="12">
        <v>0</v>
      </c>
      <c r="D3736" s="13">
        <v>0</v>
      </c>
      <c r="E3736" s="12">
        <v>0</v>
      </c>
      <c r="F3736" s="14">
        <v>0</v>
      </c>
      <c r="G3736" s="13">
        <v>68051.5581</v>
      </c>
      <c r="H3736" s="14">
        <v>92660328.514343</v>
      </c>
      <c r="I3736" s="14" t="e">
        <f>=Round(1392.17840000,0)</f>
        <v>#VALUE!</v>
      </c>
      <c r="J3736" s="14" t="e">
        <f>=Round(0.00000000,0)</f>
        <v>#VALUE!</v>
      </c>
    </row>
    <row r="3737">
      <c r="A3737" s="11" t="s">
        <v>49</v>
      </c>
      <c r="B3737" s="12">
        <v>1361.6195</v>
      </c>
      <c r="C3737" s="12">
        <v>0</v>
      </c>
      <c r="D3737" s="13">
        <v>0</v>
      </c>
      <c r="E3737" s="12">
        <v>0</v>
      </c>
      <c r="F3737" s="14">
        <v>0</v>
      </c>
      <c r="G3737" s="13">
        <v>68051.5581</v>
      </c>
      <c r="H3737" s="14">
        <v>92660328.514343</v>
      </c>
      <c r="I3737" s="14" t="e">
        <f>=Round(1392.43660000,0)</f>
        <v>#VALUE!</v>
      </c>
      <c r="J3737" s="14" t="e">
        <f>=Round(0.00000000,0)</f>
        <v>#VALUE!</v>
      </c>
    </row>
    <row r="3738">
      <c r="A3738" s="11" t="s">
        <v>50</v>
      </c>
      <c r="B3738" s="12">
        <v>1361.6195</v>
      </c>
      <c r="C3738" s="12">
        <v>0</v>
      </c>
      <c r="D3738" s="13">
        <v>0</v>
      </c>
      <c r="E3738" s="12">
        <v>0</v>
      </c>
      <c r="F3738" s="14">
        <v>0</v>
      </c>
      <c r="G3738" s="13">
        <v>68051.5581</v>
      </c>
      <c r="H3738" s="14">
        <v>92660328.514343</v>
      </c>
      <c r="I3738" s="14" t="e">
        <f>=Round(1392.43660000,0)</f>
        <v>#VALUE!</v>
      </c>
      <c r="J3738" s="14" t="e">
        <f>=Round(0.00000000,0)</f>
        <v>#VALUE!</v>
      </c>
    </row>
    <row r="3739">
      <c r="A3739" s="11" t="s">
        <v>51</v>
      </c>
      <c r="B3739" s="12">
        <v>1362.3425</v>
      </c>
      <c r="C3739" s="12">
        <v>0</v>
      </c>
      <c r="D3739" s="13">
        <v>0</v>
      </c>
      <c r="E3739" s="12">
        <v>0</v>
      </c>
      <c r="F3739" s="14">
        <v>0</v>
      </c>
      <c r="G3739" s="13">
        <v>68051.5581</v>
      </c>
      <c r="H3739" s="14">
        <v>92709529.790849</v>
      </c>
      <c r="I3739" s="14" t="e">
        <f>=Round(1392.43660000,0)</f>
        <v>#VALUE!</v>
      </c>
      <c r="J3739" s="14" t="e">
        <f>=Round(0.00000000,0)</f>
        <v>#VALUE!</v>
      </c>
    </row>
    <row r="3740">
      <c r="A3740" s="11" t="s">
        <v>52</v>
      </c>
      <c r="B3740" s="12">
        <v>1362.5746</v>
      </c>
      <c r="C3740" s="12">
        <v>0</v>
      </c>
      <c r="D3740" s="13">
        <v>0</v>
      </c>
      <c r="E3740" s="12">
        <v>0</v>
      </c>
      <c r="F3740" s="14">
        <v>0</v>
      </c>
      <c r="G3740" s="13">
        <v>68051.5581</v>
      </c>
      <c r="H3740" s="14">
        <v>92725324.557484</v>
      </c>
      <c r="I3740" s="14" t="e">
        <f>=Round(1393.17600000,0)</f>
        <v>#VALUE!</v>
      </c>
      <c r="J3740" s="14" t="e">
        <f>=Round(0.00000000,0)</f>
        <v>#VALUE!</v>
      </c>
    </row>
    <row r="3741">
      <c r="A3741" s="11" t="s">
        <v>53</v>
      </c>
      <c r="B3741" s="12">
        <v>1362.8067</v>
      </c>
      <c r="C3741" s="12">
        <v>0</v>
      </c>
      <c r="D3741" s="13">
        <v>0</v>
      </c>
      <c r="E3741" s="12">
        <v>0</v>
      </c>
      <c r="F3741" s="14">
        <v>0</v>
      </c>
      <c r="G3741" s="13">
        <v>68051.5581</v>
      </c>
      <c r="H3741" s="14">
        <v>92741119.324119</v>
      </c>
      <c r="I3741" s="14" t="e">
        <f>=Round(1393.41330000,0)</f>
        <v>#VALUE!</v>
      </c>
      <c r="J3741" s="14" t="e">
        <f>=Round(0.00000000,0)</f>
        <v>#VALUE!</v>
      </c>
    </row>
    <row r="3742">
      <c r="A3742" s="11" t="s">
        <v>54</v>
      </c>
      <c r="B3742" s="12">
        <v>1363.0394</v>
      </c>
      <c r="C3742" s="12">
        <v>0</v>
      </c>
      <c r="D3742" s="13">
        <v>0</v>
      </c>
      <c r="E3742" s="12">
        <v>0</v>
      </c>
      <c r="F3742" s="14">
        <v>0</v>
      </c>
      <c r="G3742" s="13">
        <v>68051.5581</v>
      </c>
      <c r="H3742" s="14">
        <v>92756954.921689</v>
      </c>
      <c r="I3742" s="14" t="e">
        <f>=Round(1393.65070000,0)</f>
        <v>#VALUE!</v>
      </c>
      <c r="J3742" s="14" t="e">
        <f>=Round(0.00000000,0)</f>
        <v>#VALUE!</v>
      </c>
    </row>
    <row r="3743">
      <c r="A3743" s="11" t="s">
        <v>55</v>
      </c>
      <c r="B3743" s="12">
        <v>1363.274</v>
      </c>
      <c r="C3743" s="12">
        <v>0</v>
      </c>
      <c r="D3743" s="13">
        <v>0</v>
      </c>
      <c r="E3743" s="12">
        <v>0</v>
      </c>
      <c r="F3743" s="14">
        <v>0</v>
      </c>
      <c r="G3743" s="13">
        <v>68051.5581</v>
      </c>
      <c r="H3743" s="14">
        <v>92772919.817219</v>
      </c>
      <c r="I3743" s="14" t="e">
        <f>=Round(1393.88870000,0)</f>
        <v>#VALUE!</v>
      </c>
      <c r="J3743" s="14" t="e">
        <f>=Round(0.00000000,0)</f>
        <v>#VALUE!</v>
      </c>
    </row>
    <row r="3744" ht="-1">
      <c r="A3744" s="15"/>
      <c r="B3744" s="16" t="s">
        <v>56</v>
      </c>
      <c r="C3744" s="15"/>
      <c r="D3744" s="15"/>
      <c r="E3744" s="15"/>
      <c r="F3744" s="15"/>
      <c r="G3744" s="15"/>
      <c r="H3744" s="15"/>
      <c r="I3744" s="17" t="e">
        <f>=Round(SUM(I3718:I3743),0)</f>
        <v>#VALUE!</v>
      </c>
      <c r="J3744" s="17" t="e">
        <f>=Round(SUM(J3718:J3743),0)</f>
        <v>#VALUE!</v>
      </c>
    </row>
    <row r="3745">
      <c r="A3745" s="1" t="s">
        <v>0</v>
      </c>
      <c r="B3745" s="1"/>
      <c r="C3745" s="1"/>
      <c r="D3745" s="1"/>
    </row>
    <row r="3746">
      <c r="A3746" s="0" t="s">
        <v>1</v>
      </c>
      <c r="C3746" s="0" t="s">
        <v>144</v>
      </c>
      <c r="H3746" s="2" t="s">
        <v>3</v>
      </c>
    </row>
    <row r="3747">
      <c r="A3747" s="0" t="s">
        <v>4</v>
      </c>
      <c r="C3747" s="0" t="s">
        <v>154</v>
      </c>
      <c r="H3747" s="3" t="s">
        <v>6</v>
      </c>
    </row>
    <row r="3748">
      <c r="A3748" s="0" t="s">
        <v>7</v>
      </c>
      <c r="C3748" s="4" t="s">
        <v>146</v>
      </c>
      <c r="H3748" s="2" t="s">
        <v>9</v>
      </c>
    </row>
    <row r="3749">
      <c r="A3749" s="0" t="s">
        <v>10</v>
      </c>
      <c r="C3749" s="4" t="s">
        <v>11</v>
      </c>
      <c r="H3749" s="2" t="s">
        <v>12</v>
      </c>
    </row>
    <row r="3750">
      <c r="A3750" s="0" t="s">
        <v>13</v>
      </c>
      <c r="C3750" s="0" t="s">
        <v>14</v>
      </c>
    </row>
    <row r="3751">
      <c r="A3751" s="0" t="s">
        <v>15</v>
      </c>
      <c r="C3751" s="0" t="s">
        <v>16</v>
      </c>
    </row>
    <row r="3752">
      <c r="A3752" s="0" t="s">
        <v>17</v>
      </c>
      <c r="C3752" s="0" t="s">
        <v>18</v>
      </c>
    </row>
    <row r="3755">
      <c r="A3755" s="5" t="s">
        <v>19</v>
      </c>
      <c r="B3755" s="5" t="s">
        <v>20</v>
      </c>
      <c r="C3755" s="7" t="s">
        <v>21</v>
      </c>
      <c r="D3755" s="9"/>
      <c r="E3755" s="7" t="s">
        <v>22</v>
      </c>
      <c r="F3755" s="9"/>
      <c r="G3755" s="5" t="s">
        <v>23</v>
      </c>
      <c r="H3755" s="5" t="s">
        <v>24</v>
      </c>
      <c r="I3755" s="5" t="s">
        <v>147</v>
      </c>
      <c r="J3755" s="5" t="s">
        <v>26</v>
      </c>
    </row>
    <row r="3756">
      <c r="A3756" s="6"/>
      <c r="B3756" s="6"/>
      <c r="C3756" s="8" t="s">
        <v>27</v>
      </c>
      <c r="D3756" s="8" t="s">
        <v>28</v>
      </c>
      <c r="E3756" s="8" t="s">
        <v>27</v>
      </c>
      <c r="F3756" s="8" t="s">
        <v>28</v>
      </c>
      <c r="G3756" s="6"/>
      <c r="H3756" s="6"/>
      <c r="I3756" s="10" t="s">
        <v>29</v>
      </c>
      <c r="J3756" s="6"/>
    </row>
    <row r="3757">
      <c r="A3757" s="11" t="s">
        <v>30</v>
      </c>
      <c r="B3757" s="12">
        <v>1357.4104</v>
      </c>
      <c r="C3757" s="12">
        <v>0</v>
      </c>
      <c r="D3757" s="13">
        <v>0</v>
      </c>
      <c r="E3757" s="12">
        <v>0</v>
      </c>
      <c r="F3757" s="14">
        <v>0</v>
      </c>
      <c r="G3757" s="13">
        <v>11444.4117</v>
      </c>
      <c r="H3757" s="14">
        <v>15534763.463462</v>
      </c>
      <c r="I3757" s="14" t="e">
        <f>=Round(233.32650000,0)</f>
        <v>#VALUE!</v>
      </c>
      <c r="J3757" s="14" t="e">
        <f>=Round(0.00000000,0)</f>
        <v>#VALUE!</v>
      </c>
    </row>
    <row r="3758">
      <c r="A3758" s="11" t="s">
        <v>31</v>
      </c>
      <c r="B3758" s="12">
        <v>1357.6428</v>
      </c>
      <c r="C3758" s="12">
        <v>0</v>
      </c>
      <c r="D3758" s="13">
        <v>0</v>
      </c>
      <c r="E3758" s="12">
        <v>0</v>
      </c>
      <c r="F3758" s="14">
        <v>0</v>
      </c>
      <c r="G3758" s="13">
        <v>11444.4117</v>
      </c>
      <c r="H3758" s="14">
        <v>15537423.144741</v>
      </c>
      <c r="I3758" s="14" t="e">
        <f>=Round(233.44590000,0)</f>
        <v>#VALUE!</v>
      </c>
      <c r="J3758" s="14" t="e">
        <f>=Round(0.00000000,0)</f>
        <v>#VALUE!</v>
      </c>
    </row>
    <row r="3759">
      <c r="A3759" s="11" t="s">
        <v>32</v>
      </c>
      <c r="B3759" s="12">
        <v>1357.8735</v>
      </c>
      <c r="C3759" s="12">
        <v>0</v>
      </c>
      <c r="D3759" s="13">
        <v>0</v>
      </c>
      <c r="E3759" s="12">
        <v>0</v>
      </c>
      <c r="F3759" s="14">
        <v>0</v>
      </c>
      <c r="G3759" s="13">
        <v>11444.4117</v>
      </c>
      <c r="H3759" s="14">
        <v>15540063.37052</v>
      </c>
      <c r="I3759" s="14" t="e">
        <f>=Round(233.48590000,0)</f>
        <v>#VALUE!</v>
      </c>
      <c r="J3759" s="14" t="e">
        <f>=Round(0.00000000,0)</f>
        <v>#VALUE!</v>
      </c>
    </row>
    <row r="3760">
      <c r="A3760" s="11" t="s">
        <v>33</v>
      </c>
      <c r="B3760" s="12">
        <v>1358.1079</v>
      </c>
      <c r="C3760" s="12">
        <v>0</v>
      </c>
      <c r="D3760" s="13">
        <v>0</v>
      </c>
      <c r="E3760" s="12">
        <v>0</v>
      </c>
      <c r="F3760" s="14">
        <v>0</v>
      </c>
      <c r="G3760" s="13">
        <v>11444.4117</v>
      </c>
      <c r="H3760" s="14">
        <v>15542745.940622</v>
      </c>
      <c r="I3760" s="14" t="e">
        <f>=Round(233.52550000,0)</f>
        <v>#VALUE!</v>
      </c>
      <c r="J3760" s="14" t="e">
        <f>=Round(0.00000000,0)</f>
        <v>#VALUE!</v>
      </c>
    </row>
    <row r="3761">
      <c r="A3761" s="11" t="s">
        <v>34</v>
      </c>
      <c r="B3761" s="12">
        <v>1358.3402</v>
      </c>
      <c r="C3761" s="12">
        <v>0</v>
      </c>
      <c r="D3761" s="13">
        <v>0</v>
      </c>
      <c r="E3761" s="12">
        <v>0</v>
      </c>
      <c r="F3761" s="14">
        <v>0</v>
      </c>
      <c r="G3761" s="13">
        <v>11444.4117</v>
      </c>
      <c r="H3761" s="14">
        <v>15545404.47746</v>
      </c>
      <c r="I3761" s="14" t="e">
        <f>=Round(233.56590000,0)</f>
        <v>#VALUE!</v>
      </c>
      <c r="J3761" s="14" t="e">
        <f>=Round(0.00000000,0)</f>
        <v>#VALUE!</v>
      </c>
    </row>
    <row r="3762">
      <c r="A3762" s="11" t="s">
        <v>35</v>
      </c>
      <c r="B3762" s="12">
        <v>1358.3402</v>
      </c>
      <c r="C3762" s="12">
        <v>0</v>
      </c>
      <c r="D3762" s="13">
        <v>0</v>
      </c>
      <c r="E3762" s="12">
        <v>0</v>
      </c>
      <c r="F3762" s="14">
        <v>0</v>
      </c>
      <c r="G3762" s="13">
        <v>11444.4117</v>
      </c>
      <c r="H3762" s="14">
        <v>15545404.47746</v>
      </c>
      <c r="I3762" s="14" t="e">
        <f>=Round(233.60580000,0)</f>
        <v>#VALUE!</v>
      </c>
      <c r="J3762" s="14" t="e">
        <f>=Round(0.00000000,0)</f>
        <v>#VALUE!</v>
      </c>
    </row>
    <row r="3763">
      <c r="A3763" s="11" t="s">
        <v>36</v>
      </c>
      <c r="B3763" s="12">
        <v>1358.3402</v>
      </c>
      <c r="C3763" s="12">
        <v>0</v>
      </c>
      <c r="D3763" s="13">
        <v>0</v>
      </c>
      <c r="E3763" s="12">
        <v>0</v>
      </c>
      <c r="F3763" s="14">
        <v>0</v>
      </c>
      <c r="G3763" s="13">
        <v>11444.4117</v>
      </c>
      <c r="H3763" s="14">
        <v>15545404.47746</v>
      </c>
      <c r="I3763" s="14" t="e">
        <f>=Round(233.60580000,0)</f>
        <v>#VALUE!</v>
      </c>
      <c r="J3763" s="14" t="e">
        <f>=Round(0.00000000,0)</f>
        <v>#VALUE!</v>
      </c>
    </row>
    <row r="3764">
      <c r="A3764" s="11" t="s">
        <v>37</v>
      </c>
      <c r="B3764" s="12">
        <v>1359.0395</v>
      </c>
      <c r="C3764" s="12">
        <v>0</v>
      </c>
      <c r="D3764" s="13">
        <v>0</v>
      </c>
      <c r="E3764" s="12">
        <v>0</v>
      </c>
      <c r="F3764" s="14">
        <v>0</v>
      </c>
      <c r="G3764" s="13">
        <v>11444.4117</v>
      </c>
      <c r="H3764" s="14">
        <v>15553407.554562</v>
      </c>
      <c r="I3764" s="14" t="e">
        <f>=Round(233.60580000,0)</f>
        <v>#VALUE!</v>
      </c>
      <c r="J3764" s="14" t="e">
        <f>=Round(0.00000000,0)</f>
        <v>#VALUE!</v>
      </c>
    </row>
    <row r="3765">
      <c r="A3765" s="11" t="s">
        <v>38</v>
      </c>
      <c r="B3765" s="12">
        <v>1359.2726</v>
      </c>
      <c r="C3765" s="12">
        <v>0</v>
      </c>
      <c r="D3765" s="13">
        <v>0</v>
      </c>
      <c r="E3765" s="12">
        <v>0</v>
      </c>
      <c r="F3765" s="14">
        <v>0</v>
      </c>
      <c r="G3765" s="13">
        <v>11444.4117</v>
      </c>
      <c r="H3765" s="14">
        <v>15556075.246929</v>
      </c>
      <c r="I3765" s="14" t="e">
        <f>=Round(233.72610000,0)</f>
        <v>#VALUE!</v>
      </c>
      <c r="J3765" s="14" t="e">
        <f>=Round(0.00000000,0)</f>
        <v>#VALUE!</v>
      </c>
    </row>
    <row r="3766">
      <c r="A3766" s="11" t="s">
        <v>39</v>
      </c>
      <c r="B3766" s="12">
        <v>1359.5048</v>
      </c>
      <c r="C3766" s="12">
        <v>0</v>
      </c>
      <c r="D3766" s="13">
        <v>0</v>
      </c>
      <c r="E3766" s="12">
        <v>0</v>
      </c>
      <c r="F3766" s="14">
        <v>0</v>
      </c>
      <c r="G3766" s="13">
        <v>11444.4117</v>
      </c>
      <c r="H3766" s="14">
        <v>15558732.639326</v>
      </c>
      <c r="I3766" s="14" t="e">
        <f>=Round(233.76620000,0)</f>
        <v>#VALUE!</v>
      </c>
      <c r="J3766" s="14" t="e">
        <f>=Round(0.00000000,0)</f>
        <v>#VALUE!</v>
      </c>
    </row>
    <row r="3767">
      <c r="A3767" s="11" t="s">
        <v>40</v>
      </c>
      <c r="B3767" s="12">
        <v>1359.7365</v>
      </c>
      <c r="C3767" s="12">
        <v>0</v>
      </c>
      <c r="D3767" s="13">
        <v>0</v>
      </c>
      <c r="E3767" s="12">
        <v>0</v>
      </c>
      <c r="F3767" s="14">
        <v>0</v>
      </c>
      <c r="G3767" s="13">
        <v>11444.4117</v>
      </c>
      <c r="H3767" s="14">
        <v>15561384.309517</v>
      </c>
      <c r="I3767" s="14" t="e">
        <f>=Round(233.80610000,0)</f>
        <v>#VALUE!</v>
      </c>
      <c r="J3767" s="14" t="e">
        <f>=Round(0.00000000,0)</f>
        <v>#VALUE!</v>
      </c>
    </row>
    <row r="3768">
      <c r="A3768" s="11" t="s">
        <v>41</v>
      </c>
      <c r="B3768" s="12">
        <v>1359.979</v>
      </c>
      <c r="C3768" s="12">
        <v>0</v>
      </c>
      <c r="D3768" s="13">
        <v>0</v>
      </c>
      <c r="E3768" s="12">
        <v>0</v>
      </c>
      <c r="F3768" s="14">
        <v>0</v>
      </c>
      <c r="G3768" s="13">
        <v>11444.4117</v>
      </c>
      <c r="H3768" s="14">
        <v>15564159.579354</v>
      </c>
      <c r="I3768" s="14" t="e">
        <f>=Round(233.84590000,0)</f>
        <v>#VALUE!</v>
      </c>
      <c r="J3768" s="14" t="e">
        <f>=Round(0.00000000,0)</f>
        <v>#VALUE!</v>
      </c>
    </row>
    <row r="3769">
      <c r="A3769" s="11" t="s">
        <v>42</v>
      </c>
      <c r="B3769" s="12">
        <v>1359.979</v>
      </c>
      <c r="C3769" s="12">
        <v>0</v>
      </c>
      <c r="D3769" s="13">
        <v>0</v>
      </c>
      <c r="E3769" s="12">
        <v>0</v>
      </c>
      <c r="F3769" s="14">
        <v>0</v>
      </c>
      <c r="G3769" s="13">
        <v>11444.4117</v>
      </c>
      <c r="H3769" s="14">
        <v>15564159.579354</v>
      </c>
      <c r="I3769" s="14" t="e">
        <f>=Round(233.88760000,0)</f>
        <v>#VALUE!</v>
      </c>
      <c r="J3769" s="14" t="e">
        <f>=Round(0.00000000,0)</f>
        <v>#VALUE!</v>
      </c>
    </row>
    <row r="3770">
      <c r="A3770" s="11" t="s">
        <v>43</v>
      </c>
      <c r="B3770" s="12">
        <v>1359.979</v>
      </c>
      <c r="C3770" s="12">
        <v>0</v>
      </c>
      <c r="D3770" s="13">
        <v>0</v>
      </c>
      <c r="E3770" s="12">
        <v>0</v>
      </c>
      <c r="F3770" s="14">
        <v>0</v>
      </c>
      <c r="G3770" s="13">
        <v>11444.4117</v>
      </c>
      <c r="H3770" s="14">
        <v>15564159.579354</v>
      </c>
      <c r="I3770" s="14" t="e">
        <f>=Round(233.88760000,0)</f>
        <v>#VALUE!</v>
      </c>
      <c r="J3770" s="14" t="e">
        <f>=Round(0.00000000,0)</f>
        <v>#VALUE!</v>
      </c>
    </row>
    <row r="3771">
      <c r="A3771" s="11" t="s">
        <v>44</v>
      </c>
      <c r="B3771" s="12">
        <v>1360.6758</v>
      </c>
      <c r="C3771" s="12">
        <v>0</v>
      </c>
      <c r="D3771" s="13">
        <v>0</v>
      </c>
      <c r="E3771" s="12">
        <v>0</v>
      </c>
      <c r="F3771" s="14">
        <v>0</v>
      </c>
      <c r="G3771" s="13">
        <v>11444.4117</v>
      </c>
      <c r="H3771" s="14">
        <v>15572134.045427</v>
      </c>
      <c r="I3771" s="14" t="e">
        <f>=Round(233.88760000,0)</f>
        <v>#VALUE!</v>
      </c>
      <c r="J3771" s="14" t="e">
        <f>=Round(0.00000000,0)</f>
        <v>#VALUE!</v>
      </c>
    </row>
    <row r="3772">
      <c r="A3772" s="11" t="s">
        <v>45</v>
      </c>
      <c r="B3772" s="12">
        <v>1360.9062</v>
      </c>
      <c r="C3772" s="12">
        <v>0</v>
      </c>
      <c r="D3772" s="13">
        <v>0</v>
      </c>
      <c r="E3772" s="12">
        <v>0</v>
      </c>
      <c r="F3772" s="14">
        <v>0</v>
      </c>
      <c r="G3772" s="13">
        <v>11444.4117</v>
      </c>
      <c r="H3772" s="14">
        <v>15574770.837883</v>
      </c>
      <c r="I3772" s="14" t="e">
        <f>=Round(234.00750000,0)</f>
        <v>#VALUE!</v>
      </c>
      <c r="J3772" s="14" t="e">
        <f>=Round(0.00000000,0)</f>
        <v>#VALUE!</v>
      </c>
    </row>
    <row r="3773">
      <c r="A3773" s="11" t="s">
        <v>46</v>
      </c>
      <c r="B3773" s="12">
        <v>1361.137</v>
      </c>
      <c r="C3773" s="12">
        <v>0</v>
      </c>
      <c r="D3773" s="13">
        <v>0</v>
      </c>
      <c r="E3773" s="12">
        <v>0</v>
      </c>
      <c r="F3773" s="14">
        <v>0</v>
      </c>
      <c r="G3773" s="13">
        <v>11444.4117</v>
      </c>
      <c r="H3773" s="14">
        <v>15577412.208103</v>
      </c>
      <c r="I3773" s="14" t="e">
        <f>=Round(234.04710000,0)</f>
        <v>#VALUE!</v>
      </c>
      <c r="J3773" s="14" t="e">
        <f>=Round(0.00000000,0)</f>
        <v>#VALUE!</v>
      </c>
    </row>
    <row r="3774">
      <c r="A3774" s="11" t="s">
        <v>47</v>
      </c>
      <c r="B3774" s="12">
        <v>1361.367</v>
      </c>
      <c r="C3774" s="12">
        <v>0</v>
      </c>
      <c r="D3774" s="13">
        <v>0</v>
      </c>
      <c r="E3774" s="12">
        <v>0</v>
      </c>
      <c r="F3774" s="14">
        <v>0</v>
      </c>
      <c r="G3774" s="13">
        <v>11444.4117</v>
      </c>
      <c r="H3774" s="14">
        <v>15580044.422794</v>
      </c>
      <c r="I3774" s="14" t="e">
        <f>=Round(234.08680000,0)</f>
        <v>#VALUE!</v>
      </c>
      <c r="J3774" s="14" t="e">
        <f>=Round(0.00000000,0)</f>
        <v>#VALUE!</v>
      </c>
    </row>
    <row r="3775">
      <c r="A3775" s="11" t="s">
        <v>48</v>
      </c>
      <c r="B3775" s="12">
        <v>1361.6195</v>
      </c>
      <c r="C3775" s="12">
        <v>0</v>
      </c>
      <c r="D3775" s="13">
        <v>0</v>
      </c>
      <c r="E3775" s="12">
        <v>0</v>
      </c>
      <c r="F3775" s="14">
        <v>0</v>
      </c>
      <c r="G3775" s="13">
        <v>11444.4117</v>
      </c>
      <c r="H3775" s="14">
        <v>15582934.136748</v>
      </c>
      <c r="I3775" s="14" t="e">
        <f>=Round(234.12640000,0)</f>
        <v>#VALUE!</v>
      </c>
      <c r="J3775" s="14" t="e">
        <f>=Round(0.00000000,0)</f>
        <v>#VALUE!</v>
      </c>
    </row>
    <row r="3776">
      <c r="A3776" s="11" t="s">
        <v>49</v>
      </c>
      <c r="B3776" s="12">
        <v>1361.6195</v>
      </c>
      <c r="C3776" s="12">
        <v>0</v>
      </c>
      <c r="D3776" s="13">
        <v>0</v>
      </c>
      <c r="E3776" s="12">
        <v>0</v>
      </c>
      <c r="F3776" s="14">
        <v>0</v>
      </c>
      <c r="G3776" s="13">
        <v>11444.4117</v>
      </c>
      <c r="H3776" s="14">
        <v>15582934.136748</v>
      </c>
      <c r="I3776" s="14" t="e">
        <f>=Round(234.16980000,0)</f>
        <v>#VALUE!</v>
      </c>
      <c r="J3776" s="14" t="e">
        <f>=Round(0.00000000,0)</f>
        <v>#VALUE!</v>
      </c>
    </row>
    <row r="3777">
      <c r="A3777" s="11" t="s">
        <v>50</v>
      </c>
      <c r="B3777" s="12">
        <v>1361.6195</v>
      </c>
      <c r="C3777" s="12">
        <v>0</v>
      </c>
      <c r="D3777" s="13">
        <v>0</v>
      </c>
      <c r="E3777" s="12">
        <v>0</v>
      </c>
      <c r="F3777" s="14">
        <v>0</v>
      </c>
      <c r="G3777" s="13">
        <v>11444.4117</v>
      </c>
      <c r="H3777" s="14">
        <v>15582934.136748</v>
      </c>
      <c r="I3777" s="14" t="e">
        <f>=Round(234.16980000,0)</f>
        <v>#VALUE!</v>
      </c>
      <c r="J3777" s="14" t="e">
        <f>=Round(0.00000000,0)</f>
        <v>#VALUE!</v>
      </c>
    </row>
    <row r="3778">
      <c r="A3778" s="11" t="s">
        <v>51</v>
      </c>
      <c r="B3778" s="12">
        <v>1362.3425</v>
      </c>
      <c r="C3778" s="12">
        <v>0</v>
      </c>
      <c r="D3778" s="13">
        <v>0</v>
      </c>
      <c r="E3778" s="12">
        <v>0</v>
      </c>
      <c r="F3778" s="14">
        <v>0</v>
      </c>
      <c r="G3778" s="13">
        <v>11444.4117</v>
      </c>
      <c r="H3778" s="14">
        <v>15591208.446407</v>
      </c>
      <c r="I3778" s="14" t="e">
        <f>=Round(234.16980000,0)</f>
        <v>#VALUE!</v>
      </c>
      <c r="J3778" s="14" t="e">
        <f>=Round(0.00000000,0)</f>
        <v>#VALUE!</v>
      </c>
    </row>
    <row r="3779">
      <c r="A3779" s="11" t="s">
        <v>52</v>
      </c>
      <c r="B3779" s="12">
        <v>1362.5746</v>
      </c>
      <c r="C3779" s="12">
        <v>0</v>
      </c>
      <c r="D3779" s="13">
        <v>0</v>
      </c>
      <c r="E3779" s="12">
        <v>0</v>
      </c>
      <c r="F3779" s="14">
        <v>0</v>
      </c>
      <c r="G3779" s="13">
        <v>11444.4117</v>
      </c>
      <c r="H3779" s="14">
        <v>15593864.694363</v>
      </c>
      <c r="I3779" s="14" t="e">
        <f>=Round(234.29410000,0)</f>
        <v>#VALUE!</v>
      </c>
      <c r="J3779" s="14" t="e">
        <f>=Round(0.00000000,0)</f>
        <v>#VALUE!</v>
      </c>
    </row>
    <row r="3780">
      <c r="A3780" s="11" t="s">
        <v>53</v>
      </c>
      <c r="B3780" s="12">
        <v>1362.8067</v>
      </c>
      <c r="C3780" s="12">
        <v>0</v>
      </c>
      <c r="D3780" s="13">
        <v>0</v>
      </c>
      <c r="E3780" s="12">
        <v>0</v>
      </c>
      <c r="F3780" s="14">
        <v>0</v>
      </c>
      <c r="G3780" s="13">
        <v>11444.4117</v>
      </c>
      <c r="H3780" s="14">
        <v>15596520.942318</v>
      </c>
      <c r="I3780" s="14" t="e">
        <f>=Round(234.33400000,0)</f>
        <v>#VALUE!</v>
      </c>
      <c r="J3780" s="14" t="e">
        <f>=Round(0.00000000,0)</f>
        <v>#VALUE!</v>
      </c>
    </row>
    <row r="3781">
      <c r="A3781" s="11" t="s">
        <v>54</v>
      </c>
      <c r="B3781" s="12">
        <v>1363.0394</v>
      </c>
      <c r="C3781" s="12">
        <v>0</v>
      </c>
      <c r="D3781" s="13">
        <v>0</v>
      </c>
      <c r="E3781" s="12">
        <v>0</v>
      </c>
      <c r="F3781" s="14">
        <v>0</v>
      </c>
      <c r="G3781" s="13">
        <v>11444.4117</v>
      </c>
      <c r="H3781" s="14">
        <v>15599184.056921</v>
      </c>
      <c r="I3781" s="14" t="e">
        <f>=Round(234.37390000,0)</f>
        <v>#VALUE!</v>
      </c>
      <c r="J3781" s="14" t="e">
        <f>=Round(0.00000000,0)</f>
        <v>#VALUE!</v>
      </c>
    </row>
    <row r="3782">
      <c r="A3782" s="11" t="s">
        <v>55</v>
      </c>
      <c r="B3782" s="12">
        <v>1363.274</v>
      </c>
      <c r="C3782" s="12">
        <v>0</v>
      </c>
      <c r="D3782" s="13">
        <v>0</v>
      </c>
      <c r="E3782" s="12">
        <v>0</v>
      </c>
      <c r="F3782" s="14">
        <v>0</v>
      </c>
      <c r="G3782" s="13">
        <v>11444.4117</v>
      </c>
      <c r="H3782" s="14">
        <v>15601868.915906</v>
      </c>
      <c r="I3782" s="14" t="e">
        <f>=Round(234.41400000,0)</f>
        <v>#VALUE!</v>
      </c>
      <c r="J3782" s="14" t="e">
        <f>=Round(0.00000000,0)</f>
        <v>#VALUE!</v>
      </c>
    </row>
    <row r="3783" ht="-1">
      <c r="A3783" s="15"/>
      <c r="B3783" s="16" t="s">
        <v>56</v>
      </c>
      <c r="C3783" s="15"/>
      <c r="D3783" s="15"/>
      <c r="E3783" s="15"/>
      <c r="F3783" s="15"/>
      <c r="G3783" s="15"/>
      <c r="H3783" s="15"/>
      <c r="I3783" s="17" t="e">
        <f>=Round(SUM(I3757:I3782),0)</f>
        <v>#VALUE!</v>
      </c>
      <c r="J3783" s="17" t="e">
        <f>=Round(SUM(J3757:J3782),0)</f>
        <v>#VALUE!</v>
      </c>
    </row>
    <row r="3784">
      <c r="A3784" s="1" t="s">
        <v>0</v>
      </c>
      <c r="B3784" s="1"/>
      <c r="C3784" s="1"/>
      <c r="D3784" s="1"/>
    </row>
    <row r="3785">
      <c r="A3785" s="0" t="s">
        <v>1</v>
      </c>
      <c r="C3785" s="0" t="s">
        <v>144</v>
      </c>
      <c r="H3785" s="2" t="s">
        <v>3</v>
      </c>
    </row>
    <row r="3786">
      <c r="A3786" s="0" t="s">
        <v>4</v>
      </c>
      <c r="C3786" s="0" t="s">
        <v>155</v>
      </c>
      <c r="H3786" s="3" t="s">
        <v>6</v>
      </c>
    </row>
    <row r="3787">
      <c r="A3787" s="0" t="s">
        <v>7</v>
      </c>
      <c r="C3787" s="4" t="s">
        <v>146</v>
      </c>
      <c r="H3787" s="2" t="s">
        <v>9</v>
      </c>
    </row>
    <row r="3788">
      <c r="A3788" s="0" t="s">
        <v>10</v>
      </c>
      <c r="C3788" s="4" t="s">
        <v>11</v>
      </c>
      <c r="H3788" s="2" t="s">
        <v>12</v>
      </c>
    </row>
    <row r="3789">
      <c r="A3789" s="0" t="s">
        <v>13</v>
      </c>
      <c r="C3789" s="0" t="s">
        <v>14</v>
      </c>
    </row>
    <row r="3790">
      <c r="A3790" s="0" t="s">
        <v>15</v>
      </c>
      <c r="C3790" s="0" t="s">
        <v>16</v>
      </c>
    </row>
    <row r="3791">
      <c r="A3791" s="0" t="s">
        <v>17</v>
      </c>
      <c r="C3791" s="0" t="s">
        <v>18</v>
      </c>
    </row>
    <row r="3794">
      <c r="A3794" s="5" t="s">
        <v>19</v>
      </c>
      <c r="B3794" s="5" t="s">
        <v>20</v>
      </c>
      <c r="C3794" s="7" t="s">
        <v>21</v>
      </c>
      <c r="D3794" s="9"/>
      <c r="E3794" s="7" t="s">
        <v>22</v>
      </c>
      <c r="F3794" s="9"/>
      <c r="G3794" s="5" t="s">
        <v>23</v>
      </c>
      <c r="H3794" s="5" t="s">
        <v>24</v>
      </c>
      <c r="I3794" s="5" t="s">
        <v>147</v>
      </c>
      <c r="J3794" s="5" t="s">
        <v>26</v>
      </c>
    </row>
    <row r="3795">
      <c r="A3795" s="6"/>
      <c r="B3795" s="6"/>
      <c r="C3795" s="8" t="s">
        <v>27</v>
      </c>
      <c r="D3795" s="8" t="s">
        <v>28</v>
      </c>
      <c r="E3795" s="8" t="s">
        <v>27</v>
      </c>
      <c r="F3795" s="8" t="s">
        <v>28</v>
      </c>
      <c r="G3795" s="6"/>
      <c r="H3795" s="6"/>
      <c r="I3795" s="10" t="s">
        <v>29</v>
      </c>
      <c r="J3795" s="6"/>
    </row>
    <row r="3796">
      <c r="A3796" s="11" t="s">
        <v>30</v>
      </c>
      <c r="B3796" s="12">
        <v>1357.4104</v>
      </c>
      <c r="C3796" s="12">
        <v>0</v>
      </c>
      <c r="D3796" s="13">
        <v>0</v>
      </c>
      <c r="E3796" s="12">
        <v>0</v>
      </c>
      <c r="F3796" s="14">
        <v>0</v>
      </c>
      <c r="G3796" s="13">
        <v>498.6486</v>
      </c>
      <c r="H3796" s="14">
        <v>676870.795585</v>
      </c>
      <c r="I3796" s="14" t="e">
        <f>=Round(10.16640000,0)</f>
        <v>#VALUE!</v>
      </c>
      <c r="J3796" s="14" t="e">
        <f>=Round(0.00000000,0)</f>
        <v>#VALUE!</v>
      </c>
    </row>
    <row r="3797">
      <c r="A3797" s="11" t="s">
        <v>31</v>
      </c>
      <c r="B3797" s="12">
        <v>1357.6428</v>
      </c>
      <c r="C3797" s="12">
        <v>0</v>
      </c>
      <c r="D3797" s="13">
        <v>0</v>
      </c>
      <c r="E3797" s="12">
        <v>0</v>
      </c>
      <c r="F3797" s="14">
        <v>0</v>
      </c>
      <c r="G3797" s="13">
        <v>498.6486</v>
      </c>
      <c r="H3797" s="14">
        <v>676986.68152</v>
      </c>
      <c r="I3797" s="14" t="e">
        <f>=Round(10.17160000,0)</f>
        <v>#VALUE!</v>
      </c>
      <c r="J3797" s="14" t="e">
        <f>=Round(0.00000000,0)</f>
        <v>#VALUE!</v>
      </c>
    </row>
    <row r="3798">
      <c r="A3798" s="11" t="s">
        <v>32</v>
      </c>
      <c r="B3798" s="12">
        <v>1357.8735</v>
      </c>
      <c r="C3798" s="12">
        <v>0</v>
      </c>
      <c r="D3798" s="13">
        <v>0</v>
      </c>
      <c r="E3798" s="12">
        <v>0</v>
      </c>
      <c r="F3798" s="14">
        <v>0</v>
      </c>
      <c r="G3798" s="13">
        <v>498.6486</v>
      </c>
      <c r="H3798" s="14">
        <v>677101.719752</v>
      </c>
      <c r="I3798" s="14" t="e">
        <f>=Round(10.17330000,0)</f>
        <v>#VALUE!</v>
      </c>
      <c r="J3798" s="14" t="e">
        <f>=Round(0.00000000,0)</f>
        <v>#VALUE!</v>
      </c>
    </row>
    <row r="3799">
      <c r="A3799" s="11" t="s">
        <v>33</v>
      </c>
      <c r="B3799" s="12">
        <v>1358.1079</v>
      </c>
      <c r="C3799" s="12">
        <v>0</v>
      </c>
      <c r="D3799" s="13">
        <v>0</v>
      </c>
      <c r="E3799" s="12">
        <v>0</v>
      </c>
      <c r="F3799" s="14">
        <v>0</v>
      </c>
      <c r="G3799" s="13">
        <v>498.6486</v>
      </c>
      <c r="H3799" s="14">
        <v>677218.602984</v>
      </c>
      <c r="I3799" s="14" t="e">
        <f>=Round(10.17500000,0)</f>
        <v>#VALUE!</v>
      </c>
      <c r="J3799" s="14" t="e">
        <f>=Round(0.00000000,0)</f>
        <v>#VALUE!</v>
      </c>
    </row>
    <row r="3800">
      <c r="A3800" s="11" t="s">
        <v>34</v>
      </c>
      <c r="B3800" s="12">
        <v>1358.3402</v>
      </c>
      <c r="C3800" s="12">
        <v>0</v>
      </c>
      <c r="D3800" s="13">
        <v>0</v>
      </c>
      <c r="E3800" s="12">
        <v>0</v>
      </c>
      <c r="F3800" s="14">
        <v>0</v>
      </c>
      <c r="G3800" s="13">
        <v>498.6486</v>
      </c>
      <c r="H3800" s="14">
        <v>677334.439054</v>
      </c>
      <c r="I3800" s="14" t="e">
        <f>=Round(10.17680000,0)</f>
        <v>#VALUE!</v>
      </c>
      <c r="J3800" s="14" t="e">
        <f>=Round(0.00000000,0)</f>
        <v>#VALUE!</v>
      </c>
    </row>
    <row r="3801">
      <c r="A3801" s="11" t="s">
        <v>35</v>
      </c>
      <c r="B3801" s="12">
        <v>1358.3402</v>
      </c>
      <c r="C3801" s="12">
        <v>0</v>
      </c>
      <c r="D3801" s="13">
        <v>0</v>
      </c>
      <c r="E3801" s="12">
        <v>0</v>
      </c>
      <c r="F3801" s="14">
        <v>0</v>
      </c>
      <c r="G3801" s="13">
        <v>498.6486</v>
      </c>
      <c r="H3801" s="14">
        <v>677334.439054</v>
      </c>
      <c r="I3801" s="14" t="e">
        <f>=Round(10.17850000,0)</f>
        <v>#VALUE!</v>
      </c>
      <c r="J3801" s="14" t="e">
        <f>=Round(0.00000000,0)</f>
        <v>#VALUE!</v>
      </c>
    </row>
    <row r="3802">
      <c r="A3802" s="11" t="s">
        <v>36</v>
      </c>
      <c r="B3802" s="12">
        <v>1358.3402</v>
      </c>
      <c r="C3802" s="12">
        <v>0</v>
      </c>
      <c r="D3802" s="13">
        <v>0</v>
      </c>
      <c r="E3802" s="12">
        <v>0</v>
      </c>
      <c r="F3802" s="14">
        <v>0</v>
      </c>
      <c r="G3802" s="13">
        <v>498.6486</v>
      </c>
      <c r="H3802" s="14">
        <v>677334.439054</v>
      </c>
      <c r="I3802" s="14" t="e">
        <f>=Round(10.17850000,0)</f>
        <v>#VALUE!</v>
      </c>
      <c r="J3802" s="14" t="e">
        <f>=Round(0.00000000,0)</f>
        <v>#VALUE!</v>
      </c>
    </row>
    <row r="3803">
      <c r="A3803" s="11" t="s">
        <v>37</v>
      </c>
      <c r="B3803" s="12">
        <v>1359.0395</v>
      </c>
      <c r="C3803" s="12">
        <v>0</v>
      </c>
      <c r="D3803" s="13">
        <v>0</v>
      </c>
      <c r="E3803" s="12">
        <v>0</v>
      </c>
      <c r="F3803" s="14">
        <v>0</v>
      </c>
      <c r="G3803" s="13">
        <v>498.6486</v>
      </c>
      <c r="H3803" s="14">
        <v>677683.14402</v>
      </c>
      <c r="I3803" s="14" t="e">
        <f>=Round(10.17850000,0)</f>
        <v>#VALUE!</v>
      </c>
      <c r="J3803" s="14" t="e">
        <f>=Round(0.00000000,0)</f>
        <v>#VALUE!</v>
      </c>
    </row>
    <row r="3804">
      <c r="A3804" s="11" t="s">
        <v>38</v>
      </c>
      <c r="B3804" s="12">
        <v>1359.2726</v>
      </c>
      <c r="C3804" s="12">
        <v>0</v>
      </c>
      <c r="D3804" s="13">
        <v>0</v>
      </c>
      <c r="E3804" s="12">
        <v>0</v>
      </c>
      <c r="F3804" s="14">
        <v>0</v>
      </c>
      <c r="G3804" s="13">
        <v>498.6486</v>
      </c>
      <c r="H3804" s="14">
        <v>677799.379008</v>
      </c>
      <c r="I3804" s="14" t="e">
        <f>=Round(10.18380000,0)</f>
        <v>#VALUE!</v>
      </c>
      <c r="J3804" s="14" t="e">
        <f>=Round(0.00000000,0)</f>
        <v>#VALUE!</v>
      </c>
    </row>
    <row r="3805">
      <c r="A3805" s="11" t="s">
        <v>39</v>
      </c>
      <c r="B3805" s="12">
        <v>1359.5048</v>
      </c>
      <c r="C3805" s="12">
        <v>0</v>
      </c>
      <c r="D3805" s="13">
        <v>0</v>
      </c>
      <c r="E3805" s="12">
        <v>0</v>
      </c>
      <c r="F3805" s="14">
        <v>0</v>
      </c>
      <c r="G3805" s="13">
        <v>498.6486</v>
      </c>
      <c r="H3805" s="14">
        <v>677915.165213</v>
      </c>
      <c r="I3805" s="14" t="e">
        <f>=Round(10.18550000,0)</f>
        <v>#VALUE!</v>
      </c>
      <c r="J3805" s="14" t="e">
        <f>=Round(0.00000000,0)</f>
        <v>#VALUE!</v>
      </c>
    </row>
    <row r="3806">
      <c r="A3806" s="11" t="s">
        <v>40</v>
      </c>
      <c r="B3806" s="12">
        <v>1359.7365</v>
      </c>
      <c r="C3806" s="12">
        <v>0</v>
      </c>
      <c r="D3806" s="13">
        <v>0</v>
      </c>
      <c r="E3806" s="12">
        <v>0</v>
      </c>
      <c r="F3806" s="14">
        <v>0</v>
      </c>
      <c r="G3806" s="13">
        <v>498.6486</v>
      </c>
      <c r="H3806" s="14">
        <v>678030.702094</v>
      </c>
      <c r="I3806" s="14" t="e">
        <f>=Round(10.18720000,0)</f>
        <v>#VALUE!</v>
      </c>
      <c r="J3806" s="14" t="e">
        <f>=Round(0.00000000,0)</f>
        <v>#VALUE!</v>
      </c>
    </row>
    <row r="3807">
      <c r="A3807" s="11" t="s">
        <v>41</v>
      </c>
      <c r="B3807" s="12">
        <v>1359.979</v>
      </c>
      <c r="C3807" s="12">
        <v>0</v>
      </c>
      <c r="D3807" s="13">
        <v>0</v>
      </c>
      <c r="E3807" s="12">
        <v>0</v>
      </c>
      <c r="F3807" s="14">
        <v>0</v>
      </c>
      <c r="G3807" s="13">
        <v>498.6486</v>
      </c>
      <c r="H3807" s="14">
        <v>678151.624379</v>
      </c>
      <c r="I3807" s="14" t="e">
        <f>=Round(10.18900000,0)</f>
        <v>#VALUE!</v>
      </c>
      <c r="J3807" s="14" t="e">
        <f>=Round(0.00000000,0)</f>
        <v>#VALUE!</v>
      </c>
    </row>
    <row r="3808">
      <c r="A3808" s="11" t="s">
        <v>42</v>
      </c>
      <c r="B3808" s="12">
        <v>1359.979</v>
      </c>
      <c r="C3808" s="12">
        <v>0</v>
      </c>
      <c r="D3808" s="13">
        <v>0</v>
      </c>
      <c r="E3808" s="12">
        <v>0</v>
      </c>
      <c r="F3808" s="14">
        <v>0</v>
      </c>
      <c r="G3808" s="13">
        <v>498.6486</v>
      </c>
      <c r="H3808" s="14">
        <v>678151.624379</v>
      </c>
      <c r="I3808" s="14" t="e">
        <f>=Round(10.19080000,0)</f>
        <v>#VALUE!</v>
      </c>
      <c r="J3808" s="14" t="e">
        <f>=Round(0.00000000,0)</f>
        <v>#VALUE!</v>
      </c>
    </row>
    <row r="3809">
      <c r="A3809" s="11" t="s">
        <v>43</v>
      </c>
      <c r="B3809" s="12">
        <v>1359.979</v>
      </c>
      <c r="C3809" s="12">
        <v>0</v>
      </c>
      <c r="D3809" s="13">
        <v>0</v>
      </c>
      <c r="E3809" s="12">
        <v>0</v>
      </c>
      <c r="F3809" s="14">
        <v>0</v>
      </c>
      <c r="G3809" s="13">
        <v>498.6486</v>
      </c>
      <c r="H3809" s="14">
        <v>678151.624379</v>
      </c>
      <c r="I3809" s="14" t="e">
        <f>=Round(10.19080000,0)</f>
        <v>#VALUE!</v>
      </c>
      <c r="J3809" s="14" t="e">
        <f>=Round(0.00000000,0)</f>
        <v>#VALUE!</v>
      </c>
    </row>
    <row r="3810">
      <c r="A3810" s="11" t="s">
        <v>44</v>
      </c>
      <c r="B3810" s="12">
        <v>1360.6758</v>
      </c>
      <c r="C3810" s="12">
        <v>0</v>
      </c>
      <c r="D3810" s="13">
        <v>0</v>
      </c>
      <c r="E3810" s="12">
        <v>0</v>
      </c>
      <c r="F3810" s="14">
        <v>0</v>
      </c>
      <c r="G3810" s="13">
        <v>498.6486</v>
      </c>
      <c r="H3810" s="14">
        <v>678499.082724</v>
      </c>
      <c r="I3810" s="14" t="e">
        <f>=Round(10.19080000,0)</f>
        <v>#VALUE!</v>
      </c>
      <c r="J3810" s="14" t="e">
        <f>=Round(0.00000000,0)</f>
        <v>#VALUE!</v>
      </c>
    </row>
    <row r="3811">
      <c r="A3811" s="11" t="s">
        <v>45</v>
      </c>
      <c r="B3811" s="12">
        <v>1360.9062</v>
      </c>
      <c r="C3811" s="12">
        <v>0</v>
      </c>
      <c r="D3811" s="13">
        <v>0</v>
      </c>
      <c r="E3811" s="12">
        <v>0</v>
      </c>
      <c r="F3811" s="14">
        <v>0</v>
      </c>
      <c r="G3811" s="13">
        <v>498.6486</v>
      </c>
      <c r="H3811" s="14">
        <v>678613.971361</v>
      </c>
      <c r="I3811" s="14" t="e">
        <f>=Round(10.19600000,0)</f>
        <v>#VALUE!</v>
      </c>
      <c r="J3811" s="14" t="e">
        <f>=Round(0.00000000,0)</f>
        <v>#VALUE!</v>
      </c>
    </row>
    <row r="3812">
      <c r="A3812" s="11" t="s">
        <v>46</v>
      </c>
      <c r="B3812" s="12">
        <v>1361.137</v>
      </c>
      <c r="C3812" s="12">
        <v>0</v>
      </c>
      <c r="D3812" s="13">
        <v>0</v>
      </c>
      <c r="E3812" s="12">
        <v>0</v>
      </c>
      <c r="F3812" s="14">
        <v>0</v>
      </c>
      <c r="G3812" s="13">
        <v>498.6486</v>
      </c>
      <c r="H3812" s="14">
        <v>678729.059458</v>
      </c>
      <c r="I3812" s="14" t="e">
        <f>=Round(10.19780000,0)</f>
        <v>#VALUE!</v>
      </c>
      <c r="J3812" s="14" t="e">
        <f>=Round(0.00000000,0)</f>
        <v>#VALUE!</v>
      </c>
    </row>
    <row r="3813">
      <c r="A3813" s="11" t="s">
        <v>47</v>
      </c>
      <c r="B3813" s="12">
        <v>1361.367</v>
      </c>
      <c r="C3813" s="12">
        <v>0</v>
      </c>
      <c r="D3813" s="13">
        <v>0</v>
      </c>
      <c r="E3813" s="12">
        <v>0</v>
      </c>
      <c r="F3813" s="14">
        <v>0</v>
      </c>
      <c r="G3813" s="13">
        <v>498.6486</v>
      </c>
      <c r="H3813" s="14">
        <v>678843.748636</v>
      </c>
      <c r="I3813" s="14" t="e">
        <f>=Round(10.19950000,0)</f>
        <v>#VALUE!</v>
      </c>
      <c r="J3813" s="14" t="e">
        <f>=Round(0.00000000,0)</f>
        <v>#VALUE!</v>
      </c>
    </row>
    <row r="3814">
      <c r="A3814" s="11" t="s">
        <v>48</v>
      </c>
      <c r="B3814" s="12">
        <v>1361.6195</v>
      </c>
      <c r="C3814" s="12">
        <v>0</v>
      </c>
      <c r="D3814" s="13">
        <v>0</v>
      </c>
      <c r="E3814" s="12">
        <v>0</v>
      </c>
      <c r="F3814" s="14">
        <v>0</v>
      </c>
      <c r="G3814" s="13">
        <v>498.6486</v>
      </c>
      <c r="H3814" s="14">
        <v>678969.657408</v>
      </c>
      <c r="I3814" s="14" t="e">
        <f>=Round(10.20120000,0)</f>
        <v>#VALUE!</v>
      </c>
      <c r="J3814" s="14" t="e">
        <f>=Round(0.00000000,0)</f>
        <v>#VALUE!</v>
      </c>
    </row>
    <row r="3815">
      <c r="A3815" s="11" t="s">
        <v>49</v>
      </c>
      <c r="B3815" s="12">
        <v>1361.6195</v>
      </c>
      <c r="C3815" s="12">
        <v>0</v>
      </c>
      <c r="D3815" s="13">
        <v>0</v>
      </c>
      <c r="E3815" s="12">
        <v>0</v>
      </c>
      <c r="F3815" s="14">
        <v>0</v>
      </c>
      <c r="G3815" s="13">
        <v>498.6486</v>
      </c>
      <c r="H3815" s="14">
        <v>678969.657408</v>
      </c>
      <c r="I3815" s="14" t="e">
        <f>=Round(10.20310000,0)</f>
        <v>#VALUE!</v>
      </c>
      <c r="J3815" s="14" t="e">
        <f>=Round(0.00000000,0)</f>
        <v>#VALUE!</v>
      </c>
    </row>
    <row r="3816">
      <c r="A3816" s="11" t="s">
        <v>50</v>
      </c>
      <c r="B3816" s="12">
        <v>1361.6195</v>
      </c>
      <c r="C3816" s="12">
        <v>0</v>
      </c>
      <c r="D3816" s="13">
        <v>0</v>
      </c>
      <c r="E3816" s="12">
        <v>0</v>
      </c>
      <c r="F3816" s="14">
        <v>0</v>
      </c>
      <c r="G3816" s="13">
        <v>498.6486</v>
      </c>
      <c r="H3816" s="14">
        <v>678969.657408</v>
      </c>
      <c r="I3816" s="14" t="e">
        <f>=Round(10.20310000,0)</f>
        <v>#VALUE!</v>
      </c>
      <c r="J3816" s="14" t="e">
        <f>=Round(0.00000000,0)</f>
        <v>#VALUE!</v>
      </c>
    </row>
    <row r="3817">
      <c r="A3817" s="11" t="s">
        <v>51</v>
      </c>
      <c r="B3817" s="12">
        <v>1362.3425</v>
      </c>
      <c r="C3817" s="12">
        <v>0</v>
      </c>
      <c r="D3817" s="13">
        <v>0</v>
      </c>
      <c r="E3817" s="12">
        <v>0</v>
      </c>
      <c r="F3817" s="14">
        <v>0</v>
      </c>
      <c r="G3817" s="13">
        <v>498.6486</v>
      </c>
      <c r="H3817" s="14">
        <v>679330.180346</v>
      </c>
      <c r="I3817" s="14" t="e">
        <f>=Round(10.20310000,0)</f>
        <v>#VALUE!</v>
      </c>
      <c r="J3817" s="14" t="e">
        <f>=Round(0.00000000,0)</f>
        <v>#VALUE!</v>
      </c>
    </row>
    <row r="3818">
      <c r="A3818" s="11" t="s">
        <v>52</v>
      </c>
      <c r="B3818" s="12">
        <v>1362.5746</v>
      </c>
      <c r="C3818" s="12">
        <v>0</v>
      </c>
      <c r="D3818" s="13">
        <v>0</v>
      </c>
      <c r="E3818" s="12">
        <v>0</v>
      </c>
      <c r="F3818" s="14">
        <v>0</v>
      </c>
      <c r="G3818" s="13">
        <v>498.6486</v>
      </c>
      <c r="H3818" s="14">
        <v>679445.916686</v>
      </c>
      <c r="I3818" s="14" t="e">
        <f>=Round(10.20850000,0)</f>
        <v>#VALUE!</v>
      </c>
      <c r="J3818" s="14" t="e">
        <f>=Round(0.00000000,0)</f>
        <v>#VALUE!</v>
      </c>
    </row>
    <row r="3819">
      <c r="A3819" s="11" t="s">
        <v>53</v>
      </c>
      <c r="B3819" s="12">
        <v>1362.8067</v>
      </c>
      <c r="C3819" s="12">
        <v>0</v>
      </c>
      <c r="D3819" s="13">
        <v>0</v>
      </c>
      <c r="E3819" s="12">
        <v>0</v>
      </c>
      <c r="F3819" s="14">
        <v>0</v>
      </c>
      <c r="G3819" s="13">
        <v>498.6486</v>
      </c>
      <c r="H3819" s="14">
        <v>679561.653026</v>
      </c>
      <c r="I3819" s="14" t="e">
        <f>=Round(10.21030000,0)</f>
        <v>#VALUE!</v>
      </c>
      <c r="J3819" s="14" t="e">
        <f>=Round(0.00000000,0)</f>
        <v>#VALUE!</v>
      </c>
    </row>
    <row r="3820">
      <c r="A3820" s="11" t="s">
        <v>54</v>
      </c>
      <c r="B3820" s="12">
        <v>1363.0394</v>
      </c>
      <c r="C3820" s="12">
        <v>0</v>
      </c>
      <c r="D3820" s="13">
        <v>0</v>
      </c>
      <c r="E3820" s="12">
        <v>0</v>
      </c>
      <c r="F3820" s="14">
        <v>0</v>
      </c>
      <c r="G3820" s="13">
        <v>498.6486</v>
      </c>
      <c r="H3820" s="14">
        <v>679677.688555</v>
      </c>
      <c r="I3820" s="14" t="e">
        <f>=Round(10.21200000,0)</f>
        <v>#VALUE!</v>
      </c>
      <c r="J3820" s="14" t="e">
        <f>=Round(0.00000000,0)</f>
        <v>#VALUE!</v>
      </c>
    </row>
    <row r="3821">
      <c r="A3821" s="11" t="s">
        <v>55</v>
      </c>
      <c r="B3821" s="12">
        <v>1363.274</v>
      </c>
      <c r="C3821" s="12">
        <v>0</v>
      </c>
      <c r="D3821" s="13">
        <v>0</v>
      </c>
      <c r="E3821" s="12">
        <v>0</v>
      </c>
      <c r="F3821" s="14">
        <v>0</v>
      </c>
      <c r="G3821" s="13">
        <v>498.6486</v>
      </c>
      <c r="H3821" s="14">
        <v>679794.671516</v>
      </c>
      <c r="I3821" s="14" t="e">
        <f>=Round(10.21370000,0)</f>
        <v>#VALUE!</v>
      </c>
      <c r="J3821" s="14" t="e">
        <f>=Round(0.00000000,0)</f>
        <v>#VALUE!</v>
      </c>
    </row>
    <row r="3822" ht="-1">
      <c r="A3822" s="15"/>
      <c r="B3822" s="16" t="s">
        <v>56</v>
      </c>
      <c r="C3822" s="15"/>
      <c r="D3822" s="15"/>
      <c r="E3822" s="15"/>
      <c r="F3822" s="15"/>
      <c r="G3822" s="15"/>
      <c r="H3822" s="15"/>
      <c r="I3822" s="17" t="e">
        <f>=Round(SUM(I3796:I3821),0)</f>
        <v>#VALUE!</v>
      </c>
      <c r="J3822" s="17" t="e">
        <f>=Round(SUM(J3796:J3821),0)</f>
        <v>#VALUE!</v>
      </c>
    </row>
    <row r="3823">
      <c r="A3823" s="1" t="s">
        <v>0</v>
      </c>
      <c r="B3823" s="1"/>
      <c r="C3823" s="1"/>
      <c r="D3823" s="1"/>
    </row>
    <row r="3824">
      <c r="A3824" s="0" t="s">
        <v>1</v>
      </c>
      <c r="C3824" s="0" t="s">
        <v>144</v>
      </c>
      <c r="H3824" s="2" t="s">
        <v>3</v>
      </c>
    </row>
    <row r="3825">
      <c r="A3825" s="0" t="s">
        <v>4</v>
      </c>
      <c r="C3825" s="0" t="s">
        <v>156</v>
      </c>
      <c r="H3825" s="3" t="s">
        <v>6</v>
      </c>
    </row>
    <row r="3826">
      <c r="A3826" s="0" t="s">
        <v>7</v>
      </c>
      <c r="C3826" s="4" t="s">
        <v>146</v>
      </c>
      <c r="H3826" s="2" t="s">
        <v>9</v>
      </c>
    </row>
    <row r="3827">
      <c r="A3827" s="0" t="s">
        <v>10</v>
      </c>
      <c r="C3827" s="4" t="s">
        <v>11</v>
      </c>
      <c r="H3827" s="2" t="s">
        <v>12</v>
      </c>
    </row>
    <row r="3828">
      <c r="A3828" s="0" t="s">
        <v>13</v>
      </c>
      <c r="C3828" s="0" t="s">
        <v>14</v>
      </c>
    </row>
    <row r="3829">
      <c r="A3829" s="0" t="s">
        <v>15</v>
      </c>
      <c r="C3829" s="0" t="s">
        <v>16</v>
      </c>
    </row>
    <row r="3830">
      <c r="A3830" s="0" t="s">
        <v>17</v>
      </c>
      <c r="C3830" s="0" t="s">
        <v>18</v>
      </c>
    </row>
    <row r="3833">
      <c r="A3833" s="5" t="s">
        <v>19</v>
      </c>
      <c r="B3833" s="5" t="s">
        <v>20</v>
      </c>
      <c r="C3833" s="7" t="s">
        <v>21</v>
      </c>
      <c r="D3833" s="9"/>
      <c r="E3833" s="7" t="s">
        <v>22</v>
      </c>
      <c r="F3833" s="9"/>
      <c r="G3833" s="5" t="s">
        <v>23</v>
      </c>
      <c r="H3833" s="5" t="s">
        <v>24</v>
      </c>
      <c r="I3833" s="5" t="s">
        <v>147</v>
      </c>
      <c r="J3833" s="5" t="s">
        <v>26</v>
      </c>
    </row>
    <row r="3834">
      <c r="A3834" s="6"/>
      <c r="B3834" s="6"/>
      <c r="C3834" s="8" t="s">
        <v>27</v>
      </c>
      <c r="D3834" s="8" t="s">
        <v>28</v>
      </c>
      <c r="E3834" s="8" t="s">
        <v>27</v>
      </c>
      <c r="F3834" s="8" t="s">
        <v>28</v>
      </c>
      <c r="G3834" s="6"/>
      <c r="H3834" s="6"/>
      <c r="I3834" s="10" t="s">
        <v>29</v>
      </c>
      <c r="J3834" s="6"/>
    </row>
    <row r="3835">
      <c r="A3835" s="11" t="s">
        <v>30</v>
      </c>
      <c r="B3835" s="12">
        <v>1357.4104</v>
      </c>
      <c r="C3835" s="12">
        <v>0</v>
      </c>
      <c r="D3835" s="13">
        <v>0</v>
      </c>
      <c r="E3835" s="12">
        <v>0</v>
      </c>
      <c r="F3835" s="14">
        <v>0</v>
      </c>
      <c r="G3835" s="13">
        <v>498.377</v>
      </c>
      <c r="H3835" s="14">
        <v>676502.122921</v>
      </c>
      <c r="I3835" s="14" t="e">
        <f>=Round(10.16080000,0)</f>
        <v>#VALUE!</v>
      </c>
      <c r="J3835" s="14" t="e">
        <f>=Round(0.00000000,0)</f>
        <v>#VALUE!</v>
      </c>
    </row>
    <row r="3836">
      <c r="A3836" s="11" t="s">
        <v>31</v>
      </c>
      <c r="B3836" s="12">
        <v>1357.6428</v>
      </c>
      <c r="C3836" s="12">
        <v>0</v>
      </c>
      <c r="D3836" s="13">
        <v>0</v>
      </c>
      <c r="E3836" s="12">
        <v>0</v>
      </c>
      <c r="F3836" s="14">
        <v>0</v>
      </c>
      <c r="G3836" s="13">
        <v>498.377</v>
      </c>
      <c r="H3836" s="14">
        <v>676617.945736</v>
      </c>
      <c r="I3836" s="14" t="e">
        <f>=Round(10.16600000,0)</f>
        <v>#VALUE!</v>
      </c>
      <c r="J3836" s="14" t="e">
        <f>=Round(0.00000000,0)</f>
        <v>#VALUE!</v>
      </c>
    </row>
    <row r="3837">
      <c r="A3837" s="11" t="s">
        <v>32</v>
      </c>
      <c r="B3837" s="12">
        <v>1357.8735</v>
      </c>
      <c r="C3837" s="12">
        <v>0</v>
      </c>
      <c r="D3837" s="13">
        <v>0</v>
      </c>
      <c r="E3837" s="12">
        <v>0</v>
      </c>
      <c r="F3837" s="14">
        <v>0</v>
      </c>
      <c r="G3837" s="13">
        <v>498.377</v>
      </c>
      <c r="H3837" s="14">
        <v>676732.92131</v>
      </c>
      <c r="I3837" s="14" t="e">
        <f>=Round(10.16780000,0)</f>
        <v>#VALUE!</v>
      </c>
      <c r="J3837" s="14" t="e">
        <f>=Round(0.00000000,0)</f>
        <v>#VALUE!</v>
      </c>
    </row>
    <row r="3838">
      <c r="A3838" s="11" t="s">
        <v>33</v>
      </c>
      <c r="B3838" s="12">
        <v>1358.1079</v>
      </c>
      <c r="C3838" s="12">
        <v>0</v>
      </c>
      <c r="D3838" s="13">
        <v>0</v>
      </c>
      <c r="E3838" s="12">
        <v>0</v>
      </c>
      <c r="F3838" s="14">
        <v>0</v>
      </c>
      <c r="G3838" s="13">
        <v>498.377</v>
      </c>
      <c r="H3838" s="14">
        <v>676849.740878</v>
      </c>
      <c r="I3838" s="14" t="e">
        <f>=Round(10.16950000,0)</f>
        <v>#VALUE!</v>
      </c>
      <c r="J3838" s="14" t="e">
        <f>=Round(0.00000000,0)</f>
        <v>#VALUE!</v>
      </c>
    </row>
    <row r="3839">
      <c r="A3839" s="11" t="s">
        <v>34</v>
      </c>
      <c r="B3839" s="12">
        <v>1358.3402</v>
      </c>
      <c r="C3839" s="12">
        <v>0</v>
      </c>
      <c r="D3839" s="13">
        <v>0</v>
      </c>
      <c r="E3839" s="12">
        <v>0</v>
      </c>
      <c r="F3839" s="14">
        <v>0</v>
      </c>
      <c r="G3839" s="13">
        <v>498.377</v>
      </c>
      <c r="H3839" s="14">
        <v>676965.513855</v>
      </c>
      <c r="I3839" s="14" t="e">
        <f>=Round(10.17120000,0)</f>
        <v>#VALUE!</v>
      </c>
      <c r="J3839" s="14" t="e">
        <f>=Round(0.00000000,0)</f>
        <v>#VALUE!</v>
      </c>
    </row>
    <row r="3840">
      <c r="A3840" s="11" t="s">
        <v>35</v>
      </c>
      <c r="B3840" s="12">
        <v>1358.3402</v>
      </c>
      <c r="C3840" s="12">
        <v>0</v>
      </c>
      <c r="D3840" s="13">
        <v>0</v>
      </c>
      <c r="E3840" s="12">
        <v>0</v>
      </c>
      <c r="F3840" s="14">
        <v>0</v>
      </c>
      <c r="G3840" s="13">
        <v>498.377</v>
      </c>
      <c r="H3840" s="14">
        <v>676965.513855</v>
      </c>
      <c r="I3840" s="14" t="e">
        <f>=Round(10.17300000,0)</f>
        <v>#VALUE!</v>
      </c>
      <c r="J3840" s="14" t="e">
        <f>=Round(0.00000000,0)</f>
        <v>#VALUE!</v>
      </c>
    </row>
    <row r="3841">
      <c r="A3841" s="11" t="s">
        <v>36</v>
      </c>
      <c r="B3841" s="12">
        <v>1358.3402</v>
      </c>
      <c r="C3841" s="12">
        <v>0</v>
      </c>
      <c r="D3841" s="13">
        <v>0</v>
      </c>
      <c r="E3841" s="12">
        <v>0</v>
      </c>
      <c r="F3841" s="14">
        <v>0</v>
      </c>
      <c r="G3841" s="13">
        <v>498.377</v>
      </c>
      <c r="H3841" s="14">
        <v>676965.513855</v>
      </c>
      <c r="I3841" s="14" t="e">
        <f>=Round(10.17300000,0)</f>
        <v>#VALUE!</v>
      </c>
      <c r="J3841" s="14" t="e">
        <f>=Round(0.00000000,0)</f>
        <v>#VALUE!</v>
      </c>
    </row>
    <row r="3842">
      <c r="A3842" s="11" t="s">
        <v>37</v>
      </c>
      <c r="B3842" s="12">
        <v>1359.0395</v>
      </c>
      <c r="C3842" s="12">
        <v>0</v>
      </c>
      <c r="D3842" s="13">
        <v>0</v>
      </c>
      <c r="E3842" s="12">
        <v>0</v>
      </c>
      <c r="F3842" s="14">
        <v>0</v>
      </c>
      <c r="G3842" s="13">
        <v>498.377</v>
      </c>
      <c r="H3842" s="14">
        <v>677314.028892</v>
      </c>
      <c r="I3842" s="14" t="e">
        <f>=Round(10.17300000,0)</f>
        <v>#VALUE!</v>
      </c>
      <c r="J3842" s="14" t="e">
        <f>=Round(0.00000000,0)</f>
        <v>#VALUE!</v>
      </c>
    </row>
    <row r="3843">
      <c r="A3843" s="11" t="s">
        <v>38</v>
      </c>
      <c r="B3843" s="12">
        <v>1359.2726</v>
      </c>
      <c r="C3843" s="12">
        <v>0</v>
      </c>
      <c r="D3843" s="13">
        <v>0</v>
      </c>
      <c r="E3843" s="12">
        <v>0</v>
      </c>
      <c r="F3843" s="14">
        <v>0</v>
      </c>
      <c r="G3843" s="13">
        <v>498.377</v>
      </c>
      <c r="H3843" s="14">
        <v>677430.20057</v>
      </c>
      <c r="I3843" s="14" t="e">
        <f>=Round(10.17820000,0)</f>
        <v>#VALUE!</v>
      </c>
      <c r="J3843" s="14" t="e">
        <f>=Round(0.00000000,0)</f>
        <v>#VALUE!</v>
      </c>
    </row>
    <row r="3844">
      <c r="A3844" s="11" t="s">
        <v>39</v>
      </c>
      <c r="B3844" s="12">
        <v>1359.5048</v>
      </c>
      <c r="C3844" s="12">
        <v>0</v>
      </c>
      <c r="D3844" s="13">
        <v>0</v>
      </c>
      <c r="E3844" s="12">
        <v>0</v>
      </c>
      <c r="F3844" s="14">
        <v>0</v>
      </c>
      <c r="G3844" s="13">
        <v>498.377</v>
      </c>
      <c r="H3844" s="14">
        <v>677545.92371</v>
      </c>
      <c r="I3844" s="14" t="e">
        <f>=Round(10.18000000,0)</f>
        <v>#VALUE!</v>
      </c>
      <c r="J3844" s="14" t="e">
        <f>=Round(0.00000000,0)</f>
        <v>#VALUE!</v>
      </c>
    </row>
    <row r="3845">
      <c r="A3845" s="11" t="s">
        <v>40</v>
      </c>
      <c r="B3845" s="12">
        <v>1359.7365</v>
      </c>
      <c r="C3845" s="12">
        <v>0</v>
      </c>
      <c r="D3845" s="13">
        <v>0</v>
      </c>
      <c r="E3845" s="12">
        <v>0</v>
      </c>
      <c r="F3845" s="14">
        <v>0</v>
      </c>
      <c r="G3845" s="13">
        <v>498.377</v>
      </c>
      <c r="H3845" s="14">
        <v>677661.397661</v>
      </c>
      <c r="I3845" s="14" t="e">
        <f>=Round(10.18170000,0)</f>
        <v>#VALUE!</v>
      </c>
      <c r="J3845" s="14" t="e">
        <f>=Round(0.00000000,0)</f>
        <v>#VALUE!</v>
      </c>
    </row>
    <row r="3846">
      <c r="A3846" s="11" t="s">
        <v>41</v>
      </c>
      <c r="B3846" s="12">
        <v>1359.979</v>
      </c>
      <c r="C3846" s="12">
        <v>0</v>
      </c>
      <c r="D3846" s="13">
        <v>0</v>
      </c>
      <c r="E3846" s="12">
        <v>0</v>
      </c>
      <c r="F3846" s="14">
        <v>0</v>
      </c>
      <c r="G3846" s="13">
        <v>498.377</v>
      </c>
      <c r="H3846" s="14">
        <v>677782.254083</v>
      </c>
      <c r="I3846" s="14" t="e">
        <f>=Round(10.18340000,0)</f>
        <v>#VALUE!</v>
      </c>
      <c r="J3846" s="14" t="e">
        <f>=Round(0.00000000,0)</f>
        <v>#VALUE!</v>
      </c>
    </row>
    <row r="3847">
      <c r="A3847" s="11" t="s">
        <v>42</v>
      </c>
      <c r="B3847" s="12">
        <v>1359.979</v>
      </c>
      <c r="C3847" s="12">
        <v>0</v>
      </c>
      <c r="D3847" s="13">
        <v>0</v>
      </c>
      <c r="E3847" s="12">
        <v>0</v>
      </c>
      <c r="F3847" s="14">
        <v>0</v>
      </c>
      <c r="G3847" s="13">
        <v>498.377</v>
      </c>
      <c r="H3847" s="14">
        <v>677782.254083</v>
      </c>
      <c r="I3847" s="14" t="e">
        <f>=Round(10.18530000,0)</f>
        <v>#VALUE!</v>
      </c>
      <c r="J3847" s="14" t="e">
        <f>=Round(0.00000000,0)</f>
        <v>#VALUE!</v>
      </c>
    </row>
    <row r="3848">
      <c r="A3848" s="11" t="s">
        <v>43</v>
      </c>
      <c r="B3848" s="12">
        <v>1359.979</v>
      </c>
      <c r="C3848" s="12">
        <v>0</v>
      </c>
      <c r="D3848" s="13">
        <v>0</v>
      </c>
      <c r="E3848" s="12">
        <v>0</v>
      </c>
      <c r="F3848" s="14">
        <v>0</v>
      </c>
      <c r="G3848" s="13">
        <v>498.377</v>
      </c>
      <c r="H3848" s="14">
        <v>677782.254083</v>
      </c>
      <c r="I3848" s="14" t="e">
        <f>=Round(10.18530000,0)</f>
        <v>#VALUE!</v>
      </c>
      <c r="J3848" s="14" t="e">
        <f>=Round(0.00000000,0)</f>
        <v>#VALUE!</v>
      </c>
    </row>
    <row r="3849">
      <c r="A3849" s="11" t="s">
        <v>44</v>
      </c>
      <c r="B3849" s="12">
        <v>1360.6758</v>
      </c>
      <c r="C3849" s="12">
        <v>0</v>
      </c>
      <c r="D3849" s="13">
        <v>0</v>
      </c>
      <c r="E3849" s="12">
        <v>0</v>
      </c>
      <c r="F3849" s="14">
        <v>0</v>
      </c>
      <c r="G3849" s="13">
        <v>498.377</v>
      </c>
      <c r="H3849" s="14">
        <v>678129.523177</v>
      </c>
      <c r="I3849" s="14" t="e">
        <f>=Round(10.18530000,0)</f>
        <v>#VALUE!</v>
      </c>
      <c r="J3849" s="14" t="e">
        <f>=Round(0.00000000,0)</f>
        <v>#VALUE!</v>
      </c>
    </row>
    <row r="3850">
      <c r="A3850" s="11" t="s">
        <v>45</v>
      </c>
      <c r="B3850" s="12">
        <v>1360.9062</v>
      </c>
      <c r="C3850" s="12">
        <v>0</v>
      </c>
      <c r="D3850" s="13">
        <v>0</v>
      </c>
      <c r="E3850" s="12">
        <v>0</v>
      </c>
      <c r="F3850" s="14">
        <v>0</v>
      </c>
      <c r="G3850" s="13">
        <v>498.377</v>
      </c>
      <c r="H3850" s="14">
        <v>678244.349237</v>
      </c>
      <c r="I3850" s="14" t="e">
        <f>=Round(10.19050000,0)</f>
        <v>#VALUE!</v>
      </c>
      <c r="J3850" s="14" t="e">
        <f>=Round(0.00000000,0)</f>
        <v>#VALUE!</v>
      </c>
    </row>
    <row r="3851">
      <c r="A3851" s="11" t="s">
        <v>46</v>
      </c>
      <c r="B3851" s="12">
        <v>1361.137</v>
      </c>
      <c r="C3851" s="12">
        <v>0</v>
      </c>
      <c r="D3851" s="13">
        <v>0</v>
      </c>
      <c r="E3851" s="12">
        <v>0</v>
      </c>
      <c r="F3851" s="14">
        <v>0</v>
      </c>
      <c r="G3851" s="13">
        <v>498.377</v>
      </c>
      <c r="H3851" s="14">
        <v>678359.374649</v>
      </c>
      <c r="I3851" s="14" t="e">
        <f>=Round(10.19220000,0)</f>
        <v>#VALUE!</v>
      </c>
      <c r="J3851" s="14" t="e">
        <f>=Round(0.00000000,0)</f>
        <v>#VALUE!</v>
      </c>
    </row>
    <row r="3852">
      <c r="A3852" s="11" t="s">
        <v>47</v>
      </c>
      <c r="B3852" s="12">
        <v>1361.367</v>
      </c>
      <c r="C3852" s="12">
        <v>0</v>
      </c>
      <c r="D3852" s="13">
        <v>0</v>
      </c>
      <c r="E3852" s="12">
        <v>0</v>
      </c>
      <c r="F3852" s="14">
        <v>0</v>
      </c>
      <c r="G3852" s="13">
        <v>498.377</v>
      </c>
      <c r="H3852" s="14">
        <v>678474.001359</v>
      </c>
      <c r="I3852" s="14" t="e">
        <f>=Round(10.19390000,0)</f>
        <v>#VALUE!</v>
      </c>
      <c r="J3852" s="14" t="e">
        <f>=Round(0.00000000,0)</f>
        <v>#VALUE!</v>
      </c>
    </row>
    <row r="3853">
      <c r="A3853" s="11" t="s">
        <v>48</v>
      </c>
      <c r="B3853" s="12">
        <v>1361.6195</v>
      </c>
      <c r="C3853" s="12">
        <v>0</v>
      </c>
      <c r="D3853" s="13">
        <v>0</v>
      </c>
      <c r="E3853" s="12">
        <v>0</v>
      </c>
      <c r="F3853" s="14">
        <v>0</v>
      </c>
      <c r="G3853" s="13">
        <v>498.377</v>
      </c>
      <c r="H3853" s="14">
        <v>678599.841552</v>
      </c>
      <c r="I3853" s="14" t="e">
        <f>=Round(10.19560000,0)</f>
        <v>#VALUE!</v>
      </c>
      <c r="J3853" s="14" t="e">
        <f>=Round(0.00000000,0)</f>
        <v>#VALUE!</v>
      </c>
    </row>
    <row r="3854">
      <c r="A3854" s="11" t="s">
        <v>49</v>
      </c>
      <c r="B3854" s="12">
        <v>1361.6195</v>
      </c>
      <c r="C3854" s="12">
        <v>0</v>
      </c>
      <c r="D3854" s="13">
        <v>0</v>
      </c>
      <c r="E3854" s="12">
        <v>0</v>
      </c>
      <c r="F3854" s="14">
        <v>0</v>
      </c>
      <c r="G3854" s="13">
        <v>498.377</v>
      </c>
      <c r="H3854" s="14">
        <v>678599.841552</v>
      </c>
      <c r="I3854" s="14" t="e">
        <f>=Round(10.19750000,0)</f>
        <v>#VALUE!</v>
      </c>
      <c r="J3854" s="14" t="e">
        <f>=Round(0.00000000,0)</f>
        <v>#VALUE!</v>
      </c>
    </row>
    <row r="3855">
      <c r="A3855" s="11" t="s">
        <v>50</v>
      </c>
      <c r="B3855" s="12">
        <v>1361.6195</v>
      </c>
      <c r="C3855" s="12">
        <v>0</v>
      </c>
      <c r="D3855" s="13">
        <v>0</v>
      </c>
      <c r="E3855" s="12">
        <v>0</v>
      </c>
      <c r="F3855" s="14">
        <v>0</v>
      </c>
      <c r="G3855" s="13">
        <v>498.377</v>
      </c>
      <c r="H3855" s="14">
        <v>678599.841552</v>
      </c>
      <c r="I3855" s="14" t="e">
        <f>=Round(10.19750000,0)</f>
        <v>#VALUE!</v>
      </c>
      <c r="J3855" s="14" t="e">
        <f>=Round(0.00000000,0)</f>
        <v>#VALUE!</v>
      </c>
    </row>
    <row r="3856">
      <c r="A3856" s="11" t="s">
        <v>51</v>
      </c>
      <c r="B3856" s="12">
        <v>1362.3425</v>
      </c>
      <c r="C3856" s="12">
        <v>0</v>
      </c>
      <c r="D3856" s="13">
        <v>0</v>
      </c>
      <c r="E3856" s="12">
        <v>0</v>
      </c>
      <c r="F3856" s="14">
        <v>0</v>
      </c>
      <c r="G3856" s="13">
        <v>498.377</v>
      </c>
      <c r="H3856" s="14">
        <v>678960.168123</v>
      </c>
      <c r="I3856" s="14" t="e">
        <f>=Round(10.19750000,0)</f>
        <v>#VALUE!</v>
      </c>
      <c r="J3856" s="14" t="e">
        <f>=Round(0.00000000,0)</f>
        <v>#VALUE!</v>
      </c>
    </row>
    <row r="3857">
      <c r="A3857" s="11" t="s">
        <v>52</v>
      </c>
      <c r="B3857" s="12">
        <v>1362.5746</v>
      </c>
      <c r="C3857" s="12">
        <v>0</v>
      </c>
      <c r="D3857" s="13">
        <v>0</v>
      </c>
      <c r="E3857" s="12">
        <v>0</v>
      </c>
      <c r="F3857" s="14">
        <v>0</v>
      </c>
      <c r="G3857" s="13">
        <v>498.377</v>
      </c>
      <c r="H3857" s="14">
        <v>679075.841424</v>
      </c>
      <c r="I3857" s="14" t="e">
        <f>=Round(10.20300000,0)</f>
        <v>#VALUE!</v>
      </c>
      <c r="J3857" s="14" t="e">
        <f>=Round(0.00000000,0)</f>
        <v>#VALUE!</v>
      </c>
    </row>
    <row r="3858">
      <c r="A3858" s="11" t="s">
        <v>53</v>
      </c>
      <c r="B3858" s="12">
        <v>1362.8067</v>
      </c>
      <c r="C3858" s="12">
        <v>0</v>
      </c>
      <c r="D3858" s="13">
        <v>0</v>
      </c>
      <c r="E3858" s="12">
        <v>0</v>
      </c>
      <c r="F3858" s="14">
        <v>0</v>
      </c>
      <c r="G3858" s="13">
        <v>498.377</v>
      </c>
      <c r="H3858" s="14">
        <v>679191.514726</v>
      </c>
      <c r="I3858" s="14" t="e">
        <f>=Round(10.20470000,0)</f>
        <v>#VALUE!</v>
      </c>
      <c r="J3858" s="14" t="e">
        <f>=Round(0.00000000,0)</f>
        <v>#VALUE!</v>
      </c>
    </row>
    <row r="3859">
      <c r="A3859" s="11" t="s">
        <v>54</v>
      </c>
      <c r="B3859" s="12">
        <v>1363.0394</v>
      </c>
      <c r="C3859" s="12">
        <v>0</v>
      </c>
      <c r="D3859" s="13">
        <v>0</v>
      </c>
      <c r="E3859" s="12">
        <v>0</v>
      </c>
      <c r="F3859" s="14">
        <v>0</v>
      </c>
      <c r="G3859" s="13">
        <v>498.377</v>
      </c>
      <c r="H3859" s="14">
        <v>679307.487054</v>
      </c>
      <c r="I3859" s="14" t="e">
        <f>=Round(10.20640000,0)</f>
        <v>#VALUE!</v>
      </c>
      <c r="J3859" s="14" t="e">
        <f>=Round(0.00000000,0)</f>
        <v>#VALUE!</v>
      </c>
    </row>
    <row r="3860">
      <c r="A3860" s="11" t="s">
        <v>55</v>
      </c>
      <c r="B3860" s="12">
        <v>1363.274</v>
      </c>
      <c r="C3860" s="12">
        <v>0</v>
      </c>
      <c r="D3860" s="13">
        <v>0</v>
      </c>
      <c r="E3860" s="12">
        <v>0</v>
      </c>
      <c r="F3860" s="14">
        <v>0</v>
      </c>
      <c r="G3860" s="13">
        <v>498.377</v>
      </c>
      <c r="H3860" s="14">
        <v>679424.406298</v>
      </c>
      <c r="I3860" s="14" t="e">
        <f>=Round(10.20820000,0)</f>
        <v>#VALUE!</v>
      </c>
      <c r="J3860" s="14" t="e">
        <f>=Round(0.00000000,0)</f>
        <v>#VALUE!</v>
      </c>
    </row>
    <row r="3861" ht="-1">
      <c r="A3861" s="15"/>
      <c r="B3861" s="16" t="s">
        <v>56</v>
      </c>
      <c r="C3861" s="15"/>
      <c r="D3861" s="15"/>
      <c r="E3861" s="15"/>
      <c r="F3861" s="15"/>
      <c r="G3861" s="15"/>
      <c r="H3861" s="15"/>
      <c r="I3861" s="17" t="e">
        <f>=Round(SUM(I3835:I3860),0)</f>
        <v>#VALUE!</v>
      </c>
      <c r="J3861" s="17" t="e">
        <f>=Round(SUM(J3835:J3860),0)</f>
        <v>#VALUE!</v>
      </c>
    </row>
    <row r="3862">
      <c r="A3862" s="1" t="s">
        <v>0</v>
      </c>
      <c r="B3862" s="1"/>
      <c r="C3862" s="1"/>
      <c r="D3862" s="1"/>
    </row>
    <row r="3863">
      <c r="A3863" s="0" t="s">
        <v>1</v>
      </c>
      <c r="C3863" s="0" t="s">
        <v>144</v>
      </c>
      <c r="H3863" s="2" t="s">
        <v>3</v>
      </c>
    </row>
    <row r="3864">
      <c r="A3864" s="0" t="s">
        <v>4</v>
      </c>
      <c r="C3864" s="0" t="s">
        <v>157</v>
      </c>
      <c r="H3864" s="3" t="s">
        <v>6</v>
      </c>
    </row>
    <row r="3865">
      <c r="A3865" s="0" t="s">
        <v>7</v>
      </c>
      <c r="C3865" s="4" t="s">
        <v>146</v>
      </c>
      <c r="H3865" s="2" t="s">
        <v>9</v>
      </c>
    </row>
    <row r="3866">
      <c r="A3866" s="0" t="s">
        <v>10</v>
      </c>
      <c r="C3866" s="4" t="s">
        <v>11</v>
      </c>
      <c r="H3866" s="2" t="s">
        <v>12</v>
      </c>
    </row>
    <row r="3867">
      <c r="A3867" s="0" t="s">
        <v>13</v>
      </c>
      <c r="C3867" s="0" t="s">
        <v>14</v>
      </c>
    </row>
    <row r="3868">
      <c r="A3868" s="0" t="s">
        <v>15</v>
      </c>
      <c r="C3868" s="0" t="s">
        <v>16</v>
      </c>
    </row>
    <row r="3869">
      <c r="A3869" s="0" t="s">
        <v>17</v>
      </c>
      <c r="C3869" s="0" t="s">
        <v>18</v>
      </c>
    </row>
    <row r="3872">
      <c r="A3872" s="5" t="s">
        <v>19</v>
      </c>
      <c r="B3872" s="5" t="s">
        <v>20</v>
      </c>
      <c r="C3872" s="7" t="s">
        <v>21</v>
      </c>
      <c r="D3872" s="9"/>
      <c r="E3872" s="7" t="s">
        <v>22</v>
      </c>
      <c r="F3872" s="9"/>
      <c r="G3872" s="5" t="s">
        <v>23</v>
      </c>
      <c r="H3872" s="5" t="s">
        <v>24</v>
      </c>
      <c r="I3872" s="5" t="s">
        <v>147</v>
      </c>
      <c r="J3872" s="5" t="s">
        <v>26</v>
      </c>
    </row>
    <row r="3873">
      <c r="A3873" s="6"/>
      <c r="B3873" s="6"/>
      <c r="C3873" s="8" t="s">
        <v>27</v>
      </c>
      <c r="D3873" s="8" t="s">
        <v>28</v>
      </c>
      <c r="E3873" s="8" t="s">
        <v>27</v>
      </c>
      <c r="F3873" s="8" t="s">
        <v>28</v>
      </c>
      <c r="G3873" s="6"/>
      <c r="H3873" s="6"/>
      <c r="I3873" s="10" t="s">
        <v>29</v>
      </c>
      <c r="J3873" s="6"/>
    </row>
    <row r="3874">
      <c r="A3874" s="11" t="s">
        <v>30</v>
      </c>
      <c r="B3874" s="12">
        <v>1357.4104</v>
      </c>
      <c r="C3874" s="12">
        <v>0</v>
      </c>
      <c r="D3874" s="13">
        <v>0</v>
      </c>
      <c r="E3874" s="12">
        <v>0</v>
      </c>
      <c r="F3874" s="14">
        <v>0</v>
      </c>
      <c r="G3874" s="13">
        <v>497.261</v>
      </c>
      <c r="H3874" s="14">
        <v>674987.252914</v>
      </c>
      <c r="I3874" s="14" t="e">
        <f>=Round(10.13810000,0)</f>
        <v>#VALUE!</v>
      </c>
      <c r="J3874" s="14" t="e">
        <f>=Round(0.00000000,0)</f>
        <v>#VALUE!</v>
      </c>
    </row>
    <row r="3875">
      <c r="A3875" s="11" t="s">
        <v>31</v>
      </c>
      <c r="B3875" s="12">
        <v>1357.6428</v>
      </c>
      <c r="C3875" s="12">
        <v>0</v>
      </c>
      <c r="D3875" s="13">
        <v>0</v>
      </c>
      <c r="E3875" s="12">
        <v>0</v>
      </c>
      <c r="F3875" s="14">
        <v>0</v>
      </c>
      <c r="G3875" s="13">
        <v>497.261</v>
      </c>
      <c r="H3875" s="14">
        <v>675102.816371</v>
      </c>
      <c r="I3875" s="14" t="e">
        <f>=Round(10.14330000,0)</f>
        <v>#VALUE!</v>
      </c>
      <c r="J3875" s="14" t="e">
        <f>=Round(0.00000000,0)</f>
        <v>#VALUE!</v>
      </c>
    </row>
    <row r="3876">
      <c r="A3876" s="11" t="s">
        <v>32</v>
      </c>
      <c r="B3876" s="12">
        <v>1357.8735</v>
      </c>
      <c r="C3876" s="12">
        <v>0</v>
      </c>
      <c r="D3876" s="13">
        <v>0</v>
      </c>
      <c r="E3876" s="12">
        <v>0</v>
      </c>
      <c r="F3876" s="14">
        <v>0</v>
      </c>
      <c r="G3876" s="13">
        <v>497.261</v>
      </c>
      <c r="H3876" s="14">
        <v>675217.534484</v>
      </c>
      <c r="I3876" s="14" t="e">
        <f>=Round(10.14500000,0)</f>
        <v>#VALUE!</v>
      </c>
      <c r="J3876" s="14" t="e">
        <f>=Round(0.00000000,0)</f>
        <v>#VALUE!</v>
      </c>
    </row>
    <row r="3877">
      <c r="A3877" s="11" t="s">
        <v>33</v>
      </c>
      <c r="B3877" s="12">
        <v>1358.1079</v>
      </c>
      <c r="C3877" s="12">
        <v>0</v>
      </c>
      <c r="D3877" s="13">
        <v>0</v>
      </c>
      <c r="E3877" s="12">
        <v>0</v>
      </c>
      <c r="F3877" s="14">
        <v>0</v>
      </c>
      <c r="G3877" s="13">
        <v>497.261</v>
      </c>
      <c r="H3877" s="14">
        <v>675334.092462</v>
      </c>
      <c r="I3877" s="14" t="e">
        <f>=Round(10.14670000,0)</f>
        <v>#VALUE!</v>
      </c>
      <c r="J3877" s="14" t="e">
        <f>=Round(0.00000000,0)</f>
        <v>#VALUE!</v>
      </c>
    </row>
    <row r="3878">
      <c r="A3878" s="11" t="s">
        <v>34</v>
      </c>
      <c r="B3878" s="12">
        <v>1358.3402</v>
      </c>
      <c r="C3878" s="12">
        <v>0</v>
      </c>
      <c r="D3878" s="13">
        <v>0</v>
      </c>
      <c r="E3878" s="12">
        <v>0</v>
      </c>
      <c r="F3878" s="14">
        <v>0</v>
      </c>
      <c r="G3878" s="13">
        <v>497.261</v>
      </c>
      <c r="H3878" s="14">
        <v>675449.606192</v>
      </c>
      <c r="I3878" s="14" t="e">
        <f>=Round(10.14850000,0)</f>
        <v>#VALUE!</v>
      </c>
      <c r="J3878" s="14" t="e">
        <f>=Round(0.00000000,0)</f>
        <v>#VALUE!</v>
      </c>
    </row>
    <row r="3879">
      <c r="A3879" s="11" t="s">
        <v>35</v>
      </c>
      <c r="B3879" s="12">
        <v>1358.3402</v>
      </c>
      <c r="C3879" s="12">
        <v>0</v>
      </c>
      <c r="D3879" s="13">
        <v>0</v>
      </c>
      <c r="E3879" s="12">
        <v>0</v>
      </c>
      <c r="F3879" s="14">
        <v>0</v>
      </c>
      <c r="G3879" s="13">
        <v>497.261</v>
      </c>
      <c r="H3879" s="14">
        <v>675449.606192</v>
      </c>
      <c r="I3879" s="14" t="e">
        <f>=Round(10.15020000,0)</f>
        <v>#VALUE!</v>
      </c>
      <c r="J3879" s="14" t="e">
        <f>=Round(0.00000000,0)</f>
        <v>#VALUE!</v>
      </c>
    </row>
    <row r="3880">
      <c r="A3880" s="11" t="s">
        <v>36</v>
      </c>
      <c r="B3880" s="12">
        <v>1358.3402</v>
      </c>
      <c r="C3880" s="12">
        <v>0</v>
      </c>
      <c r="D3880" s="13">
        <v>0</v>
      </c>
      <c r="E3880" s="12">
        <v>0</v>
      </c>
      <c r="F3880" s="14">
        <v>0</v>
      </c>
      <c r="G3880" s="13">
        <v>497.261</v>
      </c>
      <c r="H3880" s="14">
        <v>675449.606192</v>
      </c>
      <c r="I3880" s="14" t="e">
        <f>=Round(10.15020000,0)</f>
        <v>#VALUE!</v>
      </c>
      <c r="J3880" s="14" t="e">
        <f>=Round(0.00000000,0)</f>
        <v>#VALUE!</v>
      </c>
    </row>
    <row r="3881">
      <c r="A3881" s="11" t="s">
        <v>37</v>
      </c>
      <c r="B3881" s="12">
        <v>1359.0395</v>
      </c>
      <c r="C3881" s="12">
        <v>0</v>
      </c>
      <c r="D3881" s="13">
        <v>0</v>
      </c>
      <c r="E3881" s="12">
        <v>0</v>
      </c>
      <c r="F3881" s="14">
        <v>0</v>
      </c>
      <c r="G3881" s="13">
        <v>497.261</v>
      </c>
      <c r="H3881" s="14">
        <v>675797.34081</v>
      </c>
      <c r="I3881" s="14" t="e">
        <f>=Round(10.15020000,0)</f>
        <v>#VALUE!</v>
      </c>
      <c r="J3881" s="14" t="e">
        <f>=Round(0.00000000,0)</f>
        <v>#VALUE!</v>
      </c>
    </row>
    <row r="3882">
      <c r="A3882" s="11" t="s">
        <v>38</v>
      </c>
      <c r="B3882" s="12">
        <v>1359.2726</v>
      </c>
      <c r="C3882" s="12">
        <v>0</v>
      </c>
      <c r="D3882" s="13">
        <v>0</v>
      </c>
      <c r="E3882" s="12">
        <v>0</v>
      </c>
      <c r="F3882" s="14">
        <v>0</v>
      </c>
      <c r="G3882" s="13">
        <v>497.261</v>
      </c>
      <c r="H3882" s="14">
        <v>675913.252349</v>
      </c>
      <c r="I3882" s="14" t="e">
        <f>=Round(10.15540000,0)</f>
        <v>#VALUE!</v>
      </c>
      <c r="J3882" s="14" t="e">
        <f>=Round(0.00000000,0)</f>
        <v>#VALUE!</v>
      </c>
    </row>
    <row r="3883">
      <c r="A3883" s="11" t="s">
        <v>39</v>
      </c>
      <c r="B3883" s="12">
        <v>1359.5048</v>
      </c>
      <c r="C3883" s="12">
        <v>0</v>
      </c>
      <c r="D3883" s="13">
        <v>0</v>
      </c>
      <c r="E3883" s="12">
        <v>0</v>
      </c>
      <c r="F3883" s="14">
        <v>0</v>
      </c>
      <c r="G3883" s="13">
        <v>497.261</v>
      </c>
      <c r="H3883" s="14">
        <v>676028.716353</v>
      </c>
      <c r="I3883" s="14" t="e">
        <f>=Round(10.15720000,0)</f>
        <v>#VALUE!</v>
      </c>
      <c r="J3883" s="14" t="e">
        <f>=Round(0.00000000,0)</f>
        <v>#VALUE!</v>
      </c>
    </row>
    <row r="3884">
      <c r="A3884" s="11" t="s">
        <v>40</v>
      </c>
      <c r="B3884" s="12">
        <v>1359.7365</v>
      </c>
      <c r="C3884" s="12">
        <v>0</v>
      </c>
      <c r="D3884" s="13">
        <v>0</v>
      </c>
      <c r="E3884" s="12">
        <v>0</v>
      </c>
      <c r="F3884" s="14">
        <v>0</v>
      </c>
      <c r="G3884" s="13">
        <v>497.261</v>
      </c>
      <c r="H3884" s="14">
        <v>676143.931727</v>
      </c>
      <c r="I3884" s="14" t="e">
        <f>=Round(10.15890000,0)</f>
        <v>#VALUE!</v>
      </c>
      <c r="J3884" s="14" t="e">
        <f>=Round(0.00000000,0)</f>
        <v>#VALUE!</v>
      </c>
    </row>
    <row r="3885">
      <c r="A3885" s="11" t="s">
        <v>41</v>
      </c>
      <c r="B3885" s="12">
        <v>1359.979</v>
      </c>
      <c r="C3885" s="12">
        <v>0</v>
      </c>
      <c r="D3885" s="13">
        <v>0</v>
      </c>
      <c r="E3885" s="12">
        <v>0</v>
      </c>
      <c r="F3885" s="14">
        <v>0</v>
      </c>
      <c r="G3885" s="13">
        <v>497.261</v>
      </c>
      <c r="H3885" s="14">
        <v>676264.517519</v>
      </c>
      <c r="I3885" s="14" t="e">
        <f>=Round(10.16060000,0)</f>
        <v>#VALUE!</v>
      </c>
      <c r="J3885" s="14" t="e">
        <f>=Round(0.00000000,0)</f>
        <v>#VALUE!</v>
      </c>
    </row>
    <row r="3886">
      <c r="A3886" s="11" t="s">
        <v>42</v>
      </c>
      <c r="B3886" s="12">
        <v>1359.979</v>
      </c>
      <c r="C3886" s="12">
        <v>0</v>
      </c>
      <c r="D3886" s="13">
        <v>0</v>
      </c>
      <c r="E3886" s="12">
        <v>0</v>
      </c>
      <c r="F3886" s="14">
        <v>0</v>
      </c>
      <c r="G3886" s="13">
        <v>497.261</v>
      </c>
      <c r="H3886" s="14">
        <v>676264.517519</v>
      </c>
      <c r="I3886" s="14" t="e">
        <f>=Round(10.16240000,0)</f>
        <v>#VALUE!</v>
      </c>
      <c r="J3886" s="14" t="e">
        <f>=Round(0.00000000,0)</f>
        <v>#VALUE!</v>
      </c>
    </row>
    <row r="3887">
      <c r="A3887" s="11" t="s">
        <v>43</v>
      </c>
      <c r="B3887" s="12">
        <v>1359.979</v>
      </c>
      <c r="C3887" s="12">
        <v>0</v>
      </c>
      <c r="D3887" s="13">
        <v>0</v>
      </c>
      <c r="E3887" s="12">
        <v>0</v>
      </c>
      <c r="F3887" s="14">
        <v>0</v>
      </c>
      <c r="G3887" s="13">
        <v>497.261</v>
      </c>
      <c r="H3887" s="14">
        <v>676264.517519</v>
      </c>
      <c r="I3887" s="14" t="e">
        <f>=Round(10.16240000,0)</f>
        <v>#VALUE!</v>
      </c>
      <c r="J3887" s="14" t="e">
        <f>=Round(0.00000000,0)</f>
        <v>#VALUE!</v>
      </c>
    </row>
    <row r="3888">
      <c r="A3888" s="11" t="s">
        <v>44</v>
      </c>
      <c r="B3888" s="12">
        <v>1360.6758</v>
      </c>
      <c r="C3888" s="12">
        <v>0</v>
      </c>
      <c r="D3888" s="13">
        <v>0</v>
      </c>
      <c r="E3888" s="12">
        <v>0</v>
      </c>
      <c r="F3888" s="14">
        <v>0</v>
      </c>
      <c r="G3888" s="13">
        <v>497.261</v>
      </c>
      <c r="H3888" s="14">
        <v>676611.008984</v>
      </c>
      <c r="I3888" s="14" t="e">
        <f>=Round(10.16240000,0)</f>
        <v>#VALUE!</v>
      </c>
      <c r="J3888" s="14" t="e">
        <f>=Round(0.00000000,0)</f>
        <v>#VALUE!</v>
      </c>
    </row>
    <row r="3889">
      <c r="A3889" s="11" t="s">
        <v>45</v>
      </c>
      <c r="B3889" s="12">
        <v>1360.9062</v>
      </c>
      <c r="C3889" s="12">
        <v>0</v>
      </c>
      <c r="D3889" s="13">
        <v>0</v>
      </c>
      <c r="E3889" s="12">
        <v>0</v>
      </c>
      <c r="F3889" s="14">
        <v>0</v>
      </c>
      <c r="G3889" s="13">
        <v>497.261</v>
      </c>
      <c r="H3889" s="14">
        <v>676725.577918</v>
      </c>
      <c r="I3889" s="14" t="e">
        <f>=Round(10.16770000,0)</f>
        <v>#VALUE!</v>
      </c>
      <c r="J3889" s="14" t="e">
        <f>=Round(0.00000000,0)</f>
        <v>#VALUE!</v>
      </c>
    </row>
    <row r="3890">
      <c r="A3890" s="11" t="s">
        <v>46</v>
      </c>
      <c r="B3890" s="12">
        <v>1361.137</v>
      </c>
      <c r="C3890" s="12">
        <v>0</v>
      </c>
      <c r="D3890" s="13">
        <v>0</v>
      </c>
      <c r="E3890" s="12">
        <v>0</v>
      </c>
      <c r="F3890" s="14">
        <v>0</v>
      </c>
      <c r="G3890" s="13">
        <v>497.261</v>
      </c>
      <c r="H3890" s="14">
        <v>676840.345757</v>
      </c>
      <c r="I3890" s="14" t="e">
        <f>=Round(10.16940000,0)</f>
        <v>#VALUE!</v>
      </c>
      <c r="J3890" s="14" t="e">
        <f>=Round(0.00000000,0)</f>
        <v>#VALUE!</v>
      </c>
    </row>
    <row r="3891">
      <c r="A3891" s="11" t="s">
        <v>47</v>
      </c>
      <c r="B3891" s="12">
        <v>1361.367</v>
      </c>
      <c r="C3891" s="12">
        <v>0</v>
      </c>
      <c r="D3891" s="13">
        <v>0</v>
      </c>
      <c r="E3891" s="12">
        <v>0</v>
      </c>
      <c r="F3891" s="14">
        <v>0</v>
      </c>
      <c r="G3891" s="13">
        <v>497.261</v>
      </c>
      <c r="H3891" s="14">
        <v>676954.715787</v>
      </c>
      <c r="I3891" s="14" t="e">
        <f>=Round(10.17110000,0)</f>
        <v>#VALUE!</v>
      </c>
      <c r="J3891" s="14" t="e">
        <f>=Round(0.00000000,0)</f>
        <v>#VALUE!</v>
      </c>
    </row>
    <row r="3892">
      <c r="A3892" s="11" t="s">
        <v>48</v>
      </c>
      <c r="B3892" s="12">
        <v>1361.6195</v>
      </c>
      <c r="C3892" s="12">
        <v>0</v>
      </c>
      <c r="D3892" s="13">
        <v>0</v>
      </c>
      <c r="E3892" s="12">
        <v>0</v>
      </c>
      <c r="F3892" s="14">
        <v>0</v>
      </c>
      <c r="G3892" s="13">
        <v>497.261</v>
      </c>
      <c r="H3892" s="14">
        <v>677080.27419</v>
      </c>
      <c r="I3892" s="14" t="e">
        <f>=Round(10.17280000,0)</f>
        <v>#VALUE!</v>
      </c>
      <c r="J3892" s="14" t="e">
        <f>=Round(0.00000000,0)</f>
        <v>#VALUE!</v>
      </c>
    </row>
    <row r="3893">
      <c r="A3893" s="11" t="s">
        <v>49</v>
      </c>
      <c r="B3893" s="12">
        <v>1361.6195</v>
      </c>
      <c r="C3893" s="12">
        <v>0</v>
      </c>
      <c r="D3893" s="13">
        <v>0</v>
      </c>
      <c r="E3893" s="12">
        <v>0</v>
      </c>
      <c r="F3893" s="14">
        <v>0</v>
      </c>
      <c r="G3893" s="13">
        <v>497.261</v>
      </c>
      <c r="H3893" s="14">
        <v>677080.27419</v>
      </c>
      <c r="I3893" s="14" t="e">
        <f>=Round(10.17470000,0)</f>
        <v>#VALUE!</v>
      </c>
      <c r="J3893" s="14" t="e">
        <f>=Round(0.00000000,0)</f>
        <v>#VALUE!</v>
      </c>
    </row>
    <row r="3894">
      <c r="A3894" s="11" t="s">
        <v>50</v>
      </c>
      <c r="B3894" s="12">
        <v>1361.6195</v>
      </c>
      <c r="C3894" s="12">
        <v>0</v>
      </c>
      <c r="D3894" s="13">
        <v>0</v>
      </c>
      <c r="E3894" s="12">
        <v>0</v>
      </c>
      <c r="F3894" s="14">
        <v>0</v>
      </c>
      <c r="G3894" s="13">
        <v>497.261</v>
      </c>
      <c r="H3894" s="14">
        <v>677080.27419</v>
      </c>
      <c r="I3894" s="14" t="e">
        <f>=Round(10.17470000,0)</f>
        <v>#VALUE!</v>
      </c>
      <c r="J3894" s="14" t="e">
        <f>=Round(0.00000000,0)</f>
        <v>#VALUE!</v>
      </c>
    </row>
    <row r="3895">
      <c r="A3895" s="11" t="s">
        <v>51</v>
      </c>
      <c r="B3895" s="12">
        <v>1362.3425</v>
      </c>
      <c r="C3895" s="12">
        <v>0</v>
      </c>
      <c r="D3895" s="13">
        <v>0</v>
      </c>
      <c r="E3895" s="12">
        <v>0</v>
      </c>
      <c r="F3895" s="14">
        <v>0</v>
      </c>
      <c r="G3895" s="13">
        <v>497.261</v>
      </c>
      <c r="H3895" s="14">
        <v>677439.793893</v>
      </c>
      <c r="I3895" s="14" t="e">
        <f>=Round(10.17470000,0)</f>
        <v>#VALUE!</v>
      </c>
      <c r="J3895" s="14" t="e">
        <f>=Round(0.00000000,0)</f>
        <v>#VALUE!</v>
      </c>
    </row>
    <row r="3896">
      <c r="A3896" s="11" t="s">
        <v>52</v>
      </c>
      <c r="B3896" s="12">
        <v>1362.5746</v>
      </c>
      <c r="C3896" s="12">
        <v>0</v>
      </c>
      <c r="D3896" s="13">
        <v>0</v>
      </c>
      <c r="E3896" s="12">
        <v>0</v>
      </c>
      <c r="F3896" s="14">
        <v>0</v>
      </c>
      <c r="G3896" s="13">
        <v>497.261</v>
      </c>
      <c r="H3896" s="14">
        <v>677555.208171</v>
      </c>
      <c r="I3896" s="14" t="e">
        <f>=Round(10.18010000,0)</f>
        <v>#VALUE!</v>
      </c>
      <c r="J3896" s="14" t="e">
        <f>=Round(0.00000000,0)</f>
        <v>#VALUE!</v>
      </c>
    </row>
    <row r="3897">
      <c r="A3897" s="11" t="s">
        <v>53</v>
      </c>
      <c r="B3897" s="12">
        <v>1362.8067</v>
      </c>
      <c r="C3897" s="12">
        <v>0</v>
      </c>
      <c r="D3897" s="13">
        <v>0</v>
      </c>
      <c r="E3897" s="12">
        <v>0</v>
      </c>
      <c r="F3897" s="14">
        <v>0</v>
      </c>
      <c r="G3897" s="13">
        <v>497.261</v>
      </c>
      <c r="H3897" s="14">
        <v>677670.622449</v>
      </c>
      <c r="I3897" s="14" t="e">
        <f>=Round(10.18180000,0)</f>
        <v>#VALUE!</v>
      </c>
      <c r="J3897" s="14" t="e">
        <f>=Round(0.00000000,0)</f>
        <v>#VALUE!</v>
      </c>
    </row>
    <row r="3898">
      <c r="A3898" s="11" t="s">
        <v>54</v>
      </c>
      <c r="B3898" s="12">
        <v>1363.0394</v>
      </c>
      <c r="C3898" s="12">
        <v>0</v>
      </c>
      <c r="D3898" s="13">
        <v>0</v>
      </c>
      <c r="E3898" s="12">
        <v>0</v>
      </c>
      <c r="F3898" s="14">
        <v>0</v>
      </c>
      <c r="G3898" s="13">
        <v>497.261</v>
      </c>
      <c r="H3898" s="14">
        <v>677786.335083</v>
      </c>
      <c r="I3898" s="14" t="e">
        <f>=Round(10.18360000,0)</f>
        <v>#VALUE!</v>
      </c>
      <c r="J3898" s="14" t="e">
        <f>=Round(0.00000000,0)</f>
        <v>#VALUE!</v>
      </c>
    </row>
    <row r="3899">
      <c r="A3899" s="11" t="s">
        <v>55</v>
      </c>
      <c r="B3899" s="12">
        <v>1363.274</v>
      </c>
      <c r="C3899" s="12">
        <v>0</v>
      </c>
      <c r="D3899" s="13">
        <v>0</v>
      </c>
      <c r="E3899" s="12">
        <v>0</v>
      </c>
      <c r="F3899" s="14">
        <v>0</v>
      </c>
      <c r="G3899" s="13">
        <v>497.261</v>
      </c>
      <c r="H3899" s="14">
        <v>677902.992514</v>
      </c>
      <c r="I3899" s="14" t="e">
        <f>=Round(10.18530000,0)</f>
        <v>#VALUE!</v>
      </c>
      <c r="J3899" s="14" t="e">
        <f>=Round(0.00000000,0)</f>
        <v>#VALUE!</v>
      </c>
    </row>
    <row r="3900" ht="-1">
      <c r="A3900" s="15"/>
      <c r="B3900" s="16" t="s">
        <v>56</v>
      </c>
      <c r="C3900" s="15"/>
      <c r="D3900" s="15"/>
      <c r="E3900" s="15"/>
      <c r="F3900" s="15"/>
      <c r="G3900" s="15"/>
      <c r="H3900" s="15"/>
      <c r="I3900" s="17" t="e">
        <f>=Round(SUM(I3874:I3899),0)</f>
        <v>#VALUE!</v>
      </c>
      <c r="J3900" s="17" t="e">
        <f>=Round(SUM(J3874:J3899),0)</f>
        <v>#VALUE!</v>
      </c>
    </row>
    <row r="3901">
      <c r="A3901" s="1" t="s">
        <v>0</v>
      </c>
      <c r="B3901" s="1"/>
      <c r="C3901" s="1"/>
      <c r="D3901" s="1"/>
    </row>
    <row r="3902">
      <c r="A3902" s="0" t="s">
        <v>1</v>
      </c>
      <c r="C3902" s="0" t="s">
        <v>144</v>
      </c>
      <c r="H3902" s="2" t="s">
        <v>3</v>
      </c>
    </row>
    <row r="3903">
      <c r="A3903" s="0" t="s">
        <v>4</v>
      </c>
      <c r="C3903" s="0" t="s">
        <v>158</v>
      </c>
      <c r="H3903" s="3" t="s">
        <v>6</v>
      </c>
    </row>
    <row r="3904">
      <c r="A3904" s="0" t="s">
        <v>7</v>
      </c>
      <c r="C3904" s="4" t="s">
        <v>146</v>
      </c>
      <c r="H3904" s="2" t="s">
        <v>9</v>
      </c>
    </row>
    <row r="3905">
      <c r="A3905" s="0" t="s">
        <v>10</v>
      </c>
      <c r="C3905" s="4" t="s">
        <v>11</v>
      </c>
      <c r="H3905" s="2" t="s">
        <v>12</v>
      </c>
    </row>
    <row r="3906">
      <c r="A3906" s="0" t="s">
        <v>13</v>
      </c>
      <c r="C3906" s="0" t="s">
        <v>14</v>
      </c>
    </row>
    <row r="3907">
      <c r="A3907" s="0" t="s">
        <v>15</v>
      </c>
      <c r="C3907" s="0" t="s">
        <v>16</v>
      </c>
    </row>
    <row r="3908">
      <c r="A3908" s="0" t="s">
        <v>17</v>
      </c>
      <c r="C3908" s="0" t="s">
        <v>18</v>
      </c>
    </row>
    <row r="3911">
      <c r="A3911" s="5" t="s">
        <v>19</v>
      </c>
      <c r="B3911" s="5" t="s">
        <v>20</v>
      </c>
      <c r="C3911" s="7" t="s">
        <v>21</v>
      </c>
      <c r="D3911" s="9"/>
      <c r="E3911" s="7" t="s">
        <v>22</v>
      </c>
      <c r="F3911" s="9"/>
      <c r="G3911" s="5" t="s">
        <v>23</v>
      </c>
      <c r="H3911" s="5" t="s">
        <v>24</v>
      </c>
      <c r="I3911" s="5" t="s">
        <v>147</v>
      </c>
      <c r="J3911" s="5" t="s">
        <v>26</v>
      </c>
    </row>
    <row r="3912">
      <c r="A3912" s="6"/>
      <c r="B3912" s="6"/>
      <c r="C3912" s="8" t="s">
        <v>27</v>
      </c>
      <c r="D3912" s="8" t="s">
        <v>28</v>
      </c>
      <c r="E3912" s="8" t="s">
        <v>27</v>
      </c>
      <c r="F3912" s="8" t="s">
        <v>28</v>
      </c>
      <c r="G3912" s="6"/>
      <c r="H3912" s="6"/>
      <c r="I3912" s="10" t="s">
        <v>29</v>
      </c>
      <c r="J3912" s="6"/>
    </row>
    <row r="3913">
      <c r="A3913" s="11" t="s">
        <v>30</v>
      </c>
      <c r="B3913" s="12">
        <v>1357.4104</v>
      </c>
      <c r="C3913" s="12">
        <v>0</v>
      </c>
      <c r="D3913" s="13">
        <v>0</v>
      </c>
      <c r="E3913" s="12">
        <v>0</v>
      </c>
      <c r="F3913" s="14">
        <v>0</v>
      </c>
      <c r="G3913" s="13">
        <v>1252659.5005</v>
      </c>
      <c r="H3913" s="14">
        <v>1700373033.6375051</v>
      </c>
      <c r="I3913" s="14" t="e">
        <f>=Round(25538.98800000,0)</f>
        <v>#VALUE!</v>
      </c>
      <c r="J3913" s="14" t="e">
        <f>=Round(0.00000000,0)</f>
        <v>#VALUE!</v>
      </c>
    </row>
    <row r="3914">
      <c r="A3914" s="11" t="s">
        <v>31</v>
      </c>
      <c r="B3914" s="12">
        <v>1357.6428</v>
      </c>
      <c r="C3914" s="12">
        <v>0</v>
      </c>
      <c r="D3914" s="13">
        <v>0</v>
      </c>
      <c r="E3914" s="12">
        <v>0</v>
      </c>
      <c r="F3914" s="14">
        <v>0</v>
      </c>
      <c r="G3914" s="13">
        <v>1252659.5005</v>
      </c>
      <c r="H3914" s="14">
        <v>1700664151.705421</v>
      </c>
      <c r="I3914" s="14" t="e">
        <f>=Round(25552.05380000,0)</f>
        <v>#VALUE!</v>
      </c>
      <c r="J3914" s="14" t="e">
        <f>=Round(0.00000000,0)</f>
        <v>#VALUE!</v>
      </c>
    </row>
    <row r="3915">
      <c r="A3915" s="11" t="s">
        <v>32</v>
      </c>
      <c r="B3915" s="12">
        <v>1357.8735</v>
      </c>
      <c r="C3915" s="12">
        <v>0</v>
      </c>
      <c r="D3915" s="13">
        <v>0</v>
      </c>
      <c r="E3915" s="12">
        <v>0</v>
      </c>
      <c r="F3915" s="14">
        <v>0</v>
      </c>
      <c r="G3915" s="13">
        <v>1252659.5005</v>
      </c>
      <c r="H3915" s="14">
        <v>1700953140.252187</v>
      </c>
      <c r="I3915" s="14" t="e">
        <f>=Round(25556.42850000,0)</f>
        <v>#VALUE!</v>
      </c>
      <c r="J3915" s="14" t="e">
        <f>=Round(0.00000000,0)</f>
        <v>#VALUE!</v>
      </c>
    </row>
    <row r="3916">
      <c r="A3916" s="11" t="s">
        <v>33</v>
      </c>
      <c r="B3916" s="12">
        <v>1358.1079</v>
      </c>
      <c r="C3916" s="12">
        <v>0</v>
      </c>
      <c r="D3916" s="13">
        <v>0</v>
      </c>
      <c r="E3916" s="12">
        <v>0</v>
      </c>
      <c r="F3916" s="14">
        <v>0</v>
      </c>
      <c r="G3916" s="13">
        <v>1252659.5005</v>
      </c>
      <c r="H3916" s="14">
        <v>1701246763.6391039</v>
      </c>
      <c r="I3916" s="14" t="e">
        <f>=Round(25560.77120000,0)</f>
        <v>#VALUE!</v>
      </c>
      <c r="J3916" s="14" t="e">
        <f>=Round(0.00000000,0)</f>
        <v>#VALUE!</v>
      </c>
    </row>
    <row r="3917">
      <c r="A3917" s="11" t="s">
        <v>34</v>
      </c>
      <c r="B3917" s="12">
        <v>1358.3402</v>
      </c>
      <c r="C3917" s="12">
        <v>0</v>
      </c>
      <c r="D3917" s="13">
        <v>0</v>
      </c>
      <c r="E3917" s="12">
        <v>0</v>
      </c>
      <c r="F3917" s="14">
        <v>0</v>
      </c>
      <c r="G3917" s="13">
        <v>1252659.5005</v>
      </c>
      <c r="H3917" s="14">
        <v>1701537756.44107</v>
      </c>
      <c r="I3917" s="14" t="e">
        <f>=Round(25565.18360000,0)</f>
        <v>#VALUE!</v>
      </c>
      <c r="J3917" s="14" t="e">
        <f>=Round(0.00000000,0)</f>
        <v>#VALUE!</v>
      </c>
    </row>
    <row r="3918">
      <c r="A3918" s="11" t="s">
        <v>35</v>
      </c>
      <c r="B3918" s="12">
        <v>1358.3402</v>
      </c>
      <c r="C3918" s="12">
        <v>0</v>
      </c>
      <c r="D3918" s="13">
        <v>0</v>
      </c>
      <c r="E3918" s="12">
        <v>0</v>
      </c>
      <c r="F3918" s="14">
        <v>0</v>
      </c>
      <c r="G3918" s="13">
        <v>1252659.5005</v>
      </c>
      <c r="H3918" s="14">
        <v>1701537756.44107</v>
      </c>
      <c r="I3918" s="14" t="e">
        <f>=Round(25569.55640000,0)</f>
        <v>#VALUE!</v>
      </c>
      <c r="J3918" s="14" t="e">
        <f>=Round(0.00000000,0)</f>
        <v>#VALUE!</v>
      </c>
    </row>
    <row r="3919">
      <c r="A3919" s="11" t="s">
        <v>36</v>
      </c>
      <c r="B3919" s="12">
        <v>1358.3402</v>
      </c>
      <c r="C3919" s="12">
        <v>0</v>
      </c>
      <c r="D3919" s="13">
        <v>0</v>
      </c>
      <c r="E3919" s="12">
        <v>0</v>
      </c>
      <c r="F3919" s="14">
        <v>0</v>
      </c>
      <c r="G3919" s="13">
        <v>1252659.5005</v>
      </c>
      <c r="H3919" s="14">
        <v>1701537756.44107</v>
      </c>
      <c r="I3919" s="14" t="e">
        <f>=Round(25569.55640000,0)</f>
        <v>#VALUE!</v>
      </c>
      <c r="J3919" s="14" t="e">
        <f>=Round(0.00000000,0)</f>
        <v>#VALUE!</v>
      </c>
    </row>
    <row r="3920">
      <c r="A3920" s="11" t="s">
        <v>37</v>
      </c>
      <c r="B3920" s="12">
        <v>1359.0395</v>
      </c>
      <c r="C3920" s="12">
        <v>0</v>
      </c>
      <c r="D3920" s="13">
        <v>0</v>
      </c>
      <c r="E3920" s="12">
        <v>0</v>
      </c>
      <c r="F3920" s="14">
        <v>0</v>
      </c>
      <c r="G3920" s="13">
        <v>1252659.5005</v>
      </c>
      <c r="H3920" s="14">
        <v>1702413741.22977</v>
      </c>
      <c r="I3920" s="14" t="e">
        <f>=Round(25569.55640000,0)</f>
        <v>#VALUE!</v>
      </c>
      <c r="J3920" s="14" t="e">
        <f>=Round(0.00000000,0)</f>
        <v>#VALUE!</v>
      </c>
    </row>
    <row r="3921">
      <c r="A3921" s="11" t="s">
        <v>38</v>
      </c>
      <c r="B3921" s="12">
        <v>1359.2726</v>
      </c>
      <c r="C3921" s="12">
        <v>0</v>
      </c>
      <c r="D3921" s="13">
        <v>0</v>
      </c>
      <c r="E3921" s="12">
        <v>0</v>
      </c>
      <c r="F3921" s="14">
        <v>0</v>
      </c>
      <c r="G3921" s="13">
        <v>1252659.5005</v>
      </c>
      <c r="H3921" s="14">
        <v>1702705736.1593361</v>
      </c>
      <c r="I3921" s="14" t="e">
        <f>=Round(25582.72020000,0)</f>
        <v>#VALUE!</v>
      </c>
      <c r="J3921" s="14" t="e">
        <f>=Round(0.00000000,0)</f>
        <v>#VALUE!</v>
      </c>
    </row>
    <row r="3922">
      <c r="A3922" s="11" t="s">
        <v>39</v>
      </c>
      <c r="B3922" s="12">
        <v>1359.5048</v>
      </c>
      <c r="C3922" s="12">
        <v>0</v>
      </c>
      <c r="D3922" s="13">
        <v>0</v>
      </c>
      <c r="E3922" s="12">
        <v>0</v>
      </c>
      <c r="F3922" s="14">
        <v>0</v>
      </c>
      <c r="G3922" s="13">
        <v>1252659.5005</v>
      </c>
      <c r="H3922" s="14">
        <v>1702996603.6953521</v>
      </c>
      <c r="I3922" s="14" t="e">
        <f>=Round(25587.10810000,0)</f>
        <v>#VALUE!</v>
      </c>
      <c r="J3922" s="14" t="e">
        <f>=Round(0.00000000,0)</f>
        <v>#VALUE!</v>
      </c>
    </row>
    <row r="3923">
      <c r="A3923" s="11" t="s">
        <v>40</v>
      </c>
      <c r="B3923" s="12">
        <v>1359.7365</v>
      </c>
      <c r="C3923" s="12">
        <v>0</v>
      </c>
      <c r="D3923" s="13">
        <v>0</v>
      </c>
      <c r="E3923" s="12">
        <v>0</v>
      </c>
      <c r="F3923" s="14">
        <v>0</v>
      </c>
      <c r="G3923" s="13">
        <v>1252659.5005</v>
      </c>
      <c r="H3923" s="14">
        <v>1703286844.901618</v>
      </c>
      <c r="I3923" s="14" t="e">
        <f>=Round(25591.47900000,0)</f>
        <v>#VALUE!</v>
      </c>
      <c r="J3923" s="14" t="e">
        <f>=Round(0.00000000,0)</f>
        <v>#VALUE!</v>
      </c>
    </row>
    <row r="3924">
      <c r="A3924" s="11" t="s">
        <v>41</v>
      </c>
      <c r="B3924" s="12">
        <v>1359.979</v>
      </c>
      <c r="C3924" s="12">
        <v>0</v>
      </c>
      <c r="D3924" s="13">
        <v>0</v>
      </c>
      <c r="E3924" s="12">
        <v>0</v>
      </c>
      <c r="F3924" s="14">
        <v>0</v>
      </c>
      <c r="G3924" s="13">
        <v>1252659.5005</v>
      </c>
      <c r="H3924" s="14">
        <v>1703590614.83049</v>
      </c>
      <c r="I3924" s="14" t="e">
        <f>=Round(25595.84060000,0)</f>
        <v>#VALUE!</v>
      </c>
      <c r="J3924" s="14" t="e">
        <f>=Round(0.00000000,0)</f>
        <v>#VALUE!</v>
      </c>
    </row>
    <row r="3925">
      <c r="A3925" s="11" t="s">
        <v>42</v>
      </c>
      <c r="B3925" s="12">
        <v>1359.979</v>
      </c>
      <c r="C3925" s="12">
        <v>0</v>
      </c>
      <c r="D3925" s="13">
        <v>0</v>
      </c>
      <c r="E3925" s="12">
        <v>0</v>
      </c>
      <c r="F3925" s="14">
        <v>0</v>
      </c>
      <c r="G3925" s="13">
        <v>1252659.5005</v>
      </c>
      <c r="H3925" s="14">
        <v>1703590614.83049</v>
      </c>
      <c r="I3925" s="14" t="e">
        <f>=Round(25600.40540000,0)</f>
        <v>#VALUE!</v>
      </c>
      <c r="J3925" s="14" t="e">
        <f>=Round(0.00000000,0)</f>
        <v>#VALUE!</v>
      </c>
    </row>
    <row r="3926">
      <c r="A3926" s="11" t="s">
        <v>43</v>
      </c>
      <c r="B3926" s="12">
        <v>1359.979</v>
      </c>
      <c r="C3926" s="12">
        <v>0</v>
      </c>
      <c r="D3926" s="13">
        <v>0</v>
      </c>
      <c r="E3926" s="12">
        <v>0</v>
      </c>
      <c r="F3926" s="14">
        <v>0</v>
      </c>
      <c r="G3926" s="13">
        <v>1252659.5005</v>
      </c>
      <c r="H3926" s="14">
        <v>1703590614.83049</v>
      </c>
      <c r="I3926" s="14" t="e">
        <f>=Round(25600.40540000,0)</f>
        <v>#VALUE!</v>
      </c>
      <c r="J3926" s="14" t="e">
        <f>=Round(0.00000000,0)</f>
        <v>#VALUE!</v>
      </c>
    </row>
    <row r="3927">
      <c r="A3927" s="11" t="s">
        <v>44</v>
      </c>
      <c r="B3927" s="12">
        <v>1360.6758</v>
      </c>
      <c r="C3927" s="12">
        <v>0</v>
      </c>
      <c r="D3927" s="13">
        <v>0</v>
      </c>
      <c r="E3927" s="12">
        <v>0</v>
      </c>
      <c r="F3927" s="14">
        <v>0</v>
      </c>
      <c r="G3927" s="13">
        <v>1252659.5005</v>
      </c>
      <c r="H3927" s="14">
        <v>1704463467.970438</v>
      </c>
      <c r="I3927" s="14" t="e">
        <f>=Round(25600.40540000,0)</f>
        <v>#VALUE!</v>
      </c>
      <c r="J3927" s="14" t="e">
        <f>=Round(0.00000000,0)</f>
        <v>#VALUE!</v>
      </c>
    </row>
    <row r="3928">
      <c r="A3928" s="11" t="s">
        <v>45</v>
      </c>
      <c r="B3928" s="12">
        <v>1360.9062</v>
      </c>
      <c r="C3928" s="12">
        <v>0</v>
      </c>
      <c r="D3928" s="13">
        <v>0</v>
      </c>
      <c r="E3928" s="12">
        <v>0</v>
      </c>
      <c r="F3928" s="14">
        <v>0</v>
      </c>
      <c r="G3928" s="13">
        <v>1252659.5005</v>
      </c>
      <c r="H3928" s="14">
        <v>1704752080.719353</v>
      </c>
      <c r="I3928" s="14" t="e">
        <f>=Round(25613.52210000,0)</f>
        <v>#VALUE!</v>
      </c>
      <c r="J3928" s="14" t="e">
        <f>=Round(0.00000000,0)</f>
        <v>#VALUE!</v>
      </c>
    </row>
    <row r="3929">
      <c r="A3929" s="11" t="s">
        <v>46</v>
      </c>
      <c r="B3929" s="12">
        <v>1361.137</v>
      </c>
      <c r="C3929" s="12">
        <v>0</v>
      </c>
      <c r="D3929" s="13">
        <v>0</v>
      </c>
      <c r="E3929" s="12">
        <v>0</v>
      </c>
      <c r="F3929" s="14">
        <v>0</v>
      </c>
      <c r="G3929" s="13">
        <v>1252659.5005</v>
      </c>
      <c r="H3929" s="14">
        <v>1705041194.532069</v>
      </c>
      <c r="I3929" s="14" t="e">
        <f>=Round(25617.85910000,0)</f>
        <v>#VALUE!</v>
      </c>
      <c r="J3929" s="14" t="e">
        <f>=Round(0.00000000,0)</f>
        <v>#VALUE!</v>
      </c>
    </row>
    <row r="3930">
      <c r="A3930" s="11" t="s">
        <v>47</v>
      </c>
      <c r="B3930" s="12">
        <v>1361.367</v>
      </c>
      <c r="C3930" s="12">
        <v>0</v>
      </c>
      <c r="D3930" s="13">
        <v>0</v>
      </c>
      <c r="E3930" s="12">
        <v>0</v>
      </c>
      <c r="F3930" s="14">
        <v>0</v>
      </c>
      <c r="G3930" s="13">
        <v>1252659.5005</v>
      </c>
      <c r="H3930" s="14">
        <v>1705329306.2171841</v>
      </c>
      <c r="I3930" s="14" t="e">
        <f>=Round(25622.20370000,0)</f>
        <v>#VALUE!</v>
      </c>
      <c r="J3930" s="14" t="e">
        <f>=Round(0.00000000,0)</f>
        <v>#VALUE!</v>
      </c>
    </row>
    <row r="3931">
      <c r="A3931" s="11" t="s">
        <v>48</v>
      </c>
      <c r="B3931" s="12">
        <v>1361.6195</v>
      </c>
      <c r="C3931" s="12">
        <v>0</v>
      </c>
      <c r="D3931" s="13">
        <v>0</v>
      </c>
      <c r="E3931" s="12">
        <v>0</v>
      </c>
      <c r="F3931" s="14">
        <v>0</v>
      </c>
      <c r="G3931" s="13">
        <v>1252659.5005</v>
      </c>
      <c r="H3931" s="14">
        <v>1705645602.74106</v>
      </c>
      <c r="I3931" s="14" t="e">
        <f>=Round(25626.53330000,0)</f>
        <v>#VALUE!</v>
      </c>
      <c r="J3931" s="14" t="e">
        <f>=Round(0.00000000,0)</f>
        <v>#VALUE!</v>
      </c>
    </row>
    <row r="3932">
      <c r="A3932" s="11" t="s">
        <v>49</v>
      </c>
      <c r="B3932" s="12">
        <v>1361.6195</v>
      </c>
      <c r="C3932" s="12">
        <v>0</v>
      </c>
      <c r="D3932" s="13">
        <v>0</v>
      </c>
      <c r="E3932" s="12">
        <v>0</v>
      </c>
      <c r="F3932" s="14">
        <v>0</v>
      </c>
      <c r="G3932" s="13">
        <v>1252659.5005</v>
      </c>
      <c r="H3932" s="14">
        <v>1705645602.74106</v>
      </c>
      <c r="I3932" s="14" t="e">
        <f>=Round(25631.28640000,0)</f>
        <v>#VALUE!</v>
      </c>
      <c r="J3932" s="14" t="e">
        <f>=Round(0.00000000,0)</f>
        <v>#VALUE!</v>
      </c>
    </row>
    <row r="3933">
      <c r="A3933" s="11" t="s">
        <v>50</v>
      </c>
      <c r="B3933" s="12">
        <v>1361.6195</v>
      </c>
      <c r="C3933" s="12">
        <v>0</v>
      </c>
      <c r="D3933" s="13">
        <v>0</v>
      </c>
      <c r="E3933" s="12">
        <v>0</v>
      </c>
      <c r="F3933" s="14">
        <v>0</v>
      </c>
      <c r="G3933" s="13">
        <v>1252659.5005</v>
      </c>
      <c r="H3933" s="14">
        <v>1705645602.74106</v>
      </c>
      <c r="I3933" s="14" t="e">
        <f>=Round(25631.28640000,0)</f>
        <v>#VALUE!</v>
      </c>
      <c r="J3933" s="14" t="e">
        <f>=Round(0.00000000,0)</f>
        <v>#VALUE!</v>
      </c>
    </row>
    <row r="3934">
      <c r="A3934" s="11" t="s">
        <v>51</v>
      </c>
      <c r="B3934" s="12">
        <v>1362.3425</v>
      </c>
      <c r="C3934" s="12">
        <v>0</v>
      </c>
      <c r="D3934" s="13">
        <v>0</v>
      </c>
      <c r="E3934" s="12">
        <v>0</v>
      </c>
      <c r="F3934" s="14">
        <v>0</v>
      </c>
      <c r="G3934" s="13">
        <v>1252659.5005</v>
      </c>
      <c r="H3934" s="14">
        <v>1706551275.559921</v>
      </c>
      <c r="I3934" s="14" t="e">
        <f>=Round(25631.28640000,0)</f>
        <v>#VALUE!</v>
      </c>
      <c r="J3934" s="14" t="e">
        <f>=Round(0.00000000,0)</f>
        <v>#VALUE!</v>
      </c>
    </row>
    <row r="3935">
      <c r="A3935" s="11" t="s">
        <v>52</v>
      </c>
      <c r="B3935" s="12">
        <v>1362.5746</v>
      </c>
      <c r="C3935" s="12">
        <v>0</v>
      </c>
      <c r="D3935" s="13">
        <v>0</v>
      </c>
      <c r="E3935" s="12">
        <v>0</v>
      </c>
      <c r="F3935" s="14">
        <v>0</v>
      </c>
      <c r="G3935" s="13">
        <v>1252659.5005</v>
      </c>
      <c r="H3935" s="14">
        <v>1706842017.8299871</v>
      </c>
      <c r="I3935" s="14" t="e">
        <f>=Round(25644.89620000,0)</f>
        <v>#VALUE!</v>
      </c>
      <c r="J3935" s="14" t="e">
        <f>=Round(0.00000000,0)</f>
        <v>#VALUE!</v>
      </c>
    </row>
    <row r="3936">
      <c r="A3936" s="11" t="s">
        <v>53</v>
      </c>
      <c r="B3936" s="12">
        <v>1362.8067</v>
      </c>
      <c r="C3936" s="12">
        <v>0</v>
      </c>
      <c r="D3936" s="13">
        <v>0</v>
      </c>
      <c r="E3936" s="12">
        <v>0</v>
      </c>
      <c r="F3936" s="14">
        <v>0</v>
      </c>
      <c r="G3936" s="13">
        <v>1252659.5005</v>
      </c>
      <c r="H3936" s="14">
        <v>1707132760.1000531</v>
      </c>
      <c r="I3936" s="14" t="e">
        <f>=Round(25649.26530000,0)</f>
        <v>#VALUE!</v>
      </c>
      <c r="J3936" s="14" t="e">
        <f>=Round(0.00000000,0)</f>
        <v>#VALUE!</v>
      </c>
    </row>
    <row r="3937">
      <c r="A3937" s="11" t="s">
        <v>54</v>
      </c>
      <c r="B3937" s="12">
        <v>1363.0394</v>
      </c>
      <c r="C3937" s="12">
        <v>0</v>
      </c>
      <c r="D3937" s="13">
        <v>0</v>
      </c>
      <c r="E3937" s="12">
        <v>0</v>
      </c>
      <c r="F3937" s="14">
        <v>0</v>
      </c>
      <c r="G3937" s="13">
        <v>1252659.5005</v>
      </c>
      <c r="H3937" s="14">
        <v>1707424253.96582</v>
      </c>
      <c r="I3937" s="14" t="e">
        <f>=Round(25653.63440000,0)</f>
        <v>#VALUE!</v>
      </c>
      <c r="J3937" s="14" t="e">
        <f>=Round(0.00000000,0)</f>
        <v>#VALUE!</v>
      </c>
    </row>
    <row r="3938">
      <c r="A3938" s="11" t="s">
        <v>55</v>
      </c>
      <c r="B3938" s="12">
        <v>1363.274</v>
      </c>
      <c r="C3938" s="12">
        <v>0</v>
      </c>
      <c r="D3938" s="13">
        <v>0</v>
      </c>
      <c r="E3938" s="12">
        <v>0</v>
      </c>
      <c r="F3938" s="14">
        <v>0</v>
      </c>
      <c r="G3938" s="13">
        <v>1252659.5005</v>
      </c>
      <c r="H3938" s="14">
        <v>1707718127.8846371</v>
      </c>
      <c r="I3938" s="14" t="e">
        <f>=Round(25658.01470000,0)</f>
        <v>#VALUE!</v>
      </c>
      <c r="J3938" s="14" t="e">
        <f>=Round(0.00000000,0)</f>
        <v>#VALUE!</v>
      </c>
    </row>
    <row r="3939" ht="-1">
      <c r="A3939" s="15"/>
      <c r="B3939" s="16" t="s">
        <v>56</v>
      </c>
      <c r="C3939" s="15"/>
      <c r="D3939" s="15"/>
      <c r="E3939" s="15"/>
      <c r="F3939" s="15"/>
      <c r="G3939" s="15"/>
      <c r="H3939" s="15"/>
      <c r="I3939" s="17" t="e">
        <f>=Round(SUM(I3913:I3938),0)</f>
        <v>#VALUE!</v>
      </c>
      <c r="J3939" s="17" t="e">
        <f>=Round(SUM(J3913:J3938),0)</f>
        <v>#VALUE!</v>
      </c>
    </row>
    <row r="3940">
      <c r="A3940" s="1" t="s">
        <v>0</v>
      </c>
      <c r="B3940" s="1"/>
      <c r="C3940" s="1"/>
      <c r="D3940" s="1"/>
    </row>
    <row r="3941">
      <c r="A3941" s="0" t="s">
        <v>1</v>
      </c>
      <c r="C3941" s="0" t="s">
        <v>144</v>
      </c>
      <c r="H3941" s="2" t="s">
        <v>3</v>
      </c>
    </row>
    <row r="3942">
      <c r="A3942" s="0" t="s">
        <v>4</v>
      </c>
      <c r="C3942" s="0" t="s">
        <v>159</v>
      </c>
      <c r="H3942" s="3" t="s">
        <v>6</v>
      </c>
    </row>
    <row r="3943">
      <c r="A3943" s="0" t="s">
        <v>7</v>
      </c>
      <c r="C3943" s="4" t="s">
        <v>146</v>
      </c>
      <c r="H3943" s="2" t="s">
        <v>9</v>
      </c>
    </row>
    <row r="3944">
      <c r="A3944" s="0" t="s">
        <v>10</v>
      </c>
      <c r="C3944" s="4" t="s">
        <v>11</v>
      </c>
      <c r="H3944" s="2" t="s">
        <v>12</v>
      </c>
    </row>
    <row r="3945">
      <c r="A3945" s="0" t="s">
        <v>13</v>
      </c>
      <c r="C3945" s="0" t="s">
        <v>14</v>
      </c>
    </row>
    <row r="3946">
      <c r="A3946" s="0" t="s">
        <v>15</v>
      </c>
      <c r="C3946" s="0" t="s">
        <v>16</v>
      </c>
    </row>
    <row r="3947">
      <c r="A3947" s="0" t="s">
        <v>17</v>
      </c>
      <c r="C3947" s="0" t="s">
        <v>18</v>
      </c>
    </row>
    <row r="3950">
      <c r="A3950" s="5" t="s">
        <v>19</v>
      </c>
      <c r="B3950" s="5" t="s">
        <v>20</v>
      </c>
      <c r="C3950" s="7" t="s">
        <v>21</v>
      </c>
      <c r="D3950" s="9"/>
      <c r="E3950" s="7" t="s">
        <v>22</v>
      </c>
      <c r="F3950" s="9"/>
      <c r="G3950" s="5" t="s">
        <v>23</v>
      </c>
      <c r="H3950" s="5" t="s">
        <v>24</v>
      </c>
      <c r="I3950" s="5" t="s">
        <v>147</v>
      </c>
      <c r="J3950" s="5" t="s">
        <v>26</v>
      </c>
    </row>
    <row r="3951">
      <c r="A3951" s="6"/>
      <c r="B3951" s="6"/>
      <c r="C3951" s="8" t="s">
        <v>27</v>
      </c>
      <c r="D3951" s="8" t="s">
        <v>28</v>
      </c>
      <c r="E3951" s="8" t="s">
        <v>27</v>
      </c>
      <c r="F3951" s="8" t="s">
        <v>28</v>
      </c>
      <c r="G3951" s="6"/>
      <c r="H3951" s="6"/>
      <c r="I3951" s="10" t="s">
        <v>29</v>
      </c>
      <c r="J3951" s="6"/>
    </row>
    <row r="3952">
      <c r="A3952" s="11" t="s">
        <v>30</v>
      </c>
      <c r="B3952" s="12">
        <v>1357.4104</v>
      </c>
      <c r="C3952" s="12">
        <v>0</v>
      </c>
      <c r="D3952" s="13">
        <v>0</v>
      </c>
      <c r="E3952" s="12">
        <v>0</v>
      </c>
      <c r="F3952" s="14">
        <v>0</v>
      </c>
      <c r="G3952" s="13">
        <v>741351.8893</v>
      </c>
      <c r="H3952" s="14">
        <v>1006318764.595469</v>
      </c>
      <c r="I3952" s="14" t="e">
        <f>=Round(15114.54390000,0)</f>
        <v>#VALUE!</v>
      </c>
      <c r="J3952" s="14" t="e">
        <f>=Round(0.00000000,0)</f>
        <v>#VALUE!</v>
      </c>
    </row>
    <row r="3953">
      <c r="A3953" s="11" t="s">
        <v>31</v>
      </c>
      <c r="B3953" s="12">
        <v>1357.6428</v>
      </c>
      <c r="C3953" s="12">
        <v>0</v>
      </c>
      <c r="D3953" s="13">
        <v>0</v>
      </c>
      <c r="E3953" s="12">
        <v>0</v>
      </c>
      <c r="F3953" s="14">
        <v>0</v>
      </c>
      <c r="G3953" s="13">
        <v>741351.8893</v>
      </c>
      <c r="H3953" s="14">
        <v>1006491054.774542</v>
      </c>
      <c r="I3953" s="14" t="e">
        <f>=Round(15122.27650000,0)</f>
        <v>#VALUE!</v>
      </c>
      <c r="J3953" s="14" t="e">
        <f>=Round(0.00000000,0)</f>
        <v>#VALUE!</v>
      </c>
    </row>
    <row r="3954">
      <c r="A3954" s="11" t="s">
        <v>32</v>
      </c>
      <c r="B3954" s="12">
        <v>1357.8735</v>
      </c>
      <c r="C3954" s="12">
        <v>0</v>
      </c>
      <c r="D3954" s="13">
        <v>0</v>
      </c>
      <c r="E3954" s="12">
        <v>0</v>
      </c>
      <c r="F3954" s="14">
        <v>0</v>
      </c>
      <c r="G3954" s="13">
        <v>741351.8893</v>
      </c>
      <c r="H3954" s="14">
        <v>1006662084.655404</v>
      </c>
      <c r="I3954" s="14" t="e">
        <f>=Round(15124.86560000,0)</f>
        <v>#VALUE!</v>
      </c>
      <c r="J3954" s="14" t="e">
        <f>=Round(0.00000000,0)</f>
        <v>#VALUE!</v>
      </c>
    </row>
    <row r="3955">
      <c r="A3955" s="11" t="s">
        <v>33</v>
      </c>
      <c r="B3955" s="12">
        <v>1358.1079</v>
      </c>
      <c r="C3955" s="12">
        <v>0</v>
      </c>
      <c r="D3955" s="13">
        <v>0</v>
      </c>
      <c r="E3955" s="12">
        <v>0</v>
      </c>
      <c r="F3955" s="14">
        <v>0</v>
      </c>
      <c r="G3955" s="13">
        <v>741351.8893</v>
      </c>
      <c r="H3955" s="14">
        <v>1006835857.538255</v>
      </c>
      <c r="I3955" s="14" t="e">
        <f>=Round(15127.43570000,0)</f>
        <v>#VALUE!</v>
      </c>
      <c r="J3955" s="14" t="e">
        <f>=Round(0.00000000,0)</f>
        <v>#VALUE!</v>
      </c>
    </row>
    <row r="3956">
      <c r="A3956" s="11" t="s">
        <v>34</v>
      </c>
      <c r="B3956" s="12">
        <v>1358.3402</v>
      </c>
      <c r="C3956" s="12">
        <v>0</v>
      </c>
      <c r="D3956" s="13">
        <v>0</v>
      </c>
      <c r="E3956" s="12">
        <v>0</v>
      </c>
      <c r="F3956" s="14">
        <v>0</v>
      </c>
      <c r="G3956" s="13">
        <v>741351.8893</v>
      </c>
      <c r="H3956" s="14">
        <v>1007008073.58214</v>
      </c>
      <c r="I3956" s="14" t="e">
        <f>=Round(15130.04700000,0)</f>
        <v>#VALUE!</v>
      </c>
      <c r="J3956" s="14" t="e">
        <f>=Round(0.00000000,0)</f>
        <v>#VALUE!</v>
      </c>
    </row>
    <row r="3957">
      <c r="A3957" s="11" t="s">
        <v>35</v>
      </c>
      <c r="B3957" s="12">
        <v>1358.3402</v>
      </c>
      <c r="C3957" s="12">
        <v>0</v>
      </c>
      <c r="D3957" s="13">
        <v>0</v>
      </c>
      <c r="E3957" s="12">
        <v>0</v>
      </c>
      <c r="F3957" s="14">
        <v>0</v>
      </c>
      <c r="G3957" s="13">
        <v>741351.8893</v>
      </c>
      <c r="H3957" s="14">
        <v>1007008073.58214</v>
      </c>
      <c r="I3957" s="14" t="e">
        <f>=Round(15132.63500000,0)</f>
        <v>#VALUE!</v>
      </c>
      <c r="J3957" s="14" t="e">
        <f>=Round(0.00000000,0)</f>
        <v>#VALUE!</v>
      </c>
    </row>
    <row r="3958">
      <c r="A3958" s="11" t="s">
        <v>36</v>
      </c>
      <c r="B3958" s="12">
        <v>1358.3402</v>
      </c>
      <c r="C3958" s="12">
        <v>0</v>
      </c>
      <c r="D3958" s="13">
        <v>0</v>
      </c>
      <c r="E3958" s="12">
        <v>0</v>
      </c>
      <c r="F3958" s="14">
        <v>0</v>
      </c>
      <c r="G3958" s="13">
        <v>741351.8893</v>
      </c>
      <c r="H3958" s="14">
        <v>1007008073.58214</v>
      </c>
      <c r="I3958" s="14" t="e">
        <f>=Round(15132.63500000,0)</f>
        <v>#VALUE!</v>
      </c>
      <c r="J3958" s="14" t="e">
        <f>=Round(0.00000000,0)</f>
        <v>#VALUE!</v>
      </c>
    </row>
    <row r="3959">
      <c r="A3959" s="11" t="s">
        <v>37</v>
      </c>
      <c r="B3959" s="12">
        <v>1359.0395</v>
      </c>
      <c r="C3959" s="12">
        <v>0</v>
      </c>
      <c r="D3959" s="13">
        <v>0</v>
      </c>
      <c r="E3959" s="12">
        <v>0</v>
      </c>
      <c r="F3959" s="14">
        <v>0</v>
      </c>
      <c r="G3959" s="13">
        <v>741351.8893</v>
      </c>
      <c r="H3959" s="14">
        <v>1007526500.9583271</v>
      </c>
      <c r="I3959" s="14" t="e">
        <f>=Round(15132.63500000,0)</f>
        <v>#VALUE!</v>
      </c>
      <c r="J3959" s="14" t="e">
        <f>=Round(0.00000000,0)</f>
        <v>#VALUE!</v>
      </c>
    </row>
    <row r="3960">
      <c r="A3960" s="11" t="s">
        <v>38</v>
      </c>
      <c r="B3960" s="12">
        <v>1359.2726</v>
      </c>
      <c r="C3960" s="12">
        <v>0</v>
      </c>
      <c r="D3960" s="13">
        <v>0</v>
      </c>
      <c r="E3960" s="12">
        <v>0</v>
      </c>
      <c r="F3960" s="14">
        <v>0</v>
      </c>
      <c r="G3960" s="13">
        <v>741351.8893</v>
      </c>
      <c r="H3960" s="14">
        <v>1007699310.083723</v>
      </c>
      <c r="I3960" s="14" t="e">
        <f>=Round(15140.42560000,0)</f>
        <v>#VALUE!</v>
      </c>
      <c r="J3960" s="14" t="e">
        <f>=Round(0.00000000,0)</f>
        <v>#VALUE!</v>
      </c>
    </row>
    <row r="3961">
      <c r="A3961" s="11" t="s">
        <v>39</v>
      </c>
      <c r="B3961" s="12">
        <v>1359.5048</v>
      </c>
      <c r="C3961" s="12">
        <v>0</v>
      </c>
      <c r="D3961" s="13">
        <v>0</v>
      </c>
      <c r="E3961" s="12">
        <v>0</v>
      </c>
      <c r="F3961" s="14">
        <v>0</v>
      </c>
      <c r="G3961" s="13">
        <v>741351.8893</v>
      </c>
      <c r="H3961" s="14">
        <v>1007871451.992419</v>
      </c>
      <c r="I3961" s="14" t="e">
        <f>=Round(15143.02240000,0)</f>
        <v>#VALUE!</v>
      </c>
      <c r="J3961" s="14" t="e">
        <f>=Round(0.00000000,0)</f>
        <v>#VALUE!</v>
      </c>
    </row>
    <row r="3962">
      <c r="A3962" s="11" t="s">
        <v>40</v>
      </c>
      <c r="B3962" s="12">
        <v>1359.7365</v>
      </c>
      <c r="C3962" s="12">
        <v>0</v>
      </c>
      <c r="D3962" s="13">
        <v>0</v>
      </c>
      <c r="E3962" s="12">
        <v>0</v>
      </c>
      <c r="F3962" s="14">
        <v>0</v>
      </c>
      <c r="G3962" s="13">
        <v>741351.8893</v>
      </c>
      <c r="H3962" s="14">
        <v>1008043223.2251689</v>
      </c>
      <c r="I3962" s="14" t="e">
        <f>=Round(15145.60930000,0)</f>
        <v>#VALUE!</v>
      </c>
      <c r="J3962" s="14" t="e">
        <f>=Round(0.00000000,0)</f>
        <v>#VALUE!</v>
      </c>
    </row>
    <row r="3963">
      <c r="A3963" s="11" t="s">
        <v>41</v>
      </c>
      <c r="B3963" s="12">
        <v>1359.979</v>
      </c>
      <c r="C3963" s="12">
        <v>0</v>
      </c>
      <c r="D3963" s="13">
        <v>0</v>
      </c>
      <c r="E3963" s="12">
        <v>0</v>
      </c>
      <c r="F3963" s="14">
        <v>0</v>
      </c>
      <c r="G3963" s="13">
        <v>741351.8893</v>
      </c>
      <c r="H3963" s="14">
        <v>1008223001.0583251</v>
      </c>
      <c r="I3963" s="14" t="e">
        <f>=Round(15148.19050000,0)</f>
        <v>#VALUE!</v>
      </c>
      <c r="J3963" s="14" t="e">
        <f>=Round(0.00000000,0)</f>
        <v>#VALUE!</v>
      </c>
    </row>
    <row r="3964">
      <c r="A3964" s="11" t="s">
        <v>42</v>
      </c>
      <c r="B3964" s="12">
        <v>1359.979</v>
      </c>
      <c r="C3964" s="12">
        <v>0</v>
      </c>
      <c r="D3964" s="13">
        <v>0</v>
      </c>
      <c r="E3964" s="12">
        <v>0</v>
      </c>
      <c r="F3964" s="14">
        <v>0</v>
      </c>
      <c r="G3964" s="13">
        <v>741351.8893</v>
      </c>
      <c r="H3964" s="14">
        <v>1008223001.0583251</v>
      </c>
      <c r="I3964" s="14" t="e">
        <f>=Round(15150.89210000,0)</f>
        <v>#VALUE!</v>
      </c>
      <c r="J3964" s="14" t="e">
        <f>=Round(0.00000000,0)</f>
        <v>#VALUE!</v>
      </c>
    </row>
    <row r="3965">
      <c r="A3965" s="11" t="s">
        <v>43</v>
      </c>
      <c r="B3965" s="12">
        <v>1359.979</v>
      </c>
      <c r="C3965" s="12">
        <v>0</v>
      </c>
      <c r="D3965" s="13">
        <v>0</v>
      </c>
      <c r="E3965" s="12">
        <v>0</v>
      </c>
      <c r="F3965" s="14">
        <v>0</v>
      </c>
      <c r="G3965" s="13">
        <v>741351.8893</v>
      </c>
      <c r="H3965" s="14">
        <v>1008223001.0583251</v>
      </c>
      <c r="I3965" s="14" t="e">
        <f>=Round(15150.89210000,0)</f>
        <v>#VALUE!</v>
      </c>
      <c r="J3965" s="14" t="e">
        <f>=Round(0.00000000,0)</f>
        <v>#VALUE!</v>
      </c>
    </row>
    <row r="3966">
      <c r="A3966" s="11" t="s">
        <v>44</v>
      </c>
      <c r="B3966" s="12">
        <v>1360.6758</v>
      </c>
      <c r="C3966" s="12">
        <v>0</v>
      </c>
      <c r="D3966" s="13">
        <v>0</v>
      </c>
      <c r="E3966" s="12">
        <v>0</v>
      </c>
      <c r="F3966" s="14">
        <v>0</v>
      </c>
      <c r="G3966" s="13">
        <v>741351.8893</v>
      </c>
      <c r="H3966" s="14">
        <v>1008739575.054789</v>
      </c>
      <c r="I3966" s="14" t="e">
        <f>=Round(15150.89210000,0)</f>
        <v>#VALUE!</v>
      </c>
      <c r="J3966" s="14" t="e">
        <f>=Round(0.00000000,0)</f>
        <v>#VALUE!</v>
      </c>
    </row>
    <row r="3967">
      <c r="A3967" s="11" t="s">
        <v>45</v>
      </c>
      <c r="B3967" s="12">
        <v>1360.9062</v>
      </c>
      <c r="C3967" s="12">
        <v>0</v>
      </c>
      <c r="D3967" s="13">
        <v>0</v>
      </c>
      <c r="E3967" s="12">
        <v>0</v>
      </c>
      <c r="F3967" s="14">
        <v>0</v>
      </c>
      <c r="G3967" s="13">
        <v>741351.8893</v>
      </c>
      <c r="H3967" s="14">
        <v>1008910382.530084</v>
      </c>
      <c r="I3967" s="14" t="e">
        <f>=Round(15158.65480000,0)</f>
        <v>#VALUE!</v>
      </c>
      <c r="J3967" s="14" t="e">
        <f>=Round(0.00000000,0)</f>
        <v>#VALUE!</v>
      </c>
    </row>
    <row r="3968">
      <c r="A3968" s="11" t="s">
        <v>46</v>
      </c>
      <c r="B3968" s="12">
        <v>1361.137</v>
      </c>
      <c r="C3968" s="12">
        <v>0</v>
      </c>
      <c r="D3968" s="13">
        <v>0</v>
      </c>
      <c r="E3968" s="12">
        <v>0</v>
      </c>
      <c r="F3968" s="14">
        <v>0</v>
      </c>
      <c r="G3968" s="13">
        <v>741351.8893</v>
      </c>
      <c r="H3968" s="14">
        <v>1009081486.546134</v>
      </c>
      <c r="I3968" s="14" t="e">
        <f>=Round(15161.22160000,0)</f>
        <v>#VALUE!</v>
      </c>
      <c r="J3968" s="14" t="e">
        <f>=Round(0.00000000,0)</f>
        <v>#VALUE!</v>
      </c>
    </row>
    <row r="3969">
      <c r="A3969" s="11" t="s">
        <v>47</v>
      </c>
      <c r="B3969" s="12">
        <v>1361.367</v>
      </c>
      <c r="C3969" s="12">
        <v>0</v>
      </c>
      <c r="D3969" s="13">
        <v>0</v>
      </c>
      <c r="E3969" s="12">
        <v>0</v>
      </c>
      <c r="F3969" s="14">
        <v>0</v>
      </c>
      <c r="G3969" s="13">
        <v>741351.8893</v>
      </c>
      <c r="H3969" s="14">
        <v>1009251997.480673</v>
      </c>
      <c r="I3969" s="14" t="e">
        <f>=Round(15163.79280000,0)</f>
        <v>#VALUE!</v>
      </c>
      <c r="J3969" s="14" t="e">
        <f>=Round(0.00000000,0)</f>
        <v>#VALUE!</v>
      </c>
    </row>
    <row r="3970">
      <c r="A3970" s="11" t="s">
        <v>48</v>
      </c>
      <c r="B3970" s="12">
        <v>1361.6195</v>
      </c>
      <c r="C3970" s="12">
        <v>0</v>
      </c>
      <c r="D3970" s="13">
        <v>0</v>
      </c>
      <c r="E3970" s="12">
        <v>0</v>
      </c>
      <c r="F3970" s="14">
        <v>0</v>
      </c>
      <c r="G3970" s="13">
        <v>741351.8893</v>
      </c>
      <c r="H3970" s="14">
        <v>1009439188.832721</v>
      </c>
      <c r="I3970" s="14" t="e">
        <f>=Round(15166.35520000,0)</f>
        <v>#VALUE!</v>
      </c>
      <c r="J3970" s="14" t="e">
        <f>=Round(0.00000000,0)</f>
        <v>#VALUE!</v>
      </c>
    </row>
    <row r="3971">
      <c r="A3971" s="11" t="s">
        <v>49</v>
      </c>
      <c r="B3971" s="12">
        <v>1361.6195</v>
      </c>
      <c r="C3971" s="12">
        <v>0</v>
      </c>
      <c r="D3971" s="13">
        <v>0</v>
      </c>
      <c r="E3971" s="12">
        <v>0</v>
      </c>
      <c r="F3971" s="14">
        <v>0</v>
      </c>
      <c r="G3971" s="13">
        <v>741351.8893</v>
      </c>
      <c r="H3971" s="14">
        <v>1009439188.832721</v>
      </c>
      <c r="I3971" s="14" t="e">
        <f>=Round(15169.16810000,0)</f>
        <v>#VALUE!</v>
      </c>
      <c r="J3971" s="14" t="e">
        <f>=Round(0.00000000,0)</f>
        <v>#VALUE!</v>
      </c>
    </row>
    <row r="3972">
      <c r="A3972" s="11" t="s">
        <v>50</v>
      </c>
      <c r="B3972" s="12">
        <v>1361.6195</v>
      </c>
      <c r="C3972" s="12">
        <v>0</v>
      </c>
      <c r="D3972" s="13">
        <v>0</v>
      </c>
      <c r="E3972" s="12">
        <v>0</v>
      </c>
      <c r="F3972" s="14">
        <v>0</v>
      </c>
      <c r="G3972" s="13">
        <v>741351.8893</v>
      </c>
      <c r="H3972" s="14">
        <v>1009439188.832721</v>
      </c>
      <c r="I3972" s="14" t="e">
        <f>=Round(15169.16810000,0)</f>
        <v>#VALUE!</v>
      </c>
      <c r="J3972" s="14" t="e">
        <f>=Round(0.00000000,0)</f>
        <v>#VALUE!</v>
      </c>
    </row>
    <row r="3973">
      <c r="A3973" s="11" t="s">
        <v>51</v>
      </c>
      <c r="B3973" s="12">
        <v>1362.3425</v>
      </c>
      <c r="C3973" s="12">
        <v>0</v>
      </c>
      <c r="D3973" s="13">
        <v>0</v>
      </c>
      <c r="E3973" s="12">
        <v>0</v>
      </c>
      <c r="F3973" s="14">
        <v>0</v>
      </c>
      <c r="G3973" s="13">
        <v>741351.8893</v>
      </c>
      <c r="H3973" s="14">
        <v>1009975186.248685</v>
      </c>
      <c r="I3973" s="14" t="e">
        <f>=Round(15169.16810000,0)</f>
        <v>#VALUE!</v>
      </c>
      <c r="J3973" s="14" t="e">
        <f>=Round(0.00000000,0)</f>
        <v>#VALUE!</v>
      </c>
    </row>
    <row r="3974">
      <c r="A3974" s="11" t="s">
        <v>52</v>
      </c>
      <c r="B3974" s="12">
        <v>1362.5746</v>
      </c>
      <c r="C3974" s="12">
        <v>0</v>
      </c>
      <c r="D3974" s="13">
        <v>0</v>
      </c>
      <c r="E3974" s="12">
        <v>0</v>
      </c>
      <c r="F3974" s="14">
        <v>0</v>
      </c>
      <c r="G3974" s="13">
        <v>741351.8893</v>
      </c>
      <c r="H3974" s="14">
        <v>1010147254.022192</v>
      </c>
      <c r="I3974" s="14" t="e">
        <f>=Round(15177.22270000,0)</f>
        <v>#VALUE!</v>
      </c>
      <c r="J3974" s="14" t="e">
        <f>=Round(0.00000000,0)</f>
        <v>#VALUE!</v>
      </c>
    </row>
    <row r="3975">
      <c r="A3975" s="11" t="s">
        <v>53</v>
      </c>
      <c r="B3975" s="12">
        <v>1362.8067</v>
      </c>
      <c r="C3975" s="12">
        <v>0</v>
      </c>
      <c r="D3975" s="13">
        <v>0</v>
      </c>
      <c r="E3975" s="12">
        <v>0</v>
      </c>
      <c r="F3975" s="14">
        <v>0</v>
      </c>
      <c r="G3975" s="13">
        <v>741351.8893</v>
      </c>
      <c r="H3975" s="14">
        <v>1010319321.7956981</v>
      </c>
      <c r="I3975" s="14" t="e">
        <f>=Round(15179.80850000,0)</f>
        <v>#VALUE!</v>
      </c>
      <c r="J3975" s="14" t="e">
        <f>=Round(0.00000000,0)</f>
        <v>#VALUE!</v>
      </c>
    </row>
    <row r="3976">
      <c r="A3976" s="11" t="s">
        <v>54</v>
      </c>
      <c r="B3976" s="12">
        <v>1363.0394</v>
      </c>
      <c r="C3976" s="12">
        <v>0</v>
      </c>
      <c r="D3976" s="13">
        <v>0</v>
      </c>
      <c r="E3976" s="12">
        <v>0</v>
      </c>
      <c r="F3976" s="14">
        <v>0</v>
      </c>
      <c r="G3976" s="13">
        <v>741351.8893</v>
      </c>
      <c r="H3976" s="14">
        <v>1010491834.380338</v>
      </c>
      <c r="I3976" s="14" t="e">
        <f>=Round(15182.39420000,0)</f>
        <v>#VALUE!</v>
      </c>
      <c r="J3976" s="14" t="e">
        <f>=Round(0.00000000,0)</f>
        <v>#VALUE!</v>
      </c>
    </row>
    <row r="3977">
      <c r="A3977" s="11" t="s">
        <v>55</v>
      </c>
      <c r="B3977" s="12">
        <v>1363.274</v>
      </c>
      <c r="C3977" s="12">
        <v>0</v>
      </c>
      <c r="D3977" s="13">
        <v>0</v>
      </c>
      <c r="E3977" s="12">
        <v>0</v>
      </c>
      <c r="F3977" s="14">
        <v>0</v>
      </c>
      <c r="G3977" s="13">
        <v>741351.8893</v>
      </c>
      <c r="H3977" s="14">
        <v>1010665755.533568</v>
      </c>
      <c r="I3977" s="14" t="e">
        <f>=Round(15184.98660000,0)</f>
        <v>#VALUE!</v>
      </c>
      <c r="J3977" s="14" t="e">
        <f>=Round(0.00000000,0)</f>
        <v>#VALUE!</v>
      </c>
    </row>
    <row r="3978" ht="-1">
      <c r="A3978" s="15"/>
      <c r="B3978" s="16" t="s">
        <v>56</v>
      </c>
      <c r="C3978" s="15"/>
      <c r="D3978" s="15"/>
      <c r="E3978" s="15"/>
      <c r="F3978" s="15"/>
      <c r="G3978" s="15"/>
      <c r="H3978" s="15"/>
      <c r="I3978" s="17" t="e">
        <f>=Round(SUM(I3952:I3977),0)</f>
        <v>#VALUE!</v>
      </c>
      <c r="J3978" s="17" t="e">
        <f>=Round(SUM(J3952:J3977),0)</f>
        <v>#VALUE!</v>
      </c>
    </row>
    <row r="3979">
      <c r="A3979" s="1" t="s">
        <v>0</v>
      </c>
      <c r="B3979" s="1"/>
      <c r="C3979" s="1"/>
      <c r="D3979" s="1"/>
    </row>
    <row r="3980">
      <c r="A3980" s="0" t="s">
        <v>1</v>
      </c>
      <c r="C3980" s="0" t="s">
        <v>144</v>
      </c>
      <c r="H3980" s="2" t="s">
        <v>3</v>
      </c>
    </row>
    <row r="3981">
      <c r="A3981" s="0" t="s">
        <v>4</v>
      </c>
      <c r="C3981" s="0" t="s">
        <v>160</v>
      </c>
      <c r="H3981" s="3" t="s">
        <v>6</v>
      </c>
    </row>
    <row r="3982">
      <c r="A3982" s="0" t="s">
        <v>7</v>
      </c>
      <c r="C3982" s="4" t="s">
        <v>146</v>
      </c>
      <c r="H3982" s="2" t="s">
        <v>9</v>
      </c>
    </row>
    <row r="3983">
      <c r="A3983" s="0" t="s">
        <v>10</v>
      </c>
      <c r="C3983" s="4" t="s">
        <v>11</v>
      </c>
      <c r="H3983" s="2" t="s">
        <v>12</v>
      </c>
    </row>
    <row r="3984">
      <c r="A3984" s="0" t="s">
        <v>13</v>
      </c>
      <c r="C3984" s="0" t="s">
        <v>14</v>
      </c>
    </row>
    <row r="3985">
      <c r="A3985" s="0" t="s">
        <v>15</v>
      </c>
      <c r="C3985" s="0" t="s">
        <v>16</v>
      </c>
    </row>
    <row r="3986">
      <c r="A3986" s="0" t="s">
        <v>17</v>
      </c>
      <c r="C3986" s="0" t="s">
        <v>18</v>
      </c>
    </row>
    <row r="3989">
      <c r="A3989" s="5" t="s">
        <v>19</v>
      </c>
      <c r="B3989" s="5" t="s">
        <v>20</v>
      </c>
      <c r="C3989" s="7" t="s">
        <v>21</v>
      </c>
      <c r="D3989" s="9"/>
      <c r="E3989" s="7" t="s">
        <v>22</v>
      </c>
      <c r="F3989" s="9"/>
      <c r="G3989" s="5" t="s">
        <v>23</v>
      </c>
      <c r="H3989" s="5" t="s">
        <v>24</v>
      </c>
      <c r="I3989" s="5" t="s">
        <v>147</v>
      </c>
      <c r="J3989" s="5" t="s">
        <v>26</v>
      </c>
    </row>
    <row r="3990">
      <c r="A3990" s="6"/>
      <c r="B3990" s="6"/>
      <c r="C3990" s="8" t="s">
        <v>27</v>
      </c>
      <c r="D3990" s="8" t="s">
        <v>28</v>
      </c>
      <c r="E3990" s="8" t="s">
        <v>27</v>
      </c>
      <c r="F3990" s="8" t="s">
        <v>28</v>
      </c>
      <c r="G3990" s="6"/>
      <c r="H3990" s="6"/>
      <c r="I3990" s="10" t="s">
        <v>29</v>
      </c>
      <c r="J3990" s="6"/>
    </row>
    <row r="3991">
      <c r="A3991" s="11" t="s">
        <v>30</v>
      </c>
      <c r="B3991" s="12">
        <v>1357.4104</v>
      </c>
      <c r="C3991" s="12">
        <v>0</v>
      </c>
      <c r="D3991" s="13">
        <v>0</v>
      </c>
      <c r="E3991" s="12">
        <v>0</v>
      </c>
      <c r="F3991" s="14">
        <v>0</v>
      </c>
      <c r="G3991" s="13">
        <v>0</v>
      </c>
      <c r="H3991" s="14">
        <v>0</v>
      </c>
      <c r="I3991" s="14" t="e">
        <f>=Round(0.00000000,0)</f>
        <v>#VALUE!</v>
      </c>
      <c r="J3991" s="14" t="e">
        <f>=Round(0.00000000,0)</f>
        <v>#VALUE!</v>
      </c>
    </row>
    <row r="3992">
      <c r="A3992" s="11" t="s">
        <v>31</v>
      </c>
      <c r="B3992" s="12">
        <v>1357.6428</v>
      </c>
      <c r="C3992" s="12">
        <v>0</v>
      </c>
      <c r="D3992" s="13">
        <v>0</v>
      </c>
      <c r="E3992" s="12">
        <v>0</v>
      </c>
      <c r="F3992" s="14">
        <v>0</v>
      </c>
      <c r="G3992" s="13">
        <v>0</v>
      </c>
      <c r="H3992" s="14">
        <v>0</v>
      </c>
      <c r="I3992" s="14" t="e">
        <f>=Round(0.00000000,0)</f>
        <v>#VALUE!</v>
      </c>
      <c r="J3992" s="14" t="e">
        <f>=Round(0.00000000,0)</f>
        <v>#VALUE!</v>
      </c>
    </row>
    <row r="3993">
      <c r="A3993" s="11" t="s">
        <v>32</v>
      </c>
      <c r="B3993" s="12">
        <v>1357.8735</v>
      </c>
      <c r="C3993" s="12">
        <v>0</v>
      </c>
      <c r="D3993" s="13">
        <v>0</v>
      </c>
      <c r="E3993" s="12">
        <v>0</v>
      </c>
      <c r="F3993" s="14">
        <v>0</v>
      </c>
      <c r="G3993" s="13">
        <v>0</v>
      </c>
      <c r="H3993" s="14">
        <v>0</v>
      </c>
      <c r="I3993" s="14" t="e">
        <f>=Round(0.00000000,0)</f>
        <v>#VALUE!</v>
      </c>
      <c r="J3993" s="14" t="e">
        <f>=Round(0.00000000,0)</f>
        <v>#VALUE!</v>
      </c>
    </row>
    <row r="3994">
      <c r="A3994" s="11" t="s">
        <v>33</v>
      </c>
      <c r="B3994" s="12">
        <v>1358.1079</v>
      </c>
      <c r="C3994" s="12">
        <v>0</v>
      </c>
      <c r="D3994" s="13">
        <v>0</v>
      </c>
      <c r="E3994" s="12">
        <v>0</v>
      </c>
      <c r="F3994" s="14">
        <v>0</v>
      </c>
      <c r="G3994" s="13">
        <v>0</v>
      </c>
      <c r="H3994" s="14">
        <v>0</v>
      </c>
      <c r="I3994" s="14" t="e">
        <f>=Round(0.00000000,0)</f>
        <v>#VALUE!</v>
      </c>
      <c r="J3994" s="14" t="e">
        <f>=Round(0.00000000,0)</f>
        <v>#VALUE!</v>
      </c>
    </row>
    <row r="3995">
      <c r="A3995" s="11" t="s">
        <v>34</v>
      </c>
      <c r="B3995" s="12">
        <v>1358.3402</v>
      </c>
      <c r="C3995" s="12">
        <v>0</v>
      </c>
      <c r="D3995" s="13">
        <v>0</v>
      </c>
      <c r="E3995" s="12">
        <v>0</v>
      </c>
      <c r="F3995" s="14">
        <v>0</v>
      </c>
      <c r="G3995" s="13">
        <v>0</v>
      </c>
      <c r="H3995" s="14">
        <v>0</v>
      </c>
      <c r="I3995" s="14" t="e">
        <f>=Round(0.00000000,0)</f>
        <v>#VALUE!</v>
      </c>
      <c r="J3995" s="14" t="e">
        <f>=Round(0.00000000,0)</f>
        <v>#VALUE!</v>
      </c>
    </row>
    <row r="3996">
      <c r="A3996" s="11" t="s">
        <v>35</v>
      </c>
      <c r="B3996" s="12">
        <v>1358.3402</v>
      </c>
      <c r="C3996" s="12">
        <v>0</v>
      </c>
      <c r="D3996" s="13">
        <v>0</v>
      </c>
      <c r="E3996" s="12">
        <v>0</v>
      </c>
      <c r="F3996" s="14">
        <v>0</v>
      </c>
      <c r="G3996" s="13">
        <v>0</v>
      </c>
      <c r="H3996" s="14">
        <v>0</v>
      </c>
      <c r="I3996" s="14" t="e">
        <f>=Round(0.00000000,0)</f>
        <v>#VALUE!</v>
      </c>
      <c r="J3996" s="14" t="e">
        <f>=Round(0.00000000,0)</f>
        <v>#VALUE!</v>
      </c>
    </row>
    <row r="3997">
      <c r="A3997" s="11" t="s">
        <v>36</v>
      </c>
      <c r="B3997" s="12">
        <v>1358.3402</v>
      </c>
      <c r="C3997" s="12">
        <v>0</v>
      </c>
      <c r="D3997" s="13">
        <v>0</v>
      </c>
      <c r="E3997" s="12">
        <v>0</v>
      </c>
      <c r="F3997" s="14">
        <v>0</v>
      </c>
      <c r="G3997" s="13">
        <v>0</v>
      </c>
      <c r="H3997" s="14">
        <v>0</v>
      </c>
      <c r="I3997" s="14" t="e">
        <f>=Round(0.00000000,0)</f>
        <v>#VALUE!</v>
      </c>
      <c r="J3997" s="14" t="e">
        <f>=Round(0.00000000,0)</f>
        <v>#VALUE!</v>
      </c>
    </row>
    <row r="3998">
      <c r="A3998" s="11" t="s">
        <v>37</v>
      </c>
      <c r="B3998" s="12">
        <v>1359.0395</v>
      </c>
      <c r="C3998" s="12">
        <v>0</v>
      </c>
      <c r="D3998" s="13">
        <v>0</v>
      </c>
      <c r="E3998" s="12">
        <v>0</v>
      </c>
      <c r="F3998" s="14">
        <v>0</v>
      </c>
      <c r="G3998" s="13">
        <v>0</v>
      </c>
      <c r="H3998" s="14">
        <v>0</v>
      </c>
      <c r="I3998" s="14" t="e">
        <f>=Round(0.00000000,0)</f>
        <v>#VALUE!</v>
      </c>
      <c r="J3998" s="14" t="e">
        <f>=Round(0.00000000,0)</f>
        <v>#VALUE!</v>
      </c>
    </row>
    <row r="3999">
      <c r="A3999" s="11" t="s">
        <v>38</v>
      </c>
      <c r="B3999" s="12">
        <v>1359.2726</v>
      </c>
      <c r="C3999" s="12">
        <v>0</v>
      </c>
      <c r="D3999" s="13">
        <v>0</v>
      </c>
      <c r="E3999" s="12">
        <v>0</v>
      </c>
      <c r="F3999" s="14">
        <v>0</v>
      </c>
      <c r="G3999" s="13">
        <v>0</v>
      </c>
      <c r="H3999" s="14">
        <v>0</v>
      </c>
      <c r="I3999" s="14" t="e">
        <f>=Round(0.00000000,0)</f>
        <v>#VALUE!</v>
      </c>
      <c r="J3999" s="14" t="e">
        <f>=Round(0.00000000,0)</f>
        <v>#VALUE!</v>
      </c>
    </row>
    <row r="4000">
      <c r="A4000" s="11" t="s">
        <v>39</v>
      </c>
      <c r="B4000" s="12">
        <v>1359.5048</v>
      </c>
      <c r="C4000" s="12">
        <v>0</v>
      </c>
      <c r="D4000" s="13">
        <v>0</v>
      </c>
      <c r="E4000" s="12">
        <v>0</v>
      </c>
      <c r="F4000" s="14">
        <v>0</v>
      </c>
      <c r="G4000" s="13">
        <v>0</v>
      </c>
      <c r="H4000" s="14">
        <v>0</v>
      </c>
      <c r="I4000" s="14" t="e">
        <f>=Round(0.00000000,0)</f>
        <v>#VALUE!</v>
      </c>
      <c r="J4000" s="14" t="e">
        <f>=Round(0.00000000,0)</f>
        <v>#VALUE!</v>
      </c>
    </row>
    <row r="4001">
      <c r="A4001" s="11" t="s">
        <v>40</v>
      </c>
      <c r="B4001" s="12">
        <v>1359.7365</v>
      </c>
      <c r="C4001" s="12">
        <v>0</v>
      </c>
      <c r="D4001" s="13">
        <v>0</v>
      </c>
      <c r="E4001" s="12">
        <v>0</v>
      </c>
      <c r="F4001" s="14">
        <v>0</v>
      </c>
      <c r="G4001" s="13">
        <v>0</v>
      </c>
      <c r="H4001" s="14">
        <v>0</v>
      </c>
      <c r="I4001" s="14" t="e">
        <f>=Round(0.00000000,0)</f>
        <v>#VALUE!</v>
      </c>
      <c r="J4001" s="14" t="e">
        <f>=Round(0.00000000,0)</f>
        <v>#VALUE!</v>
      </c>
    </row>
    <row r="4002">
      <c r="A4002" s="11" t="s">
        <v>41</v>
      </c>
      <c r="B4002" s="12">
        <v>1359.979</v>
      </c>
      <c r="C4002" s="12">
        <v>0</v>
      </c>
      <c r="D4002" s="13">
        <v>0</v>
      </c>
      <c r="E4002" s="12">
        <v>0</v>
      </c>
      <c r="F4002" s="14">
        <v>0</v>
      </c>
      <c r="G4002" s="13">
        <v>0</v>
      </c>
      <c r="H4002" s="14">
        <v>0</v>
      </c>
      <c r="I4002" s="14" t="e">
        <f>=Round(0.00000000,0)</f>
        <v>#VALUE!</v>
      </c>
      <c r="J4002" s="14" t="e">
        <f>=Round(0.00000000,0)</f>
        <v>#VALUE!</v>
      </c>
    </row>
    <row r="4003">
      <c r="A4003" s="11" t="s">
        <v>42</v>
      </c>
      <c r="B4003" s="12">
        <v>1359.979</v>
      </c>
      <c r="C4003" s="12">
        <v>0</v>
      </c>
      <c r="D4003" s="13">
        <v>0</v>
      </c>
      <c r="E4003" s="12">
        <v>0</v>
      </c>
      <c r="F4003" s="14">
        <v>0</v>
      </c>
      <c r="G4003" s="13">
        <v>0</v>
      </c>
      <c r="H4003" s="14">
        <v>0</v>
      </c>
      <c r="I4003" s="14" t="e">
        <f>=Round(0.00000000,0)</f>
        <v>#VALUE!</v>
      </c>
      <c r="J4003" s="14" t="e">
        <f>=Round(0.00000000,0)</f>
        <v>#VALUE!</v>
      </c>
    </row>
    <row r="4004">
      <c r="A4004" s="11" t="s">
        <v>43</v>
      </c>
      <c r="B4004" s="12">
        <v>1359.979</v>
      </c>
      <c r="C4004" s="12">
        <v>0</v>
      </c>
      <c r="D4004" s="13">
        <v>0</v>
      </c>
      <c r="E4004" s="12">
        <v>0</v>
      </c>
      <c r="F4004" s="14">
        <v>0</v>
      </c>
      <c r="G4004" s="13">
        <v>0</v>
      </c>
      <c r="H4004" s="14">
        <v>0</v>
      </c>
      <c r="I4004" s="14" t="e">
        <f>=Round(0.00000000,0)</f>
        <v>#VALUE!</v>
      </c>
      <c r="J4004" s="14" t="e">
        <f>=Round(0.00000000,0)</f>
        <v>#VALUE!</v>
      </c>
    </row>
    <row r="4005">
      <c r="A4005" s="11" t="s">
        <v>44</v>
      </c>
      <c r="B4005" s="12">
        <v>1360.6758</v>
      </c>
      <c r="C4005" s="12">
        <v>0</v>
      </c>
      <c r="D4005" s="13">
        <v>0</v>
      </c>
      <c r="E4005" s="12">
        <v>0</v>
      </c>
      <c r="F4005" s="14">
        <v>0</v>
      </c>
      <c r="G4005" s="13">
        <v>0</v>
      </c>
      <c r="H4005" s="14">
        <v>0</v>
      </c>
      <c r="I4005" s="14" t="e">
        <f>=Round(0.00000000,0)</f>
        <v>#VALUE!</v>
      </c>
      <c r="J4005" s="14" t="e">
        <f>=Round(0.00000000,0)</f>
        <v>#VALUE!</v>
      </c>
    </row>
    <row r="4006">
      <c r="A4006" s="11" t="s">
        <v>45</v>
      </c>
      <c r="B4006" s="12">
        <v>1360.9062</v>
      </c>
      <c r="C4006" s="12">
        <v>0</v>
      </c>
      <c r="D4006" s="13">
        <v>0</v>
      </c>
      <c r="E4006" s="12">
        <v>0</v>
      </c>
      <c r="F4006" s="14">
        <v>0</v>
      </c>
      <c r="G4006" s="13">
        <v>0</v>
      </c>
      <c r="H4006" s="14">
        <v>0</v>
      </c>
      <c r="I4006" s="14" t="e">
        <f>=Round(0.00000000,0)</f>
        <v>#VALUE!</v>
      </c>
      <c r="J4006" s="14" t="e">
        <f>=Round(0.00000000,0)</f>
        <v>#VALUE!</v>
      </c>
    </row>
    <row r="4007">
      <c r="A4007" s="11" t="s">
        <v>46</v>
      </c>
      <c r="B4007" s="12">
        <v>1361.137</v>
      </c>
      <c r="C4007" s="12">
        <v>0</v>
      </c>
      <c r="D4007" s="13">
        <v>0</v>
      </c>
      <c r="E4007" s="12">
        <v>0</v>
      </c>
      <c r="F4007" s="14">
        <v>0</v>
      </c>
      <c r="G4007" s="13">
        <v>0</v>
      </c>
      <c r="H4007" s="14">
        <v>0</v>
      </c>
      <c r="I4007" s="14" t="e">
        <f>=Round(0.00000000,0)</f>
        <v>#VALUE!</v>
      </c>
      <c r="J4007" s="14" t="e">
        <f>=Round(0.00000000,0)</f>
        <v>#VALUE!</v>
      </c>
    </row>
    <row r="4008">
      <c r="A4008" s="11" t="s">
        <v>47</v>
      </c>
      <c r="B4008" s="12">
        <v>1361.367</v>
      </c>
      <c r="C4008" s="12">
        <v>0</v>
      </c>
      <c r="D4008" s="13">
        <v>0</v>
      </c>
      <c r="E4008" s="12">
        <v>0</v>
      </c>
      <c r="F4008" s="14">
        <v>0</v>
      </c>
      <c r="G4008" s="13">
        <v>0</v>
      </c>
      <c r="H4008" s="14">
        <v>0</v>
      </c>
      <c r="I4008" s="14" t="e">
        <f>=Round(0.00000000,0)</f>
        <v>#VALUE!</v>
      </c>
      <c r="J4008" s="14" t="e">
        <f>=Round(0.00000000,0)</f>
        <v>#VALUE!</v>
      </c>
    </row>
    <row r="4009">
      <c r="A4009" s="11" t="s">
        <v>48</v>
      </c>
      <c r="B4009" s="12">
        <v>1361.6195</v>
      </c>
      <c r="C4009" s="12">
        <v>734419.5643</v>
      </c>
      <c r="D4009" s="13">
        <v>1000000000</v>
      </c>
      <c r="E4009" s="12">
        <v>0</v>
      </c>
      <c r="F4009" s="14">
        <v>0</v>
      </c>
      <c r="G4009" s="13">
        <v>0</v>
      </c>
      <c r="H4009" s="14">
        <v>0</v>
      </c>
      <c r="I4009" s="14" t="e">
        <f>=Round(0.00000000,0)</f>
        <v>#VALUE!</v>
      </c>
      <c r="J4009" s="14" t="e">
        <f>=Round(0.00000000,0)</f>
        <v>#VALUE!</v>
      </c>
    </row>
    <row r="4010">
      <c r="A4010" s="11" t="s">
        <v>49</v>
      </c>
      <c r="B4010" s="12">
        <v>1361.6195</v>
      </c>
      <c r="C4010" s="12">
        <v>0</v>
      </c>
      <c r="D4010" s="13">
        <v>0</v>
      </c>
      <c r="E4010" s="12">
        <v>0</v>
      </c>
      <c r="F4010" s="14">
        <v>0</v>
      </c>
      <c r="G4010" s="13">
        <v>0</v>
      </c>
      <c r="H4010" s="14">
        <v>0</v>
      </c>
      <c r="I4010" s="14" t="e">
        <f>=Round(0.00000000,0)</f>
        <v>#VALUE!</v>
      </c>
      <c r="J4010" s="14" t="e">
        <f>=Round(0.00000000,0)</f>
        <v>#VALUE!</v>
      </c>
    </row>
    <row r="4011">
      <c r="A4011" s="11" t="s">
        <v>50</v>
      </c>
      <c r="B4011" s="12">
        <v>1361.6195</v>
      </c>
      <c r="C4011" s="12">
        <v>0</v>
      </c>
      <c r="D4011" s="13">
        <v>0</v>
      </c>
      <c r="E4011" s="12">
        <v>0</v>
      </c>
      <c r="F4011" s="14">
        <v>0</v>
      </c>
      <c r="G4011" s="13">
        <v>0</v>
      </c>
      <c r="H4011" s="14">
        <v>0</v>
      </c>
      <c r="I4011" s="14" t="e">
        <f>=Round(0.00000000,0)</f>
        <v>#VALUE!</v>
      </c>
      <c r="J4011" s="14" t="e">
        <f>=Round(0.00000000,0)</f>
        <v>#VALUE!</v>
      </c>
    </row>
    <row r="4012">
      <c r="A4012" s="11" t="s">
        <v>51</v>
      </c>
      <c r="B4012" s="12">
        <v>1362.3425</v>
      </c>
      <c r="C4012" s="12">
        <v>0</v>
      </c>
      <c r="D4012" s="13">
        <v>0</v>
      </c>
      <c r="E4012" s="12">
        <v>0</v>
      </c>
      <c r="F4012" s="14">
        <v>0</v>
      </c>
      <c r="G4012" s="13">
        <v>734419.5643</v>
      </c>
      <c r="H4012" s="14">
        <v>1000530985.277373</v>
      </c>
      <c r="I4012" s="14" t="e">
        <f>=Round(0.00000000,0)</f>
        <v>#VALUE!</v>
      </c>
      <c r="J4012" s="14" t="e">
        <f>=Round(0.00000000,0)</f>
        <v>#VALUE!</v>
      </c>
    </row>
    <row r="4013">
      <c r="A4013" s="11" t="s">
        <v>52</v>
      </c>
      <c r="B4013" s="12">
        <v>1362.5746</v>
      </c>
      <c r="C4013" s="12">
        <v>293561.9085</v>
      </c>
      <c r="D4013" s="13">
        <v>400000000</v>
      </c>
      <c r="E4013" s="12">
        <v>0</v>
      </c>
      <c r="F4013" s="14">
        <v>0</v>
      </c>
      <c r="G4013" s="13">
        <v>734419.5643</v>
      </c>
      <c r="H4013" s="14">
        <v>1000701444.058247</v>
      </c>
      <c r="I4013" s="14" t="e">
        <f>=Round(15035.30170000,0)</f>
        <v>#VALUE!</v>
      </c>
      <c r="J4013" s="14" t="e">
        <f>=Round(0.00000000,0)</f>
        <v>#VALUE!</v>
      </c>
    </row>
    <row r="4014">
      <c r="A4014" s="11" t="s">
        <v>53</v>
      </c>
      <c r="B4014" s="12">
        <v>1362.8067</v>
      </c>
      <c r="C4014" s="12">
        <v>0</v>
      </c>
      <c r="D4014" s="13">
        <v>0</v>
      </c>
      <c r="E4014" s="12">
        <v>0</v>
      </c>
      <c r="F4014" s="14">
        <v>0</v>
      </c>
      <c r="G4014" s="13">
        <v>1027981.4728</v>
      </c>
      <c r="H4014" s="14">
        <v>1400940038.607708</v>
      </c>
      <c r="I4014" s="14" t="e">
        <f>=Round(15037.86320000,0)</f>
        <v>#VALUE!</v>
      </c>
      <c r="J4014" s="14" t="e">
        <f>=Round(0.00000000,0)</f>
        <v>#VALUE!</v>
      </c>
    </row>
    <row r="4015">
      <c r="A4015" s="11" t="s">
        <v>54</v>
      </c>
      <c r="B4015" s="12">
        <v>1363.0394</v>
      </c>
      <c r="C4015" s="12">
        <v>0</v>
      </c>
      <c r="D4015" s="13">
        <v>0</v>
      </c>
      <c r="E4015" s="12">
        <v>0</v>
      </c>
      <c r="F4015" s="14">
        <v>0</v>
      </c>
      <c r="G4015" s="13">
        <v>1027981.4728</v>
      </c>
      <c r="H4015" s="14">
        <v>1401179249.8964281</v>
      </c>
      <c r="I4015" s="14" t="e">
        <f>=Round(21052.37760000,0)</f>
        <v>#VALUE!</v>
      </c>
      <c r="J4015" s="14" t="e">
        <f>=Round(0.00000000,0)</f>
        <v>#VALUE!</v>
      </c>
    </row>
    <row r="4016">
      <c r="A4016" s="11" t="s">
        <v>55</v>
      </c>
      <c r="B4016" s="12">
        <v>1363.274</v>
      </c>
      <c r="C4016" s="12">
        <v>0</v>
      </c>
      <c r="D4016" s="13">
        <v>0</v>
      </c>
      <c r="E4016" s="12">
        <v>0</v>
      </c>
      <c r="F4016" s="14">
        <v>0</v>
      </c>
      <c r="G4016" s="13">
        <v>1027981.4728</v>
      </c>
      <c r="H4016" s="14">
        <v>1401420414.349947</v>
      </c>
      <c r="I4016" s="14" t="e">
        <f>=Round(21055.97230000,0)</f>
        <v>#VALUE!</v>
      </c>
      <c r="J4016" s="14" t="e">
        <f>=Round(0.00000000,0)</f>
        <v>#VALUE!</v>
      </c>
    </row>
    <row r="4017" ht="-1">
      <c r="A4017" s="15"/>
      <c r="B4017" s="16" t="s">
        <v>56</v>
      </c>
      <c r="C4017" s="15"/>
      <c r="D4017" s="15"/>
      <c r="E4017" s="15"/>
      <c r="F4017" s="15"/>
      <c r="G4017" s="15"/>
      <c r="H4017" s="15"/>
      <c r="I4017" s="17" t="e">
        <f>=Round(SUM(I3991:I4016),0)</f>
        <v>#VALUE!</v>
      </c>
      <c r="J4017" s="17" t="e">
        <f>=Round(SUM(J3991:J4016),0)</f>
        <v>#VALUE!</v>
      </c>
    </row>
    <row r="4018">
      <c r="A4018" s="1" t="s">
        <v>0</v>
      </c>
      <c r="B4018" s="1"/>
      <c r="C4018" s="1"/>
      <c r="D4018" s="1"/>
    </row>
    <row r="4019">
      <c r="A4019" s="0" t="s">
        <v>1</v>
      </c>
      <c r="C4019" s="0" t="s">
        <v>144</v>
      </c>
      <c r="H4019" s="2" t="s">
        <v>3</v>
      </c>
    </row>
    <row r="4020">
      <c r="A4020" s="0" t="s">
        <v>4</v>
      </c>
      <c r="C4020" s="0" t="s">
        <v>161</v>
      </c>
      <c r="H4020" s="3" t="s">
        <v>6</v>
      </c>
    </row>
    <row r="4021">
      <c r="A4021" s="0" t="s">
        <v>7</v>
      </c>
      <c r="C4021" s="4" t="s">
        <v>146</v>
      </c>
      <c r="H4021" s="2" t="s">
        <v>9</v>
      </c>
    </row>
    <row r="4022">
      <c r="A4022" s="0" t="s">
        <v>10</v>
      </c>
      <c r="C4022" s="4" t="s">
        <v>11</v>
      </c>
      <c r="H4022" s="2" t="s">
        <v>12</v>
      </c>
    </row>
    <row r="4023">
      <c r="A4023" s="0" t="s">
        <v>13</v>
      </c>
      <c r="C4023" s="0" t="s">
        <v>14</v>
      </c>
    </row>
    <row r="4024">
      <c r="A4024" s="0" t="s">
        <v>15</v>
      </c>
      <c r="C4024" s="0" t="s">
        <v>16</v>
      </c>
    </row>
    <row r="4025">
      <c r="A4025" s="0" t="s">
        <v>17</v>
      </c>
      <c r="C4025" s="0" t="s">
        <v>18</v>
      </c>
    </row>
    <row r="4028">
      <c r="A4028" s="5" t="s">
        <v>19</v>
      </c>
      <c r="B4028" s="5" t="s">
        <v>20</v>
      </c>
      <c r="C4028" s="7" t="s">
        <v>21</v>
      </c>
      <c r="D4028" s="9"/>
      <c r="E4028" s="7" t="s">
        <v>22</v>
      </c>
      <c r="F4028" s="9"/>
      <c r="G4028" s="5" t="s">
        <v>23</v>
      </c>
      <c r="H4028" s="5" t="s">
        <v>24</v>
      </c>
      <c r="I4028" s="5" t="s">
        <v>147</v>
      </c>
      <c r="J4028" s="5" t="s">
        <v>26</v>
      </c>
    </row>
    <row r="4029">
      <c r="A4029" s="6"/>
      <c r="B4029" s="6"/>
      <c r="C4029" s="8" t="s">
        <v>27</v>
      </c>
      <c r="D4029" s="8" t="s">
        <v>28</v>
      </c>
      <c r="E4029" s="8" t="s">
        <v>27</v>
      </c>
      <c r="F4029" s="8" t="s">
        <v>28</v>
      </c>
      <c r="G4029" s="6"/>
      <c r="H4029" s="6"/>
      <c r="I4029" s="10" t="s">
        <v>29</v>
      </c>
      <c r="J4029" s="6"/>
    </row>
    <row r="4030">
      <c r="A4030" s="11" t="s">
        <v>30</v>
      </c>
      <c r="B4030" s="12">
        <v>1357.4104</v>
      </c>
      <c r="C4030" s="12">
        <v>0</v>
      </c>
      <c r="D4030" s="13">
        <v>0</v>
      </c>
      <c r="E4030" s="12">
        <v>0</v>
      </c>
      <c r="F4030" s="14">
        <v>0</v>
      </c>
      <c r="G4030" s="13">
        <v>0.0008</v>
      </c>
      <c r="H4030" s="14">
        <v>1.085928</v>
      </c>
      <c r="I4030" s="14" t="e">
        <f>=Round(0.00000000,0)</f>
        <v>#VALUE!</v>
      </c>
      <c r="J4030" s="14" t="e">
        <f>=Round(0.00000000,0)</f>
        <v>#VALUE!</v>
      </c>
    </row>
    <row r="4031">
      <c r="A4031" s="11" t="s">
        <v>31</v>
      </c>
      <c r="B4031" s="12">
        <v>1357.6428</v>
      </c>
      <c r="C4031" s="12">
        <v>0</v>
      </c>
      <c r="D4031" s="13">
        <v>0</v>
      </c>
      <c r="E4031" s="12">
        <v>0</v>
      </c>
      <c r="F4031" s="14">
        <v>0</v>
      </c>
      <c r="G4031" s="13">
        <v>0.0008</v>
      </c>
      <c r="H4031" s="14">
        <v>1.086114</v>
      </c>
      <c r="I4031" s="14" t="e">
        <f>=Round(0.00000000,0)</f>
        <v>#VALUE!</v>
      </c>
      <c r="J4031" s="14" t="e">
        <f>=Round(0.00000000,0)</f>
        <v>#VALUE!</v>
      </c>
    </row>
    <row r="4032">
      <c r="A4032" s="11" t="s">
        <v>32</v>
      </c>
      <c r="B4032" s="12">
        <v>1357.8735</v>
      </c>
      <c r="C4032" s="12">
        <v>0</v>
      </c>
      <c r="D4032" s="13">
        <v>0</v>
      </c>
      <c r="E4032" s="12">
        <v>0</v>
      </c>
      <c r="F4032" s="14">
        <v>0</v>
      </c>
      <c r="G4032" s="13">
        <v>0.0008</v>
      </c>
      <c r="H4032" s="14">
        <v>1.086299</v>
      </c>
      <c r="I4032" s="14" t="e">
        <f>=Round(0.00000000,0)</f>
        <v>#VALUE!</v>
      </c>
      <c r="J4032" s="14" t="e">
        <f>=Round(0.00000000,0)</f>
        <v>#VALUE!</v>
      </c>
    </row>
    <row r="4033">
      <c r="A4033" s="11" t="s">
        <v>33</v>
      </c>
      <c r="B4033" s="12">
        <v>1358.1079</v>
      </c>
      <c r="C4033" s="12">
        <v>0</v>
      </c>
      <c r="D4033" s="13">
        <v>0</v>
      </c>
      <c r="E4033" s="12">
        <v>0</v>
      </c>
      <c r="F4033" s="14">
        <v>0</v>
      </c>
      <c r="G4033" s="13">
        <v>0.0008</v>
      </c>
      <c r="H4033" s="14">
        <v>1.086486</v>
      </c>
      <c r="I4033" s="14" t="e">
        <f>=Round(0.00000000,0)</f>
        <v>#VALUE!</v>
      </c>
      <c r="J4033" s="14" t="e">
        <f>=Round(0.00000000,0)</f>
        <v>#VALUE!</v>
      </c>
    </row>
    <row r="4034">
      <c r="A4034" s="11" t="s">
        <v>34</v>
      </c>
      <c r="B4034" s="12">
        <v>1358.3402</v>
      </c>
      <c r="C4034" s="12">
        <v>0</v>
      </c>
      <c r="D4034" s="13">
        <v>0</v>
      </c>
      <c r="E4034" s="12">
        <v>0</v>
      </c>
      <c r="F4034" s="14">
        <v>0</v>
      </c>
      <c r="G4034" s="13">
        <v>0.0008</v>
      </c>
      <c r="H4034" s="14">
        <v>1.086672</v>
      </c>
      <c r="I4034" s="14" t="e">
        <f>=Round(0.00000000,0)</f>
        <v>#VALUE!</v>
      </c>
      <c r="J4034" s="14" t="e">
        <f>=Round(0.00000000,0)</f>
        <v>#VALUE!</v>
      </c>
    </row>
    <row r="4035">
      <c r="A4035" s="11" t="s">
        <v>35</v>
      </c>
      <c r="B4035" s="12">
        <v>1358.3402</v>
      </c>
      <c r="C4035" s="12">
        <v>0</v>
      </c>
      <c r="D4035" s="13">
        <v>0</v>
      </c>
      <c r="E4035" s="12">
        <v>0</v>
      </c>
      <c r="F4035" s="14">
        <v>0</v>
      </c>
      <c r="G4035" s="13">
        <v>0.0008</v>
      </c>
      <c r="H4035" s="14">
        <v>1.086672</v>
      </c>
      <c r="I4035" s="14" t="e">
        <f>=Round(0.00000000,0)</f>
        <v>#VALUE!</v>
      </c>
      <c r="J4035" s="14" t="e">
        <f>=Round(0.00000000,0)</f>
        <v>#VALUE!</v>
      </c>
    </row>
    <row r="4036">
      <c r="A4036" s="11" t="s">
        <v>36</v>
      </c>
      <c r="B4036" s="12">
        <v>1358.3402</v>
      </c>
      <c r="C4036" s="12">
        <v>0</v>
      </c>
      <c r="D4036" s="13">
        <v>0</v>
      </c>
      <c r="E4036" s="12">
        <v>0</v>
      </c>
      <c r="F4036" s="14">
        <v>0</v>
      </c>
      <c r="G4036" s="13">
        <v>0.0008</v>
      </c>
      <c r="H4036" s="14">
        <v>1.086672</v>
      </c>
      <c r="I4036" s="14" t="e">
        <f>=Round(0.00000000,0)</f>
        <v>#VALUE!</v>
      </c>
      <c r="J4036" s="14" t="e">
        <f>=Round(0.00000000,0)</f>
        <v>#VALUE!</v>
      </c>
    </row>
    <row r="4037">
      <c r="A4037" s="11" t="s">
        <v>37</v>
      </c>
      <c r="B4037" s="12">
        <v>1359.0395</v>
      </c>
      <c r="C4037" s="12">
        <v>0</v>
      </c>
      <c r="D4037" s="13">
        <v>0</v>
      </c>
      <c r="E4037" s="12">
        <v>0</v>
      </c>
      <c r="F4037" s="14">
        <v>0</v>
      </c>
      <c r="G4037" s="13">
        <v>0.0008</v>
      </c>
      <c r="H4037" s="14">
        <v>1.087232</v>
      </c>
      <c r="I4037" s="14" t="e">
        <f>=Round(0.00000000,0)</f>
        <v>#VALUE!</v>
      </c>
      <c r="J4037" s="14" t="e">
        <f>=Round(0.00000000,0)</f>
        <v>#VALUE!</v>
      </c>
    </row>
    <row r="4038">
      <c r="A4038" s="11" t="s">
        <v>38</v>
      </c>
      <c r="B4038" s="12">
        <v>1359.2726</v>
      </c>
      <c r="C4038" s="12">
        <v>0</v>
      </c>
      <c r="D4038" s="13">
        <v>0</v>
      </c>
      <c r="E4038" s="12">
        <v>0</v>
      </c>
      <c r="F4038" s="14">
        <v>0</v>
      </c>
      <c r="G4038" s="13">
        <v>0.0008</v>
      </c>
      <c r="H4038" s="14">
        <v>1.087418</v>
      </c>
      <c r="I4038" s="14" t="e">
        <f>=Round(0.00000000,0)</f>
        <v>#VALUE!</v>
      </c>
      <c r="J4038" s="14" t="e">
        <f>=Round(0.00000000,0)</f>
        <v>#VALUE!</v>
      </c>
    </row>
    <row r="4039">
      <c r="A4039" s="11" t="s">
        <v>39</v>
      </c>
      <c r="B4039" s="12">
        <v>1359.5048</v>
      </c>
      <c r="C4039" s="12">
        <v>0</v>
      </c>
      <c r="D4039" s="13">
        <v>0</v>
      </c>
      <c r="E4039" s="12">
        <v>0</v>
      </c>
      <c r="F4039" s="14">
        <v>0</v>
      </c>
      <c r="G4039" s="13">
        <v>0.0008</v>
      </c>
      <c r="H4039" s="14">
        <v>1.087604</v>
      </c>
      <c r="I4039" s="14" t="e">
        <f>=Round(0.00000000,0)</f>
        <v>#VALUE!</v>
      </c>
      <c r="J4039" s="14" t="e">
        <f>=Round(0.00000000,0)</f>
        <v>#VALUE!</v>
      </c>
    </row>
    <row r="4040">
      <c r="A4040" s="11" t="s">
        <v>40</v>
      </c>
      <c r="B4040" s="12">
        <v>1359.7365</v>
      </c>
      <c r="C4040" s="12">
        <v>0</v>
      </c>
      <c r="D4040" s="13">
        <v>0</v>
      </c>
      <c r="E4040" s="12">
        <v>0</v>
      </c>
      <c r="F4040" s="14">
        <v>0</v>
      </c>
      <c r="G4040" s="13">
        <v>0.0008</v>
      </c>
      <c r="H4040" s="14">
        <v>1.087789</v>
      </c>
      <c r="I4040" s="14" t="e">
        <f>=Round(0.00000000,0)</f>
        <v>#VALUE!</v>
      </c>
      <c r="J4040" s="14" t="e">
        <f>=Round(0.00000000,0)</f>
        <v>#VALUE!</v>
      </c>
    </row>
    <row r="4041">
      <c r="A4041" s="11" t="s">
        <v>41</v>
      </c>
      <c r="B4041" s="12">
        <v>1359.979</v>
      </c>
      <c r="C4041" s="12">
        <v>0</v>
      </c>
      <c r="D4041" s="13">
        <v>0</v>
      </c>
      <c r="E4041" s="12">
        <v>0</v>
      </c>
      <c r="F4041" s="14">
        <v>0</v>
      </c>
      <c r="G4041" s="13">
        <v>0.0008</v>
      </c>
      <c r="H4041" s="14">
        <v>1.087983</v>
      </c>
      <c r="I4041" s="14" t="e">
        <f>=Round(0.00000000,0)</f>
        <v>#VALUE!</v>
      </c>
      <c r="J4041" s="14" t="e">
        <f>=Round(0.00000000,0)</f>
        <v>#VALUE!</v>
      </c>
    </row>
    <row r="4042">
      <c r="A4042" s="11" t="s">
        <v>42</v>
      </c>
      <c r="B4042" s="12">
        <v>1359.979</v>
      </c>
      <c r="C4042" s="12">
        <v>0</v>
      </c>
      <c r="D4042" s="13">
        <v>0</v>
      </c>
      <c r="E4042" s="12">
        <v>0</v>
      </c>
      <c r="F4042" s="14">
        <v>0</v>
      </c>
      <c r="G4042" s="13">
        <v>0.0008</v>
      </c>
      <c r="H4042" s="14">
        <v>1.087983</v>
      </c>
      <c r="I4042" s="14" t="e">
        <f>=Round(0.00000000,0)</f>
        <v>#VALUE!</v>
      </c>
      <c r="J4042" s="14" t="e">
        <f>=Round(0.00000000,0)</f>
        <v>#VALUE!</v>
      </c>
    </row>
    <row r="4043">
      <c r="A4043" s="11" t="s">
        <v>43</v>
      </c>
      <c r="B4043" s="12">
        <v>1359.979</v>
      </c>
      <c r="C4043" s="12">
        <v>0</v>
      </c>
      <c r="D4043" s="13">
        <v>0</v>
      </c>
      <c r="E4043" s="12">
        <v>0</v>
      </c>
      <c r="F4043" s="14">
        <v>0</v>
      </c>
      <c r="G4043" s="13">
        <v>0.0008</v>
      </c>
      <c r="H4043" s="14">
        <v>1.087983</v>
      </c>
      <c r="I4043" s="14" t="e">
        <f>=Round(0.00000000,0)</f>
        <v>#VALUE!</v>
      </c>
      <c r="J4043" s="14" t="e">
        <f>=Round(0.00000000,0)</f>
        <v>#VALUE!</v>
      </c>
    </row>
    <row r="4044">
      <c r="A4044" s="11" t="s">
        <v>44</v>
      </c>
      <c r="B4044" s="12">
        <v>1360.6758</v>
      </c>
      <c r="C4044" s="12">
        <v>0</v>
      </c>
      <c r="D4044" s="13">
        <v>0</v>
      </c>
      <c r="E4044" s="12">
        <v>0</v>
      </c>
      <c r="F4044" s="14">
        <v>0</v>
      </c>
      <c r="G4044" s="13">
        <v>0.0008</v>
      </c>
      <c r="H4044" s="14">
        <v>1.088541</v>
      </c>
      <c r="I4044" s="14" t="e">
        <f>=Round(0.00000000,0)</f>
        <v>#VALUE!</v>
      </c>
      <c r="J4044" s="14" t="e">
        <f>=Round(0.00000000,0)</f>
        <v>#VALUE!</v>
      </c>
    </row>
    <row r="4045">
      <c r="A4045" s="11" t="s">
        <v>45</v>
      </c>
      <c r="B4045" s="12">
        <v>1360.9062</v>
      </c>
      <c r="C4045" s="12">
        <v>0</v>
      </c>
      <c r="D4045" s="13">
        <v>0</v>
      </c>
      <c r="E4045" s="12">
        <v>0</v>
      </c>
      <c r="F4045" s="14">
        <v>0</v>
      </c>
      <c r="G4045" s="13">
        <v>0.0008</v>
      </c>
      <c r="H4045" s="14">
        <v>1.088725</v>
      </c>
      <c r="I4045" s="14" t="e">
        <f>=Round(0.00000000,0)</f>
        <v>#VALUE!</v>
      </c>
      <c r="J4045" s="14" t="e">
        <f>=Round(0.00000000,0)</f>
        <v>#VALUE!</v>
      </c>
    </row>
    <row r="4046">
      <c r="A4046" s="11" t="s">
        <v>46</v>
      </c>
      <c r="B4046" s="12">
        <v>1361.137</v>
      </c>
      <c r="C4046" s="12">
        <v>0</v>
      </c>
      <c r="D4046" s="13">
        <v>0</v>
      </c>
      <c r="E4046" s="12">
        <v>0</v>
      </c>
      <c r="F4046" s="14">
        <v>0</v>
      </c>
      <c r="G4046" s="13">
        <v>0.0008</v>
      </c>
      <c r="H4046" s="14">
        <v>1.08891</v>
      </c>
      <c r="I4046" s="14" t="e">
        <f>=Round(0.00000000,0)</f>
        <v>#VALUE!</v>
      </c>
      <c r="J4046" s="14" t="e">
        <f>=Round(0.00000000,0)</f>
        <v>#VALUE!</v>
      </c>
    </row>
    <row r="4047">
      <c r="A4047" s="11" t="s">
        <v>47</v>
      </c>
      <c r="B4047" s="12">
        <v>1361.367</v>
      </c>
      <c r="C4047" s="12">
        <v>0</v>
      </c>
      <c r="D4047" s="13">
        <v>0</v>
      </c>
      <c r="E4047" s="12">
        <v>0</v>
      </c>
      <c r="F4047" s="14">
        <v>0</v>
      </c>
      <c r="G4047" s="13">
        <v>0.0008</v>
      </c>
      <c r="H4047" s="14">
        <v>1.089094</v>
      </c>
      <c r="I4047" s="14" t="e">
        <f>=Round(0.00000000,0)</f>
        <v>#VALUE!</v>
      </c>
      <c r="J4047" s="14" t="e">
        <f>=Round(0.00000000,0)</f>
        <v>#VALUE!</v>
      </c>
    </row>
    <row r="4048">
      <c r="A4048" s="11" t="s">
        <v>48</v>
      </c>
      <c r="B4048" s="12">
        <v>1361.6195</v>
      </c>
      <c r="C4048" s="12">
        <v>0</v>
      </c>
      <c r="D4048" s="13">
        <v>0</v>
      </c>
      <c r="E4048" s="12">
        <v>0</v>
      </c>
      <c r="F4048" s="14">
        <v>0</v>
      </c>
      <c r="G4048" s="13">
        <v>0.0008</v>
      </c>
      <c r="H4048" s="14">
        <v>1.089296</v>
      </c>
      <c r="I4048" s="14" t="e">
        <f>=Round(0.00000000,0)</f>
        <v>#VALUE!</v>
      </c>
      <c r="J4048" s="14" t="e">
        <f>=Round(0.00000000,0)</f>
        <v>#VALUE!</v>
      </c>
    </row>
    <row r="4049">
      <c r="A4049" s="11" t="s">
        <v>49</v>
      </c>
      <c r="B4049" s="12">
        <v>1361.6195</v>
      </c>
      <c r="C4049" s="12">
        <v>0</v>
      </c>
      <c r="D4049" s="13">
        <v>0</v>
      </c>
      <c r="E4049" s="12">
        <v>0</v>
      </c>
      <c r="F4049" s="14">
        <v>0</v>
      </c>
      <c r="G4049" s="13">
        <v>0.0008</v>
      </c>
      <c r="H4049" s="14">
        <v>1.089296</v>
      </c>
      <c r="I4049" s="14" t="e">
        <f>=Round(0.00000000,0)</f>
        <v>#VALUE!</v>
      </c>
      <c r="J4049" s="14" t="e">
        <f>=Round(0.00000000,0)</f>
        <v>#VALUE!</v>
      </c>
    </row>
    <row r="4050">
      <c r="A4050" s="11" t="s">
        <v>50</v>
      </c>
      <c r="B4050" s="12">
        <v>1361.6195</v>
      </c>
      <c r="C4050" s="12">
        <v>0</v>
      </c>
      <c r="D4050" s="13">
        <v>0</v>
      </c>
      <c r="E4050" s="12">
        <v>0</v>
      </c>
      <c r="F4050" s="14">
        <v>0</v>
      </c>
      <c r="G4050" s="13">
        <v>0.0008</v>
      </c>
      <c r="H4050" s="14">
        <v>1.089296</v>
      </c>
      <c r="I4050" s="14" t="e">
        <f>=Round(0.00000000,0)</f>
        <v>#VALUE!</v>
      </c>
      <c r="J4050" s="14" t="e">
        <f>=Round(0.00000000,0)</f>
        <v>#VALUE!</v>
      </c>
    </row>
    <row r="4051">
      <c r="A4051" s="11" t="s">
        <v>51</v>
      </c>
      <c r="B4051" s="12">
        <v>1362.3425</v>
      </c>
      <c r="C4051" s="12">
        <v>0</v>
      </c>
      <c r="D4051" s="13">
        <v>0</v>
      </c>
      <c r="E4051" s="12">
        <v>0</v>
      </c>
      <c r="F4051" s="14">
        <v>0</v>
      </c>
      <c r="G4051" s="13">
        <v>0.0008</v>
      </c>
      <c r="H4051" s="14">
        <v>1.089874</v>
      </c>
      <c r="I4051" s="14" t="e">
        <f>=Round(0.00000000,0)</f>
        <v>#VALUE!</v>
      </c>
      <c r="J4051" s="14" t="e">
        <f>=Round(0.00000000,0)</f>
        <v>#VALUE!</v>
      </c>
    </row>
    <row r="4052">
      <c r="A4052" s="11" t="s">
        <v>52</v>
      </c>
      <c r="B4052" s="12">
        <v>1362.5746</v>
      </c>
      <c r="C4052" s="12">
        <v>0</v>
      </c>
      <c r="D4052" s="13">
        <v>0</v>
      </c>
      <c r="E4052" s="12">
        <v>0</v>
      </c>
      <c r="F4052" s="14">
        <v>0</v>
      </c>
      <c r="G4052" s="13">
        <v>0.0008</v>
      </c>
      <c r="H4052" s="14">
        <v>1.09006</v>
      </c>
      <c r="I4052" s="14" t="e">
        <f>=Round(0.00000000,0)</f>
        <v>#VALUE!</v>
      </c>
      <c r="J4052" s="14" t="e">
        <f>=Round(0.00000000,0)</f>
        <v>#VALUE!</v>
      </c>
    </row>
    <row r="4053">
      <c r="A4053" s="11" t="s">
        <v>53</v>
      </c>
      <c r="B4053" s="12">
        <v>1362.8067</v>
      </c>
      <c r="C4053" s="12">
        <v>0</v>
      </c>
      <c r="D4053" s="13">
        <v>0</v>
      </c>
      <c r="E4053" s="12">
        <v>0</v>
      </c>
      <c r="F4053" s="14">
        <v>0</v>
      </c>
      <c r="G4053" s="13">
        <v>0.0008</v>
      </c>
      <c r="H4053" s="14">
        <v>1.090245</v>
      </c>
      <c r="I4053" s="14" t="e">
        <f>=Round(0.00000000,0)</f>
        <v>#VALUE!</v>
      </c>
      <c r="J4053" s="14" t="e">
        <f>=Round(0.00000000,0)</f>
        <v>#VALUE!</v>
      </c>
    </row>
    <row r="4054">
      <c r="A4054" s="11" t="s">
        <v>54</v>
      </c>
      <c r="B4054" s="12">
        <v>1363.0394</v>
      </c>
      <c r="C4054" s="12">
        <v>0</v>
      </c>
      <c r="D4054" s="13">
        <v>0</v>
      </c>
      <c r="E4054" s="12">
        <v>0</v>
      </c>
      <c r="F4054" s="14">
        <v>0</v>
      </c>
      <c r="G4054" s="13">
        <v>0.0008</v>
      </c>
      <c r="H4054" s="14">
        <v>1.090432</v>
      </c>
      <c r="I4054" s="14" t="e">
        <f>=Round(0.00000000,0)</f>
        <v>#VALUE!</v>
      </c>
      <c r="J4054" s="14" t="e">
        <f>=Round(0.00000000,0)</f>
        <v>#VALUE!</v>
      </c>
    </row>
    <row r="4055">
      <c r="A4055" s="11" t="s">
        <v>55</v>
      </c>
      <c r="B4055" s="12">
        <v>1363.274</v>
      </c>
      <c r="C4055" s="12">
        <v>0</v>
      </c>
      <c r="D4055" s="13">
        <v>0</v>
      </c>
      <c r="E4055" s="12">
        <v>0</v>
      </c>
      <c r="F4055" s="14">
        <v>0</v>
      </c>
      <c r="G4055" s="13">
        <v>0.0008</v>
      </c>
      <c r="H4055" s="14">
        <v>1.090619</v>
      </c>
      <c r="I4055" s="14" t="e">
        <f>=Round(0.00000000,0)</f>
        <v>#VALUE!</v>
      </c>
      <c r="J4055" s="14" t="e">
        <f>=Round(0.00000000,0)</f>
        <v>#VALUE!</v>
      </c>
    </row>
    <row r="4056" ht="-1">
      <c r="A4056" s="15"/>
      <c r="B4056" s="16" t="s">
        <v>56</v>
      </c>
      <c r="C4056" s="15"/>
      <c r="D4056" s="15"/>
      <c r="E4056" s="15"/>
      <c r="F4056" s="15"/>
      <c r="G4056" s="15"/>
      <c r="H4056" s="15"/>
      <c r="I4056" s="17" t="e">
        <f>=Round(SUM(I4030:I4055),0)</f>
        <v>#VALUE!</v>
      </c>
      <c r="J4056" s="17" t="e">
        <f>=Round(SUM(J4030:J4055),0)</f>
        <v>#VALUE!</v>
      </c>
    </row>
    <row r="4057">
      <c r="A4057" s="1" t="s">
        <v>0</v>
      </c>
      <c r="B4057" s="1"/>
      <c r="C4057" s="1"/>
      <c r="D4057" s="1"/>
    </row>
    <row r="4058">
      <c r="A4058" s="0" t="s">
        <v>1</v>
      </c>
      <c r="C4058" s="0" t="s">
        <v>144</v>
      </c>
      <c r="H4058" s="2" t="s">
        <v>3</v>
      </c>
    </row>
    <row r="4059">
      <c r="A4059" s="0" t="s">
        <v>4</v>
      </c>
      <c r="C4059" s="0" t="s">
        <v>162</v>
      </c>
      <c r="H4059" s="3" t="s">
        <v>6</v>
      </c>
    </row>
    <row r="4060">
      <c r="A4060" s="0" t="s">
        <v>7</v>
      </c>
      <c r="C4060" s="4" t="s">
        <v>146</v>
      </c>
      <c r="H4060" s="2" t="s">
        <v>9</v>
      </c>
    </row>
    <row r="4061">
      <c r="A4061" s="0" t="s">
        <v>10</v>
      </c>
      <c r="C4061" s="4" t="s">
        <v>11</v>
      </c>
      <c r="H4061" s="2" t="s">
        <v>12</v>
      </c>
    </row>
    <row r="4062">
      <c r="A4062" s="0" t="s">
        <v>13</v>
      </c>
      <c r="C4062" s="0" t="s">
        <v>14</v>
      </c>
    </row>
    <row r="4063">
      <c r="A4063" s="0" t="s">
        <v>15</v>
      </c>
      <c r="C4063" s="0" t="s">
        <v>16</v>
      </c>
    </row>
    <row r="4064">
      <c r="A4064" s="0" t="s">
        <v>17</v>
      </c>
      <c r="C4064" s="0" t="s">
        <v>18</v>
      </c>
    </row>
    <row r="4067">
      <c r="A4067" s="5" t="s">
        <v>19</v>
      </c>
      <c r="B4067" s="5" t="s">
        <v>20</v>
      </c>
      <c r="C4067" s="7" t="s">
        <v>21</v>
      </c>
      <c r="D4067" s="9"/>
      <c r="E4067" s="7" t="s">
        <v>22</v>
      </c>
      <c r="F4067" s="9"/>
      <c r="G4067" s="5" t="s">
        <v>23</v>
      </c>
      <c r="H4067" s="5" t="s">
        <v>24</v>
      </c>
      <c r="I4067" s="5" t="s">
        <v>147</v>
      </c>
      <c r="J4067" s="5" t="s">
        <v>26</v>
      </c>
    </row>
    <row r="4068">
      <c r="A4068" s="6"/>
      <c r="B4068" s="6"/>
      <c r="C4068" s="8" t="s">
        <v>27</v>
      </c>
      <c r="D4068" s="8" t="s">
        <v>28</v>
      </c>
      <c r="E4068" s="8" t="s">
        <v>27</v>
      </c>
      <c r="F4068" s="8" t="s">
        <v>28</v>
      </c>
      <c r="G4068" s="6"/>
      <c r="H4068" s="6"/>
      <c r="I4068" s="10" t="s">
        <v>29</v>
      </c>
      <c r="J4068" s="6"/>
    </row>
    <row r="4069">
      <c r="A4069" s="11" t="s">
        <v>30</v>
      </c>
      <c r="B4069" s="12">
        <v>1357.4104</v>
      </c>
      <c r="C4069" s="12">
        <v>0</v>
      </c>
      <c r="D4069" s="13">
        <v>0</v>
      </c>
      <c r="E4069" s="12">
        <v>0</v>
      </c>
      <c r="F4069" s="14">
        <v>0</v>
      </c>
      <c r="G4069" s="13">
        <v>2408400.5396999996</v>
      </c>
      <c r="H4069" s="14">
        <v>3269187939.9543929</v>
      </c>
      <c r="I4069" s="14" t="e">
        <f>=Round(49102.02040000,0)</f>
        <v>#VALUE!</v>
      </c>
      <c r="J4069" s="14" t="e">
        <f>=Round(0.00000000,0)</f>
        <v>#VALUE!</v>
      </c>
    </row>
    <row r="4070">
      <c r="A4070" s="11" t="s">
        <v>31</v>
      </c>
      <c r="B4070" s="12">
        <v>1357.6428</v>
      </c>
      <c r="C4070" s="12">
        <v>0</v>
      </c>
      <c r="D4070" s="13">
        <v>0</v>
      </c>
      <c r="E4070" s="12">
        <v>0</v>
      </c>
      <c r="F4070" s="14">
        <v>0</v>
      </c>
      <c r="G4070" s="13">
        <v>2408400.5396999996</v>
      </c>
      <c r="H4070" s="14">
        <v>3269747652.239819</v>
      </c>
      <c r="I4070" s="14" t="e">
        <f>=Round(49127.14120000,0)</f>
        <v>#VALUE!</v>
      </c>
      <c r="J4070" s="14" t="e">
        <f>=Round(0.00000000,0)</f>
        <v>#VALUE!</v>
      </c>
    </row>
    <row r="4071">
      <c r="A4071" s="11" t="s">
        <v>32</v>
      </c>
      <c r="B4071" s="12">
        <v>1357.8735</v>
      </c>
      <c r="C4071" s="12">
        <v>0</v>
      </c>
      <c r="D4071" s="13">
        <v>0</v>
      </c>
      <c r="E4071" s="12">
        <v>0</v>
      </c>
      <c r="F4071" s="14">
        <v>0</v>
      </c>
      <c r="G4071" s="13">
        <v>2408400.5396999996</v>
      </c>
      <c r="H4071" s="14">
        <v>3270303270.244328</v>
      </c>
      <c r="I4071" s="14" t="e">
        <f>=Round(49135.55220000,0)</f>
        <v>#VALUE!</v>
      </c>
      <c r="J4071" s="14" t="e">
        <f>=Round(0.00000000,0)</f>
        <v>#VALUE!</v>
      </c>
    </row>
    <row r="4072">
      <c r="A4072" s="11" t="s">
        <v>33</v>
      </c>
      <c r="B4072" s="12">
        <v>1358.1079</v>
      </c>
      <c r="C4072" s="12">
        <v>0</v>
      </c>
      <c r="D4072" s="13">
        <v>0</v>
      </c>
      <c r="E4072" s="12">
        <v>0</v>
      </c>
      <c r="F4072" s="14">
        <v>0</v>
      </c>
      <c r="G4072" s="13">
        <v>2408400.5396999996</v>
      </c>
      <c r="H4072" s="14">
        <v>3270867799.3308339</v>
      </c>
      <c r="I4072" s="14" t="e">
        <f>=Round(49143.90160000,0)</f>
        <v>#VALUE!</v>
      </c>
      <c r="J4072" s="14" t="e">
        <f>=Round(0.00000000,0)</f>
        <v>#VALUE!</v>
      </c>
    </row>
    <row r="4073">
      <c r="A4073" s="11" t="s">
        <v>34</v>
      </c>
      <c r="B4073" s="12">
        <v>1358.3402</v>
      </c>
      <c r="C4073" s="12">
        <v>0</v>
      </c>
      <c r="D4073" s="13">
        <v>0</v>
      </c>
      <c r="E4073" s="12">
        <v>0</v>
      </c>
      <c r="F4073" s="14">
        <v>0</v>
      </c>
      <c r="G4073" s="13">
        <v>2408400.5396999996</v>
      </c>
      <c r="H4073" s="14">
        <v>3271427270.776206</v>
      </c>
      <c r="I4073" s="14" t="e">
        <f>=Round(49152.38500000,0)</f>
        <v>#VALUE!</v>
      </c>
      <c r="J4073" s="14" t="e">
        <f>=Round(0.00000000,0)</f>
        <v>#VALUE!</v>
      </c>
    </row>
    <row r="4074">
      <c r="A4074" s="11" t="s">
        <v>35</v>
      </c>
      <c r="B4074" s="12">
        <v>1358.3402</v>
      </c>
      <c r="C4074" s="12">
        <v>0</v>
      </c>
      <c r="D4074" s="13">
        <v>0</v>
      </c>
      <c r="E4074" s="12">
        <v>0</v>
      </c>
      <c r="F4074" s="14">
        <v>0</v>
      </c>
      <c r="G4074" s="13">
        <v>2408400.5396999996</v>
      </c>
      <c r="H4074" s="14">
        <v>3271427270.776206</v>
      </c>
      <c r="I4074" s="14" t="e">
        <f>=Round(49160.79230000,0)</f>
        <v>#VALUE!</v>
      </c>
      <c r="J4074" s="14" t="e">
        <f>=Round(0.00000000,0)</f>
        <v>#VALUE!</v>
      </c>
    </row>
    <row r="4075">
      <c r="A4075" s="11" t="s">
        <v>36</v>
      </c>
      <c r="B4075" s="12">
        <v>1358.3402</v>
      </c>
      <c r="C4075" s="12">
        <v>0</v>
      </c>
      <c r="D4075" s="13">
        <v>0</v>
      </c>
      <c r="E4075" s="12">
        <v>0</v>
      </c>
      <c r="F4075" s="14">
        <v>0</v>
      </c>
      <c r="G4075" s="13">
        <v>2408400.5396999996</v>
      </c>
      <c r="H4075" s="14">
        <v>3271427270.776206</v>
      </c>
      <c r="I4075" s="14" t="e">
        <f>=Round(49160.79230000,0)</f>
        <v>#VALUE!</v>
      </c>
      <c r="J4075" s="14" t="e">
        <f>=Round(0.00000000,0)</f>
        <v>#VALUE!</v>
      </c>
    </row>
    <row r="4076">
      <c r="A4076" s="11" t="s">
        <v>37</v>
      </c>
      <c r="B4076" s="12">
        <v>1359.0395</v>
      </c>
      <c r="C4076" s="12">
        <v>0</v>
      </c>
      <c r="D4076" s="13">
        <v>0</v>
      </c>
      <c r="E4076" s="12">
        <v>0</v>
      </c>
      <c r="F4076" s="14">
        <v>0</v>
      </c>
      <c r="G4076" s="13">
        <v>2408400.5396999996</v>
      </c>
      <c r="H4076" s="14">
        <v>3273111465.2736182</v>
      </c>
      <c r="I4076" s="14" t="e">
        <f>=Round(49160.79230000,0)</f>
        <v>#VALUE!</v>
      </c>
      <c r="J4076" s="14" t="e">
        <f>=Round(0.00000000,0)</f>
        <v>#VALUE!</v>
      </c>
    </row>
    <row r="4077">
      <c r="A4077" s="11" t="s">
        <v>38</v>
      </c>
      <c r="B4077" s="12">
        <v>1359.2726</v>
      </c>
      <c r="C4077" s="12">
        <v>0</v>
      </c>
      <c r="D4077" s="13">
        <v>0</v>
      </c>
      <c r="E4077" s="12">
        <v>0</v>
      </c>
      <c r="F4077" s="14">
        <v>0</v>
      </c>
      <c r="G4077" s="13">
        <v>2408400.5396999996</v>
      </c>
      <c r="H4077" s="14">
        <v>3273672863.4394221</v>
      </c>
      <c r="I4077" s="14" t="e">
        <f>=Round(49186.10130000,0)</f>
        <v>#VALUE!</v>
      </c>
      <c r="J4077" s="14" t="e">
        <f>=Round(0.00000000,0)</f>
        <v>#VALUE!</v>
      </c>
    </row>
    <row r="4078">
      <c r="A4078" s="11" t="s">
        <v>39</v>
      </c>
      <c r="B4078" s="12">
        <v>1359.5048</v>
      </c>
      <c r="C4078" s="12">
        <v>0</v>
      </c>
      <c r="D4078" s="13">
        <v>0</v>
      </c>
      <c r="E4078" s="12">
        <v>0</v>
      </c>
      <c r="F4078" s="14">
        <v>0</v>
      </c>
      <c r="G4078" s="13">
        <v>2408400.5396999996</v>
      </c>
      <c r="H4078" s="14">
        <v>3274232094.0447412</v>
      </c>
      <c r="I4078" s="14" t="e">
        <f>=Round(49194.53760000,0)</f>
        <v>#VALUE!</v>
      </c>
      <c r="J4078" s="14" t="e">
        <f>=Round(0.00000000,0)</f>
        <v>#VALUE!</v>
      </c>
    </row>
    <row r="4079">
      <c r="A4079" s="11" t="s">
        <v>40</v>
      </c>
      <c r="B4079" s="12">
        <v>1359.7365</v>
      </c>
      <c r="C4079" s="12">
        <v>0</v>
      </c>
      <c r="D4079" s="13">
        <v>0</v>
      </c>
      <c r="E4079" s="12">
        <v>0</v>
      </c>
      <c r="F4079" s="14">
        <v>0</v>
      </c>
      <c r="G4079" s="13">
        <v>2408400.5396999996</v>
      </c>
      <c r="H4079" s="14">
        <v>3274790120.449789</v>
      </c>
      <c r="I4079" s="14" t="e">
        <f>=Round(49202.94130000,0)</f>
        <v>#VALUE!</v>
      </c>
      <c r="J4079" s="14" t="e">
        <f>=Round(0.00000000,0)</f>
        <v>#VALUE!</v>
      </c>
    </row>
    <row r="4080">
      <c r="A4080" s="11" t="s">
        <v>41</v>
      </c>
      <c r="B4080" s="12">
        <v>1359.979</v>
      </c>
      <c r="C4080" s="12">
        <v>0</v>
      </c>
      <c r="D4080" s="13">
        <v>0</v>
      </c>
      <c r="E4080" s="12">
        <v>0</v>
      </c>
      <c r="F4080" s="14">
        <v>0</v>
      </c>
      <c r="G4080" s="13">
        <v>2408400.5396999996</v>
      </c>
      <c r="H4080" s="14">
        <v>3275374157.5806661</v>
      </c>
      <c r="I4080" s="14" t="e">
        <f>=Round(49211.32690000,0)</f>
        <v>#VALUE!</v>
      </c>
      <c r="J4080" s="14" t="e">
        <f>=Round(0.00000000,0)</f>
        <v>#VALUE!</v>
      </c>
    </row>
    <row r="4081">
      <c r="A4081" s="11" t="s">
        <v>42</v>
      </c>
      <c r="B4081" s="12">
        <v>1359.979</v>
      </c>
      <c r="C4081" s="12">
        <v>0</v>
      </c>
      <c r="D4081" s="13">
        <v>0</v>
      </c>
      <c r="E4081" s="12">
        <v>0</v>
      </c>
      <c r="F4081" s="14">
        <v>0</v>
      </c>
      <c r="G4081" s="13">
        <v>2408400.5396999996</v>
      </c>
      <c r="H4081" s="14">
        <v>3275374157.5806661</v>
      </c>
      <c r="I4081" s="14" t="e">
        <f>=Round(49220.10350000,0)</f>
        <v>#VALUE!</v>
      </c>
      <c r="J4081" s="14" t="e">
        <f>=Round(0.00000000,0)</f>
        <v>#VALUE!</v>
      </c>
    </row>
    <row r="4082">
      <c r="A4082" s="11" t="s">
        <v>43</v>
      </c>
      <c r="B4082" s="12">
        <v>1359.979</v>
      </c>
      <c r="C4082" s="12">
        <v>0</v>
      </c>
      <c r="D4082" s="13">
        <v>0</v>
      </c>
      <c r="E4082" s="12">
        <v>0</v>
      </c>
      <c r="F4082" s="14">
        <v>0</v>
      </c>
      <c r="G4082" s="13">
        <v>2408400.5396999996</v>
      </c>
      <c r="H4082" s="14">
        <v>3275374157.5806661</v>
      </c>
      <c r="I4082" s="14" t="e">
        <f>=Round(49220.10350000,0)</f>
        <v>#VALUE!</v>
      </c>
      <c r="J4082" s="14" t="e">
        <f>=Round(0.00000000,0)</f>
        <v>#VALUE!</v>
      </c>
    </row>
    <row r="4083">
      <c r="A4083" s="11" t="s">
        <v>44</v>
      </c>
      <c r="B4083" s="12">
        <v>1360.6758</v>
      </c>
      <c r="C4083" s="12">
        <v>0</v>
      </c>
      <c r="D4083" s="13">
        <v>0</v>
      </c>
      <c r="E4083" s="12">
        <v>0</v>
      </c>
      <c r="F4083" s="14">
        <v>0</v>
      </c>
      <c r="G4083" s="13">
        <v>2408400.5396999996</v>
      </c>
      <c r="H4083" s="14">
        <v>3277052331.0767288</v>
      </c>
      <c r="I4083" s="14" t="e">
        <f>=Round(49220.10350000,0)</f>
        <v>#VALUE!</v>
      </c>
      <c r="J4083" s="14" t="e">
        <f>=Round(0.00000000,0)</f>
        <v>#VALUE!</v>
      </c>
    </row>
    <row r="4084">
      <c r="A4084" s="11" t="s">
        <v>45</v>
      </c>
      <c r="B4084" s="12">
        <v>1360.9062</v>
      </c>
      <c r="C4084" s="12">
        <v>0</v>
      </c>
      <c r="D4084" s="13">
        <v>0</v>
      </c>
      <c r="E4084" s="12">
        <v>0</v>
      </c>
      <c r="F4084" s="14">
        <v>0</v>
      </c>
      <c r="G4084" s="13">
        <v>2408400.5396999996</v>
      </c>
      <c r="H4084" s="14">
        <v>3277607226.5610762</v>
      </c>
      <c r="I4084" s="14" t="e">
        <f>=Round(49245.32190000,0)</f>
        <v>#VALUE!</v>
      </c>
      <c r="J4084" s="14" t="e">
        <f>=Round(0.00000000,0)</f>
        <v>#VALUE!</v>
      </c>
    </row>
    <row r="4085">
      <c r="A4085" s="11" t="s">
        <v>46</v>
      </c>
      <c r="B4085" s="12">
        <v>1361.137</v>
      </c>
      <c r="C4085" s="12">
        <v>0</v>
      </c>
      <c r="D4085" s="13">
        <v>0</v>
      </c>
      <c r="E4085" s="12">
        <v>0</v>
      </c>
      <c r="F4085" s="14">
        <v>0</v>
      </c>
      <c r="G4085" s="13">
        <v>2408400.5396999996</v>
      </c>
      <c r="H4085" s="14">
        <v>3278163085.4056392</v>
      </c>
      <c r="I4085" s="14" t="e">
        <f>=Round(49253.66050000,0)</f>
        <v>#VALUE!</v>
      </c>
      <c r="J4085" s="14" t="e">
        <f>=Round(0.00000000,0)</f>
        <v>#VALUE!</v>
      </c>
    </row>
    <row r="4086">
      <c r="A4086" s="11" t="s">
        <v>47</v>
      </c>
      <c r="B4086" s="12">
        <v>1361.367</v>
      </c>
      <c r="C4086" s="12">
        <v>0</v>
      </c>
      <c r="D4086" s="13">
        <v>0</v>
      </c>
      <c r="E4086" s="12">
        <v>0</v>
      </c>
      <c r="F4086" s="14">
        <v>0</v>
      </c>
      <c r="G4086" s="13">
        <v>2408400.5396999996</v>
      </c>
      <c r="H4086" s="14">
        <v>3278717017.52977</v>
      </c>
      <c r="I4086" s="14" t="e">
        <f>=Round(49262.01360000,0)</f>
        <v>#VALUE!</v>
      </c>
      <c r="J4086" s="14" t="e">
        <f>=Round(0.00000000,0)</f>
        <v>#VALUE!</v>
      </c>
    </row>
    <row r="4087">
      <c r="A4087" s="11" t="s">
        <v>48</v>
      </c>
      <c r="B4087" s="12">
        <v>1361.6195</v>
      </c>
      <c r="C4087" s="12">
        <v>0</v>
      </c>
      <c r="D4087" s="13">
        <v>0</v>
      </c>
      <c r="E4087" s="12">
        <v>0</v>
      </c>
      <c r="F4087" s="14">
        <v>0</v>
      </c>
      <c r="G4087" s="13">
        <v>2408400.5396999996</v>
      </c>
      <c r="H4087" s="14">
        <v>3279325138.6660442</v>
      </c>
      <c r="I4087" s="14" t="e">
        <f>=Round(49270.33770000,0)</f>
        <v>#VALUE!</v>
      </c>
      <c r="J4087" s="14" t="e">
        <f>=Round(0.00000000,0)</f>
        <v>#VALUE!</v>
      </c>
    </row>
    <row r="4088">
      <c r="A4088" s="11" t="s">
        <v>49</v>
      </c>
      <c r="B4088" s="12">
        <v>1361.6195</v>
      </c>
      <c r="C4088" s="12">
        <v>0</v>
      </c>
      <c r="D4088" s="13">
        <v>0</v>
      </c>
      <c r="E4088" s="12">
        <v>0</v>
      </c>
      <c r="F4088" s="14">
        <v>0</v>
      </c>
      <c r="G4088" s="13">
        <v>2408400.5396999996</v>
      </c>
      <c r="H4088" s="14">
        <v>3279325138.6660442</v>
      </c>
      <c r="I4088" s="14" t="e">
        <f>=Round(49279.47610000,0)</f>
        <v>#VALUE!</v>
      </c>
      <c r="J4088" s="14" t="e">
        <f>=Round(0.00000000,0)</f>
        <v>#VALUE!</v>
      </c>
    </row>
    <row r="4089">
      <c r="A4089" s="11" t="s">
        <v>50</v>
      </c>
      <c r="B4089" s="12">
        <v>1361.6195</v>
      </c>
      <c r="C4089" s="12">
        <v>0</v>
      </c>
      <c r="D4089" s="13">
        <v>0</v>
      </c>
      <c r="E4089" s="12">
        <v>0</v>
      </c>
      <c r="F4089" s="14">
        <v>0</v>
      </c>
      <c r="G4089" s="13">
        <v>2408400.5396999996</v>
      </c>
      <c r="H4089" s="14">
        <v>3279325138.6660442</v>
      </c>
      <c r="I4089" s="14" t="e">
        <f>=Round(49279.47610000,0)</f>
        <v>#VALUE!</v>
      </c>
      <c r="J4089" s="14" t="e">
        <f>=Round(0.00000000,0)</f>
        <v>#VALUE!</v>
      </c>
    </row>
    <row r="4090">
      <c r="A4090" s="11" t="s">
        <v>51</v>
      </c>
      <c r="B4090" s="12">
        <v>1362.3425</v>
      </c>
      <c r="C4090" s="12">
        <v>0</v>
      </c>
      <c r="D4090" s="13">
        <v>0</v>
      </c>
      <c r="E4090" s="12">
        <v>0</v>
      </c>
      <c r="F4090" s="14">
        <v>0</v>
      </c>
      <c r="G4090" s="13">
        <v>2408400.5396999996</v>
      </c>
      <c r="H4090" s="14">
        <v>3281066412.256247</v>
      </c>
      <c r="I4090" s="14" t="e">
        <f>=Round(49279.47610000,0)</f>
        <v>#VALUE!</v>
      </c>
      <c r="J4090" s="14" t="e">
        <f>=Round(0.00000000,0)</f>
        <v>#VALUE!</v>
      </c>
    </row>
    <row r="4091">
      <c r="A4091" s="11" t="s">
        <v>52</v>
      </c>
      <c r="B4091" s="12">
        <v>1362.5746</v>
      </c>
      <c r="C4091" s="12">
        <v>0</v>
      </c>
      <c r="D4091" s="13">
        <v>0</v>
      </c>
      <c r="E4091" s="12">
        <v>0</v>
      </c>
      <c r="F4091" s="14">
        <v>0</v>
      </c>
      <c r="G4091" s="13">
        <v>2408400.5396999996</v>
      </c>
      <c r="H4091" s="14">
        <v>3281625402.021512</v>
      </c>
      <c r="I4091" s="14" t="e">
        <f>=Round(49305.64280000,0)</f>
        <v>#VALUE!</v>
      </c>
      <c r="J4091" s="14" t="e">
        <f>=Round(0.00000000,0)</f>
        <v>#VALUE!</v>
      </c>
    </row>
    <row r="4092">
      <c r="A4092" s="11" t="s">
        <v>53</v>
      </c>
      <c r="B4092" s="12">
        <v>1362.8067</v>
      </c>
      <c r="C4092" s="12">
        <v>0</v>
      </c>
      <c r="D4092" s="13">
        <v>0</v>
      </c>
      <c r="E4092" s="12">
        <v>0</v>
      </c>
      <c r="F4092" s="14">
        <v>0</v>
      </c>
      <c r="G4092" s="13">
        <v>2408400.5396999996</v>
      </c>
      <c r="H4092" s="14">
        <v>3282184391.7867761</v>
      </c>
      <c r="I4092" s="14" t="e">
        <f>=Round(49314.04290000,0)</f>
        <v>#VALUE!</v>
      </c>
      <c r="J4092" s="14" t="e">
        <f>=Round(0.00000000,0)</f>
        <v>#VALUE!</v>
      </c>
    </row>
    <row r="4093">
      <c r="A4093" s="11" t="s">
        <v>54</v>
      </c>
      <c r="B4093" s="12">
        <v>1363.0394</v>
      </c>
      <c r="C4093" s="12">
        <v>0</v>
      </c>
      <c r="D4093" s="13">
        <v>0</v>
      </c>
      <c r="E4093" s="12">
        <v>0</v>
      </c>
      <c r="F4093" s="14">
        <v>0</v>
      </c>
      <c r="G4093" s="13">
        <v>2408400.5396999996</v>
      </c>
      <c r="H4093" s="14">
        <v>3282744826.5923638</v>
      </c>
      <c r="I4093" s="14" t="e">
        <f>=Round(49322.44300000,0)</f>
        <v>#VALUE!</v>
      </c>
      <c r="J4093" s="14" t="e">
        <f>=Round(0.00000000,0)</f>
        <v>#VALUE!</v>
      </c>
    </row>
    <row r="4094">
      <c r="A4094" s="11" t="s">
        <v>55</v>
      </c>
      <c r="B4094" s="12">
        <v>1363.274</v>
      </c>
      <c r="C4094" s="12">
        <v>0</v>
      </c>
      <c r="D4094" s="13">
        <v>0</v>
      </c>
      <c r="E4094" s="12">
        <v>0</v>
      </c>
      <c r="F4094" s="14">
        <v>0</v>
      </c>
      <c r="G4094" s="13">
        <v>2408400.5396999996</v>
      </c>
      <c r="H4094" s="14">
        <v>3283309837.3589778</v>
      </c>
      <c r="I4094" s="14" t="e">
        <f>=Round(49330.86490000,0)</f>
        <v>#VALUE!</v>
      </c>
      <c r="J4094" s="14" t="e">
        <f>=Round(0.00000000,0)</f>
        <v>#VALUE!</v>
      </c>
    </row>
    <row r="4095" ht="-1">
      <c r="A4095" s="15"/>
      <c r="B4095" s="16" t="s">
        <v>56</v>
      </c>
      <c r="C4095" s="15"/>
      <c r="D4095" s="15"/>
      <c r="E4095" s="15"/>
      <c r="F4095" s="15"/>
      <c r="G4095" s="15"/>
      <c r="H4095" s="15"/>
      <c r="I4095" s="17" t="e">
        <f>=Round(SUM(I4069:I4094),0)</f>
        <v>#VALUE!</v>
      </c>
      <c r="J4095" s="17" t="e">
        <f>=Round(SUM(J4069:J4094),0)</f>
        <v>#VALUE!</v>
      </c>
    </row>
    <row r="4096">
      <c r="A4096" s="1" t="s">
        <v>0</v>
      </c>
      <c r="B4096" s="1"/>
      <c r="C4096" s="1"/>
      <c r="D4096" s="1"/>
    </row>
    <row r="4097">
      <c r="A4097" s="0" t="s">
        <v>1</v>
      </c>
      <c r="C4097" s="0" t="s">
        <v>144</v>
      </c>
      <c r="H4097" s="2" t="s">
        <v>3</v>
      </c>
    </row>
    <row r="4098">
      <c r="A4098" s="0" t="s">
        <v>4</v>
      </c>
      <c r="C4098" s="0" t="s">
        <v>163</v>
      </c>
      <c r="H4098" s="3" t="s">
        <v>6</v>
      </c>
    </row>
    <row r="4099">
      <c r="A4099" s="0" t="s">
        <v>7</v>
      </c>
      <c r="C4099" s="4" t="s">
        <v>146</v>
      </c>
      <c r="H4099" s="2" t="s">
        <v>9</v>
      </c>
    </row>
    <row r="4100">
      <c r="A4100" s="0" t="s">
        <v>10</v>
      </c>
      <c r="C4100" s="4" t="s">
        <v>11</v>
      </c>
      <c r="H4100" s="2" t="s">
        <v>12</v>
      </c>
    </row>
    <row r="4101">
      <c r="A4101" s="0" t="s">
        <v>13</v>
      </c>
      <c r="C4101" s="0" t="s">
        <v>14</v>
      </c>
    </row>
    <row r="4102">
      <c r="A4102" s="0" t="s">
        <v>15</v>
      </c>
      <c r="C4102" s="0" t="s">
        <v>16</v>
      </c>
    </row>
    <row r="4103">
      <c r="A4103" s="0" t="s">
        <v>17</v>
      </c>
      <c r="C4103" s="0" t="s">
        <v>18</v>
      </c>
    </row>
    <row r="4106">
      <c r="A4106" s="5" t="s">
        <v>19</v>
      </c>
      <c r="B4106" s="5" t="s">
        <v>20</v>
      </c>
      <c r="C4106" s="7" t="s">
        <v>21</v>
      </c>
      <c r="D4106" s="9"/>
      <c r="E4106" s="7" t="s">
        <v>22</v>
      </c>
      <c r="F4106" s="9"/>
      <c r="G4106" s="5" t="s">
        <v>23</v>
      </c>
      <c r="H4106" s="5" t="s">
        <v>24</v>
      </c>
      <c r="I4106" s="5" t="s">
        <v>147</v>
      </c>
      <c r="J4106" s="5" t="s">
        <v>26</v>
      </c>
    </row>
    <row r="4107">
      <c r="A4107" s="6"/>
      <c r="B4107" s="6"/>
      <c r="C4107" s="8" t="s">
        <v>27</v>
      </c>
      <c r="D4107" s="8" t="s">
        <v>28</v>
      </c>
      <c r="E4107" s="8" t="s">
        <v>27</v>
      </c>
      <c r="F4107" s="8" t="s">
        <v>28</v>
      </c>
      <c r="G4107" s="6"/>
      <c r="H4107" s="6"/>
      <c r="I4107" s="10" t="s">
        <v>29</v>
      </c>
      <c r="J4107" s="6"/>
    </row>
    <row r="4108">
      <c r="A4108" s="11" t="s">
        <v>30</v>
      </c>
      <c r="B4108" s="12">
        <v>1357.4104</v>
      </c>
      <c r="C4108" s="12">
        <v>0</v>
      </c>
      <c r="D4108" s="13">
        <v>0</v>
      </c>
      <c r="E4108" s="12">
        <v>0</v>
      </c>
      <c r="F4108" s="14">
        <v>0</v>
      </c>
      <c r="G4108" s="13">
        <v>3983452.8766</v>
      </c>
      <c r="H4108" s="14">
        <v>5407180362.6067572</v>
      </c>
      <c r="I4108" s="14" t="e">
        <f>=Round(81213.89330000,0)</f>
        <v>#VALUE!</v>
      </c>
      <c r="J4108" s="14" t="e">
        <f>=Round(0.00000000,0)</f>
        <v>#VALUE!</v>
      </c>
    </row>
    <row r="4109">
      <c r="A4109" s="11" t="s">
        <v>31</v>
      </c>
      <c r="B4109" s="12">
        <v>1357.6428</v>
      </c>
      <c r="C4109" s="12">
        <v>0</v>
      </c>
      <c r="D4109" s="13">
        <v>0</v>
      </c>
      <c r="E4109" s="12">
        <v>0</v>
      </c>
      <c r="F4109" s="14">
        <v>0</v>
      </c>
      <c r="G4109" s="13">
        <v>3983452.8766</v>
      </c>
      <c r="H4109" s="14">
        <v>5408106117.0552778</v>
      </c>
      <c r="I4109" s="14" t="e">
        <f>=Round(81255.44260000,0)</f>
        <v>#VALUE!</v>
      </c>
      <c r="J4109" s="14" t="e">
        <f>=Round(0.00000000,0)</f>
        <v>#VALUE!</v>
      </c>
    </row>
    <row r="4110">
      <c r="A4110" s="11" t="s">
        <v>32</v>
      </c>
      <c r="B4110" s="12">
        <v>1357.8735</v>
      </c>
      <c r="C4110" s="12">
        <v>0</v>
      </c>
      <c r="D4110" s="13">
        <v>0</v>
      </c>
      <c r="E4110" s="12">
        <v>0</v>
      </c>
      <c r="F4110" s="14">
        <v>0</v>
      </c>
      <c r="G4110" s="13">
        <v>3983452.8766</v>
      </c>
      <c r="H4110" s="14">
        <v>5409025099.63391</v>
      </c>
      <c r="I4110" s="14" t="e">
        <f>=Round(81269.35420000,0)</f>
        <v>#VALUE!</v>
      </c>
      <c r="J4110" s="14" t="e">
        <f>=Round(0.00000000,0)</f>
        <v>#VALUE!</v>
      </c>
    </row>
    <row r="4111">
      <c r="A4111" s="11" t="s">
        <v>33</v>
      </c>
      <c r="B4111" s="12">
        <v>1358.1079</v>
      </c>
      <c r="C4111" s="12">
        <v>0</v>
      </c>
      <c r="D4111" s="13">
        <v>0</v>
      </c>
      <c r="E4111" s="12">
        <v>0</v>
      </c>
      <c r="F4111" s="14">
        <v>0</v>
      </c>
      <c r="G4111" s="13">
        <v>3983452.8766</v>
      </c>
      <c r="H4111" s="14">
        <v>5409958820.9881849</v>
      </c>
      <c r="I4111" s="14" t="e">
        <f>=Round(81283.16410000,0)</f>
        <v>#VALUE!</v>
      </c>
      <c r="J4111" s="14" t="e">
        <f>=Round(0.00000000,0)</f>
        <v>#VALUE!</v>
      </c>
    </row>
    <row r="4112">
      <c r="A4112" s="11" t="s">
        <v>34</v>
      </c>
      <c r="B4112" s="12">
        <v>1358.3402</v>
      </c>
      <c r="C4112" s="12">
        <v>0</v>
      </c>
      <c r="D4112" s="13">
        <v>0</v>
      </c>
      <c r="E4112" s="12">
        <v>0</v>
      </c>
      <c r="F4112" s="14">
        <v>0</v>
      </c>
      <c r="G4112" s="13">
        <v>3983452.8766</v>
      </c>
      <c r="H4112" s="14">
        <v>5410884177.0914192</v>
      </c>
      <c r="I4112" s="14" t="e">
        <f>=Round(81297.19540000,0)</f>
        <v>#VALUE!</v>
      </c>
      <c r="J4112" s="14" t="e">
        <f>=Round(0.00000000,0)</f>
        <v>#VALUE!</v>
      </c>
    </row>
    <row r="4113">
      <c r="A4113" s="11" t="s">
        <v>35</v>
      </c>
      <c r="B4113" s="12">
        <v>1358.3402</v>
      </c>
      <c r="C4113" s="12">
        <v>0</v>
      </c>
      <c r="D4113" s="13">
        <v>0</v>
      </c>
      <c r="E4113" s="12">
        <v>0</v>
      </c>
      <c r="F4113" s="14">
        <v>0</v>
      </c>
      <c r="G4113" s="13">
        <v>3983452.8766</v>
      </c>
      <c r="H4113" s="14">
        <v>5410884177.0914192</v>
      </c>
      <c r="I4113" s="14" t="e">
        <f>=Round(81311.10100000,0)</f>
        <v>#VALUE!</v>
      </c>
      <c r="J4113" s="14" t="e">
        <f>=Round(0.00000000,0)</f>
        <v>#VALUE!</v>
      </c>
    </row>
    <row r="4114">
      <c r="A4114" s="11" t="s">
        <v>36</v>
      </c>
      <c r="B4114" s="12">
        <v>1358.3402</v>
      </c>
      <c r="C4114" s="12">
        <v>0</v>
      </c>
      <c r="D4114" s="13">
        <v>0</v>
      </c>
      <c r="E4114" s="12">
        <v>0</v>
      </c>
      <c r="F4114" s="14">
        <v>0</v>
      </c>
      <c r="G4114" s="13">
        <v>3983452.8766</v>
      </c>
      <c r="H4114" s="14">
        <v>5410884177.0914192</v>
      </c>
      <c r="I4114" s="14" t="e">
        <f>=Round(81311.10100000,0)</f>
        <v>#VALUE!</v>
      </c>
      <c r="J4114" s="14" t="e">
        <f>=Round(0.00000000,0)</f>
        <v>#VALUE!</v>
      </c>
    </row>
    <row r="4115">
      <c r="A4115" s="11" t="s">
        <v>37</v>
      </c>
      <c r="B4115" s="12">
        <v>1359.0395</v>
      </c>
      <c r="C4115" s="12">
        <v>0</v>
      </c>
      <c r="D4115" s="13">
        <v>0</v>
      </c>
      <c r="E4115" s="12">
        <v>0</v>
      </c>
      <c r="F4115" s="14">
        <v>0</v>
      </c>
      <c r="G4115" s="13">
        <v>3983452.8766</v>
      </c>
      <c r="H4115" s="14">
        <v>5413669805.6880264</v>
      </c>
      <c r="I4115" s="14" t="e">
        <f>=Round(81311.10100000,0)</f>
        <v>#VALUE!</v>
      </c>
      <c r="J4115" s="14" t="e">
        <f>=Round(0.00000000,0)</f>
        <v>#VALUE!</v>
      </c>
    </row>
    <row r="4116">
      <c r="A4116" s="11" t="s">
        <v>38</v>
      </c>
      <c r="B4116" s="12">
        <v>1359.2726</v>
      </c>
      <c r="C4116" s="12">
        <v>0</v>
      </c>
      <c r="D4116" s="13">
        <v>0</v>
      </c>
      <c r="E4116" s="12">
        <v>0</v>
      </c>
      <c r="F4116" s="14">
        <v>0</v>
      </c>
      <c r="G4116" s="13">
        <v>3983452.8766</v>
      </c>
      <c r="H4116" s="14">
        <v>5414598348.5535612</v>
      </c>
      <c r="I4116" s="14" t="e">
        <f>=Round(81352.96160000,0)</f>
        <v>#VALUE!</v>
      </c>
      <c r="J4116" s="14" t="e">
        <f>=Round(0.00000000,0)</f>
        <v>#VALUE!</v>
      </c>
    </row>
    <row r="4117">
      <c r="A4117" s="11" t="s">
        <v>39</v>
      </c>
      <c r="B4117" s="12">
        <v>1359.5048</v>
      </c>
      <c r="C4117" s="12">
        <v>0</v>
      </c>
      <c r="D4117" s="13">
        <v>0</v>
      </c>
      <c r="E4117" s="12">
        <v>0</v>
      </c>
      <c r="F4117" s="14">
        <v>0</v>
      </c>
      <c r="G4117" s="13">
        <v>3983452.8766</v>
      </c>
      <c r="H4117" s="14">
        <v>5415523306.3115082</v>
      </c>
      <c r="I4117" s="14" t="e">
        <f>=Round(81366.91510000,0)</f>
        <v>#VALUE!</v>
      </c>
      <c r="J4117" s="14" t="e">
        <f>=Round(0.00000000,0)</f>
        <v>#VALUE!</v>
      </c>
    </row>
    <row r="4118">
      <c r="A4118" s="11" t="s">
        <v>40</v>
      </c>
      <c r="B4118" s="12">
        <v>1359.7365</v>
      </c>
      <c r="C4118" s="12">
        <v>0</v>
      </c>
      <c r="D4118" s="13">
        <v>0</v>
      </c>
      <c r="E4118" s="12">
        <v>0</v>
      </c>
      <c r="F4118" s="14">
        <v>0</v>
      </c>
      <c r="G4118" s="13">
        <v>3983452.8766</v>
      </c>
      <c r="H4118" s="14">
        <v>5416446272.3430157</v>
      </c>
      <c r="I4118" s="14" t="e">
        <f>=Round(81380.81470000,0)</f>
        <v>#VALUE!</v>
      </c>
      <c r="J4118" s="14" t="e">
        <f>=Round(0.00000000,0)</f>
        <v>#VALUE!</v>
      </c>
    </row>
    <row r="4119">
      <c r="A4119" s="11" t="s">
        <v>41</v>
      </c>
      <c r="B4119" s="12">
        <v>1359.979</v>
      </c>
      <c r="C4119" s="12">
        <v>0</v>
      </c>
      <c r="D4119" s="13">
        <v>0</v>
      </c>
      <c r="E4119" s="12">
        <v>0</v>
      </c>
      <c r="F4119" s="14">
        <v>0</v>
      </c>
      <c r="G4119" s="13">
        <v>3983452.8766</v>
      </c>
      <c r="H4119" s="14">
        <v>5417412259.6655912</v>
      </c>
      <c r="I4119" s="14" t="e">
        <f>=Round(81394.68440000,0)</f>
        <v>#VALUE!</v>
      </c>
      <c r="J4119" s="14" t="e">
        <f>=Round(0.00000000,0)</f>
        <v>#VALUE!</v>
      </c>
    </row>
    <row r="4120">
      <c r="A4120" s="11" t="s">
        <v>42</v>
      </c>
      <c r="B4120" s="12">
        <v>1359.979</v>
      </c>
      <c r="C4120" s="12">
        <v>0</v>
      </c>
      <c r="D4120" s="13">
        <v>0</v>
      </c>
      <c r="E4120" s="12">
        <v>0</v>
      </c>
      <c r="F4120" s="14">
        <v>0</v>
      </c>
      <c r="G4120" s="13">
        <v>3983452.8766</v>
      </c>
      <c r="H4120" s="14">
        <v>5417412259.6655912</v>
      </c>
      <c r="I4120" s="14" t="e">
        <f>=Round(81409.20060000,0)</f>
        <v>#VALUE!</v>
      </c>
      <c r="J4120" s="14" t="e">
        <f>=Round(0.00000000,0)</f>
        <v>#VALUE!</v>
      </c>
    </row>
    <row r="4121">
      <c r="A4121" s="11" t="s">
        <v>43</v>
      </c>
      <c r="B4121" s="12">
        <v>1359.979</v>
      </c>
      <c r="C4121" s="12">
        <v>0</v>
      </c>
      <c r="D4121" s="13">
        <v>0</v>
      </c>
      <c r="E4121" s="12">
        <v>0</v>
      </c>
      <c r="F4121" s="14">
        <v>0</v>
      </c>
      <c r="G4121" s="13">
        <v>3983452.8766</v>
      </c>
      <c r="H4121" s="14">
        <v>5417412259.6655912</v>
      </c>
      <c r="I4121" s="14" t="e">
        <f>=Round(81409.20060000,0)</f>
        <v>#VALUE!</v>
      </c>
      <c r="J4121" s="14" t="e">
        <f>=Round(0.00000000,0)</f>
        <v>#VALUE!</v>
      </c>
    </row>
    <row r="4122">
      <c r="A4122" s="11" t="s">
        <v>44</v>
      </c>
      <c r="B4122" s="12">
        <v>1360.6758</v>
      </c>
      <c r="C4122" s="12">
        <v>0</v>
      </c>
      <c r="D4122" s="13">
        <v>0</v>
      </c>
      <c r="E4122" s="12">
        <v>0</v>
      </c>
      <c r="F4122" s="14">
        <v>0</v>
      </c>
      <c r="G4122" s="13">
        <v>3983452.8766</v>
      </c>
      <c r="H4122" s="14">
        <v>5420187929.6300058</v>
      </c>
      <c r="I4122" s="14" t="e">
        <f>=Round(81409.20060000,0)</f>
        <v>#VALUE!</v>
      </c>
      <c r="J4122" s="14" t="e">
        <f>=Round(0.00000000,0)</f>
        <v>#VALUE!</v>
      </c>
    </row>
    <row r="4123">
      <c r="A4123" s="11" t="s">
        <v>45</v>
      </c>
      <c r="B4123" s="12">
        <v>1360.9062</v>
      </c>
      <c r="C4123" s="12">
        <v>0</v>
      </c>
      <c r="D4123" s="13">
        <v>0</v>
      </c>
      <c r="E4123" s="12">
        <v>0</v>
      </c>
      <c r="F4123" s="14">
        <v>0</v>
      </c>
      <c r="G4123" s="13">
        <v>3983452.8766</v>
      </c>
      <c r="H4123" s="14">
        <v>5421105717.1727753</v>
      </c>
      <c r="I4123" s="14" t="e">
        <f>=Round(81450.91150000,0)</f>
        <v>#VALUE!</v>
      </c>
      <c r="J4123" s="14" t="e">
        <f>=Round(0.00000000,0)</f>
        <v>#VALUE!</v>
      </c>
    </row>
    <row r="4124">
      <c r="A4124" s="11" t="s">
        <v>46</v>
      </c>
      <c r="B4124" s="12">
        <v>1361.137</v>
      </c>
      <c r="C4124" s="12">
        <v>0</v>
      </c>
      <c r="D4124" s="13">
        <v>0</v>
      </c>
      <c r="E4124" s="12">
        <v>0</v>
      </c>
      <c r="F4124" s="14">
        <v>0</v>
      </c>
      <c r="G4124" s="13">
        <v>3983452.8766</v>
      </c>
      <c r="H4124" s="14">
        <v>5422025098.096694</v>
      </c>
      <c r="I4124" s="14" t="e">
        <f>=Round(81464.70340000,0)</f>
        <v>#VALUE!</v>
      </c>
      <c r="J4124" s="14" t="e">
        <f>=Round(0.00000000,0)</f>
        <v>#VALUE!</v>
      </c>
    </row>
    <row r="4125">
      <c r="A4125" s="11" t="s">
        <v>47</v>
      </c>
      <c r="B4125" s="12">
        <v>1361.367</v>
      </c>
      <c r="C4125" s="12">
        <v>0</v>
      </c>
      <c r="D4125" s="13">
        <v>0</v>
      </c>
      <c r="E4125" s="12">
        <v>0</v>
      </c>
      <c r="F4125" s="14">
        <v>0</v>
      </c>
      <c r="G4125" s="13">
        <v>3983452.8766</v>
      </c>
      <c r="H4125" s="14">
        <v>5422941292.2583122</v>
      </c>
      <c r="I4125" s="14" t="e">
        <f>=Round(81478.51920000,0)</f>
        <v>#VALUE!</v>
      </c>
      <c r="J4125" s="14" t="e">
        <f>=Round(0.00000000,0)</f>
        <v>#VALUE!</v>
      </c>
    </row>
    <row r="4126">
      <c r="A4126" s="11" t="s">
        <v>48</v>
      </c>
      <c r="B4126" s="12">
        <v>1361.6195</v>
      </c>
      <c r="C4126" s="12">
        <v>0</v>
      </c>
      <c r="D4126" s="13">
        <v>0</v>
      </c>
      <c r="E4126" s="12">
        <v>0</v>
      </c>
      <c r="F4126" s="14">
        <v>0</v>
      </c>
      <c r="G4126" s="13">
        <v>3983452.8766</v>
      </c>
      <c r="H4126" s="14">
        <v>5423947114.1096544</v>
      </c>
      <c r="I4126" s="14" t="e">
        <f>=Round(81492.28720000,0)</f>
        <v>#VALUE!</v>
      </c>
      <c r="J4126" s="14" t="e">
        <f>=Round(0.00000000,0)</f>
        <v>#VALUE!</v>
      </c>
    </row>
    <row r="4127">
      <c r="A4127" s="11" t="s">
        <v>49</v>
      </c>
      <c r="B4127" s="12">
        <v>1361.6195</v>
      </c>
      <c r="C4127" s="12">
        <v>0</v>
      </c>
      <c r="D4127" s="13">
        <v>0</v>
      </c>
      <c r="E4127" s="12">
        <v>0</v>
      </c>
      <c r="F4127" s="14">
        <v>0</v>
      </c>
      <c r="G4127" s="13">
        <v>3983452.8766</v>
      </c>
      <c r="H4127" s="14">
        <v>5423947114.1096544</v>
      </c>
      <c r="I4127" s="14" t="e">
        <f>=Round(81507.40200000,0)</f>
        <v>#VALUE!</v>
      </c>
      <c r="J4127" s="14" t="e">
        <f>=Round(0.00000000,0)</f>
        <v>#VALUE!</v>
      </c>
    </row>
    <row r="4128">
      <c r="A4128" s="11" t="s">
        <v>50</v>
      </c>
      <c r="B4128" s="12">
        <v>1361.6195</v>
      </c>
      <c r="C4128" s="12">
        <v>0</v>
      </c>
      <c r="D4128" s="13">
        <v>0</v>
      </c>
      <c r="E4128" s="12">
        <v>0</v>
      </c>
      <c r="F4128" s="14">
        <v>0</v>
      </c>
      <c r="G4128" s="13">
        <v>3983452.8766</v>
      </c>
      <c r="H4128" s="14">
        <v>5423947114.1096544</v>
      </c>
      <c r="I4128" s="14" t="e">
        <f>=Round(81507.40200000,0)</f>
        <v>#VALUE!</v>
      </c>
      <c r="J4128" s="14" t="e">
        <f>=Round(0.00000000,0)</f>
        <v>#VALUE!</v>
      </c>
    </row>
    <row r="4129">
      <c r="A4129" s="11" t="s">
        <v>51</v>
      </c>
      <c r="B4129" s="12">
        <v>1362.3425</v>
      </c>
      <c r="C4129" s="12">
        <v>0</v>
      </c>
      <c r="D4129" s="13">
        <v>0</v>
      </c>
      <c r="E4129" s="12">
        <v>0</v>
      </c>
      <c r="F4129" s="14">
        <v>0</v>
      </c>
      <c r="G4129" s="13">
        <v>3983452.8766</v>
      </c>
      <c r="H4129" s="14">
        <v>5426827150.5394363</v>
      </c>
      <c r="I4129" s="14" t="e">
        <f>=Round(81507.40200000,0)</f>
        <v>#VALUE!</v>
      </c>
      <c r="J4129" s="14" t="e">
        <f>=Round(0.00000000,0)</f>
        <v>#VALUE!</v>
      </c>
    </row>
    <row r="4130">
      <c r="A4130" s="11" t="s">
        <v>52</v>
      </c>
      <c r="B4130" s="12">
        <v>1362.5746</v>
      </c>
      <c r="C4130" s="12">
        <v>0</v>
      </c>
      <c r="D4130" s="13">
        <v>0</v>
      </c>
      <c r="E4130" s="12">
        <v>0</v>
      </c>
      <c r="F4130" s="14">
        <v>0</v>
      </c>
      <c r="G4130" s="13">
        <v>3983452.8766</v>
      </c>
      <c r="H4130" s="14">
        <v>5427751709.9520941</v>
      </c>
      <c r="I4130" s="14" t="e">
        <f>=Round(81550.68120000,0)</f>
        <v>#VALUE!</v>
      </c>
      <c r="J4130" s="14" t="e">
        <f>=Round(0.00000000,0)</f>
        <v>#VALUE!</v>
      </c>
    </row>
    <row r="4131">
      <c r="A4131" s="11" t="s">
        <v>53</v>
      </c>
      <c r="B4131" s="12">
        <v>1362.8067</v>
      </c>
      <c r="C4131" s="12">
        <v>0</v>
      </c>
      <c r="D4131" s="13">
        <v>0</v>
      </c>
      <c r="E4131" s="12">
        <v>0</v>
      </c>
      <c r="F4131" s="14">
        <v>0</v>
      </c>
      <c r="G4131" s="13">
        <v>3983452.8766</v>
      </c>
      <c r="H4131" s="14">
        <v>5428676269.3647528</v>
      </c>
      <c r="I4131" s="14" t="e">
        <f>=Round(81564.57490000,0)</f>
        <v>#VALUE!</v>
      </c>
      <c r="J4131" s="14" t="e">
        <f>=Round(0.00000000,0)</f>
        <v>#VALUE!</v>
      </c>
    </row>
    <row r="4132">
      <c r="A4132" s="11" t="s">
        <v>54</v>
      </c>
      <c r="B4132" s="12">
        <v>1363.0394</v>
      </c>
      <c r="C4132" s="12">
        <v>0</v>
      </c>
      <c r="D4132" s="13">
        <v>0</v>
      </c>
      <c r="E4132" s="12">
        <v>0</v>
      </c>
      <c r="F4132" s="14">
        <v>0</v>
      </c>
      <c r="G4132" s="13">
        <v>3983452.8766</v>
      </c>
      <c r="H4132" s="14">
        <v>5429603218.8491383</v>
      </c>
      <c r="I4132" s="14" t="e">
        <f>=Round(81578.46850000,0)</f>
        <v>#VALUE!</v>
      </c>
      <c r="J4132" s="14" t="e">
        <f>=Round(0.00000000,0)</f>
        <v>#VALUE!</v>
      </c>
    </row>
    <row r="4133">
      <c r="A4133" s="11" t="s">
        <v>55</v>
      </c>
      <c r="B4133" s="12">
        <v>1363.274</v>
      </c>
      <c r="C4133" s="12">
        <v>0</v>
      </c>
      <c r="D4133" s="13">
        <v>0</v>
      </c>
      <c r="E4133" s="12">
        <v>0</v>
      </c>
      <c r="F4133" s="14">
        <v>0</v>
      </c>
      <c r="G4133" s="13">
        <v>3983452.8766</v>
      </c>
      <c r="H4133" s="14">
        <v>5430537736.8939877</v>
      </c>
      <c r="I4133" s="14" t="e">
        <f>=Round(81592.39810000,0)</f>
        <v>#VALUE!</v>
      </c>
      <c r="J4133" s="14" t="e">
        <f>=Round(0.00000000,0)</f>
        <v>#VALUE!</v>
      </c>
    </row>
    <row r="4134" ht="-1">
      <c r="A4134" s="15"/>
      <c r="B4134" s="16" t="s">
        <v>56</v>
      </c>
      <c r="C4134" s="15"/>
      <c r="D4134" s="15"/>
      <c r="E4134" s="15"/>
      <c r="F4134" s="15"/>
      <c r="G4134" s="15"/>
      <c r="H4134" s="15"/>
      <c r="I4134" s="17" t="e">
        <f>=Round(SUM(I4108:I4133),0)</f>
        <v>#VALUE!</v>
      </c>
      <c r="J4134" s="17" t="e">
        <f>=Round(SUM(J4108:J4133),0)</f>
        <v>#VALUE!</v>
      </c>
    </row>
    <row r="4135">
      <c r="A4135" s="1" t="s">
        <v>0</v>
      </c>
      <c r="B4135" s="1"/>
      <c r="C4135" s="1"/>
      <c r="D4135" s="1"/>
    </row>
    <row r="4136">
      <c r="A4136" s="0" t="s">
        <v>1</v>
      </c>
      <c r="C4136" s="0" t="s">
        <v>144</v>
      </c>
      <c r="H4136" s="2" t="s">
        <v>3</v>
      </c>
    </row>
    <row r="4137">
      <c r="A4137" s="0" t="s">
        <v>4</v>
      </c>
      <c r="C4137" s="0" t="s">
        <v>164</v>
      </c>
      <c r="H4137" s="3" t="s">
        <v>6</v>
      </c>
    </row>
    <row r="4138">
      <c r="A4138" s="0" t="s">
        <v>7</v>
      </c>
      <c r="C4138" s="4" t="s">
        <v>146</v>
      </c>
      <c r="H4138" s="2" t="s">
        <v>9</v>
      </c>
    </row>
    <row r="4139">
      <c r="A4139" s="0" t="s">
        <v>10</v>
      </c>
      <c r="C4139" s="4" t="s">
        <v>11</v>
      </c>
      <c r="H4139" s="2" t="s">
        <v>12</v>
      </c>
    </row>
    <row r="4140">
      <c r="A4140" s="0" t="s">
        <v>13</v>
      </c>
      <c r="C4140" s="0" t="s">
        <v>14</v>
      </c>
    </row>
    <row r="4141">
      <c r="A4141" s="0" t="s">
        <v>15</v>
      </c>
      <c r="C4141" s="0" t="s">
        <v>16</v>
      </c>
    </row>
    <row r="4142">
      <c r="A4142" s="0" t="s">
        <v>17</v>
      </c>
      <c r="C4142" s="0" t="s">
        <v>18</v>
      </c>
    </row>
    <row r="4145">
      <c r="A4145" s="5" t="s">
        <v>19</v>
      </c>
      <c r="B4145" s="5" t="s">
        <v>20</v>
      </c>
      <c r="C4145" s="7" t="s">
        <v>21</v>
      </c>
      <c r="D4145" s="9"/>
      <c r="E4145" s="7" t="s">
        <v>22</v>
      </c>
      <c r="F4145" s="9"/>
      <c r="G4145" s="5" t="s">
        <v>23</v>
      </c>
      <c r="H4145" s="5" t="s">
        <v>24</v>
      </c>
      <c r="I4145" s="5" t="s">
        <v>147</v>
      </c>
      <c r="J4145" s="5" t="s">
        <v>26</v>
      </c>
    </row>
    <row r="4146">
      <c r="A4146" s="6"/>
      <c r="B4146" s="6"/>
      <c r="C4146" s="8" t="s">
        <v>27</v>
      </c>
      <c r="D4146" s="8" t="s">
        <v>28</v>
      </c>
      <c r="E4146" s="8" t="s">
        <v>27</v>
      </c>
      <c r="F4146" s="8" t="s">
        <v>28</v>
      </c>
      <c r="G4146" s="6"/>
      <c r="H4146" s="6"/>
      <c r="I4146" s="10" t="s">
        <v>29</v>
      </c>
      <c r="J4146" s="6"/>
    </row>
    <row r="4147">
      <c r="A4147" s="11" t="s">
        <v>30</v>
      </c>
      <c r="B4147" s="12">
        <v>1357.4104</v>
      </c>
      <c r="C4147" s="12">
        <v>0</v>
      </c>
      <c r="D4147" s="13">
        <v>0</v>
      </c>
      <c r="E4147" s="12">
        <v>0</v>
      </c>
      <c r="F4147" s="14">
        <v>0</v>
      </c>
      <c r="G4147" s="13">
        <v>31377602.405500002</v>
      </c>
      <c r="H4147" s="14">
        <v>42592283832.290718</v>
      </c>
      <c r="I4147" s="14" t="e">
        <f>=Round(639720.69810000,0)</f>
        <v>#VALUE!</v>
      </c>
      <c r="J4147" s="14" t="e">
        <f>=Round(0.00000000,0)</f>
        <v>#VALUE!</v>
      </c>
    </row>
    <row r="4148">
      <c r="A4148" s="11" t="s">
        <v>31</v>
      </c>
      <c r="B4148" s="12">
        <v>1357.6428</v>
      </c>
      <c r="C4148" s="12">
        <v>0</v>
      </c>
      <c r="D4148" s="13">
        <v>0</v>
      </c>
      <c r="E4148" s="12">
        <v>0</v>
      </c>
      <c r="F4148" s="14">
        <v>0</v>
      </c>
      <c r="G4148" s="13">
        <v>31377602.405500002</v>
      </c>
      <c r="H4148" s="14">
        <v>42599575987.089752</v>
      </c>
      <c r="I4148" s="14" t="e">
        <f>=Round(640047.98110000,0)</f>
        <v>#VALUE!</v>
      </c>
      <c r="J4148" s="14" t="e">
        <f>=Round(0.00000000,0)</f>
        <v>#VALUE!</v>
      </c>
    </row>
    <row r="4149">
      <c r="A4149" s="11" t="s">
        <v>32</v>
      </c>
      <c r="B4149" s="12">
        <v>1357.8735</v>
      </c>
      <c r="C4149" s="12">
        <v>0</v>
      </c>
      <c r="D4149" s="13">
        <v>0</v>
      </c>
      <c r="E4149" s="12">
        <v>0</v>
      </c>
      <c r="F4149" s="14">
        <v>0</v>
      </c>
      <c r="G4149" s="13">
        <v>31377602.405500002</v>
      </c>
      <c r="H4149" s="14">
        <v>42606814799.964706</v>
      </c>
      <c r="I4149" s="14" t="e">
        <f>=Round(640157.56260000,0)</f>
        <v>#VALUE!</v>
      </c>
      <c r="J4149" s="14" t="e">
        <f>=Round(0.00000000,0)</f>
        <v>#VALUE!</v>
      </c>
    </row>
    <row r="4150">
      <c r="A4150" s="11" t="s">
        <v>33</v>
      </c>
      <c r="B4150" s="12">
        <v>1358.1079</v>
      </c>
      <c r="C4150" s="12">
        <v>0</v>
      </c>
      <c r="D4150" s="13">
        <v>0</v>
      </c>
      <c r="E4150" s="12">
        <v>0</v>
      </c>
      <c r="F4150" s="14">
        <v>0</v>
      </c>
      <c r="G4150" s="13">
        <v>31377602.405500002</v>
      </c>
      <c r="H4150" s="14">
        <v>42614169709.968552</v>
      </c>
      <c r="I4150" s="14" t="e">
        <f>=Round(640266.34260000,0)</f>
        <v>#VALUE!</v>
      </c>
      <c r="J4150" s="14" t="e">
        <f>=Round(0.00000000,0)</f>
        <v>#VALUE!</v>
      </c>
    </row>
    <row r="4151">
      <c r="A4151" s="11" t="s">
        <v>34</v>
      </c>
      <c r="B4151" s="12">
        <v>1358.3402</v>
      </c>
      <c r="C4151" s="12">
        <v>0</v>
      </c>
      <c r="D4151" s="13">
        <v>0</v>
      </c>
      <c r="E4151" s="12">
        <v>0</v>
      </c>
      <c r="F4151" s="14">
        <v>0</v>
      </c>
      <c r="G4151" s="13">
        <v>31377602.405500002</v>
      </c>
      <c r="H4151" s="14">
        <v>42621458727.007355</v>
      </c>
      <c r="I4151" s="14" t="e">
        <f>=Round(640376.86720000,0)</f>
        <v>#VALUE!</v>
      </c>
      <c r="J4151" s="14" t="e">
        <f>=Round(0.00000000,0)</f>
        <v>#VALUE!</v>
      </c>
    </row>
    <row r="4152">
      <c r="A4152" s="11" t="s">
        <v>35</v>
      </c>
      <c r="B4152" s="12">
        <v>1358.3402</v>
      </c>
      <c r="C4152" s="12">
        <v>0</v>
      </c>
      <c r="D4152" s="13">
        <v>0</v>
      </c>
      <c r="E4152" s="12">
        <v>0</v>
      </c>
      <c r="F4152" s="14">
        <v>0</v>
      </c>
      <c r="G4152" s="13">
        <v>31377602.405500002</v>
      </c>
      <c r="H4152" s="14">
        <v>42621458727.007355</v>
      </c>
      <c r="I4152" s="14" t="e">
        <f>=Round(640486.40160000,0)</f>
        <v>#VALUE!</v>
      </c>
      <c r="J4152" s="14" t="e">
        <f>=Round(0.00000000,0)</f>
        <v>#VALUE!</v>
      </c>
    </row>
    <row r="4153">
      <c r="A4153" s="11" t="s">
        <v>36</v>
      </c>
      <c r="B4153" s="12">
        <v>1358.3402</v>
      </c>
      <c r="C4153" s="12">
        <v>0</v>
      </c>
      <c r="D4153" s="13">
        <v>0</v>
      </c>
      <c r="E4153" s="12">
        <v>0</v>
      </c>
      <c r="F4153" s="14">
        <v>0</v>
      </c>
      <c r="G4153" s="13">
        <v>31377602.405500002</v>
      </c>
      <c r="H4153" s="14">
        <v>42621458727.007355</v>
      </c>
      <c r="I4153" s="14" t="e">
        <f>=Round(640486.40160000,0)</f>
        <v>#VALUE!</v>
      </c>
      <c r="J4153" s="14" t="e">
        <f>=Round(0.00000000,0)</f>
        <v>#VALUE!</v>
      </c>
    </row>
    <row r="4154">
      <c r="A4154" s="11" t="s">
        <v>37</v>
      </c>
      <c r="B4154" s="12">
        <v>1359.0395</v>
      </c>
      <c r="C4154" s="12">
        <v>0</v>
      </c>
      <c r="D4154" s="13">
        <v>0</v>
      </c>
      <c r="E4154" s="12">
        <v>0</v>
      </c>
      <c r="F4154" s="14">
        <v>0</v>
      </c>
      <c r="G4154" s="13">
        <v>31377602.405500002</v>
      </c>
      <c r="H4154" s="14">
        <v>42643401084.369522</v>
      </c>
      <c r="I4154" s="14" t="e">
        <f>=Round(640486.40160000,0)</f>
        <v>#VALUE!</v>
      </c>
      <c r="J4154" s="14" t="e">
        <f>=Round(0.00000000,0)</f>
        <v>#VALUE!</v>
      </c>
    </row>
    <row r="4155">
      <c r="A4155" s="11" t="s">
        <v>38</v>
      </c>
      <c r="B4155" s="12">
        <v>1359.2726</v>
      </c>
      <c r="C4155" s="12">
        <v>0</v>
      </c>
      <c r="D4155" s="13">
        <v>0</v>
      </c>
      <c r="E4155" s="12">
        <v>0</v>
      </c>
      <c r="F4155" s="14">
        <v>0</v>
      </c>
      <c r="G4155" s="13">
        <v>31377602.405500002</v>
      </c>
      <c r="H4155" s="14">
        <v>42650715203.490242</v>
      </c>
      <c r="I4155" s="14" t="e">
        <f>=Round(640816.13650000,0)</f>
        <v>#VALUE!</v>
      </c>
      <c r="J4155" s="14" t="e">
        <f>=Round(0.00000000,0)</f>
        <v>#VALUE!</v>
      </c>
    </row>
    <row r="4156">
      <c r="A4156" s="11" t="s">
        <v>39</v>
      </c>
      <c r="B4156" s="12">
        <v>1359.5048</v>
      </c>
      <c r="C4156" s="12">
        <v>0</v>
      </c>
      <c r="D4156" s="13">
        <v>0</v>
      </c>
      <c r="E4156" s="12">
        <v>0</v>
      </c>
      <c r="F4156" s="14">
        <v>0</v>
      </c>
      <c r="G4156" s="13">
        <v>31377602.405500002</v>
      </c>
      <c r="H4156" s="14">
        <v>42658001082.7688</v>
      </c>
      <c r="I4156" s="14" t="e">
        <f>=Round(640926.04810000,0)</f>
        <v>#VALUE!</v>
      </c>
      <c r="J4156" s="14" t="e">
        <f>=Round(0.00000000,0)</f>
        <v>#VALUE!</v>
      </c>
    </row>
    <row r="4157">
      <c r="A4157" s="11" t="s">
        <v>40</v>
      </c>
      <c r="B4157" s="12">
        <v>1359.7365</v>
      </c>
      <c r="C4157" s="12">
        <v>0</v>
      </c>
      <c r="D4157" s="13">
        <v>0</v>
      </c>
      <c r="E4157" s="12">
        <v>0</v>
      </c>
      <c r="F4157" s="14">
        <v>0</v>
      </c>
      <c r="G4157" s="13">
        <v>31377602.405500002</v>
      </c>
      <c r="H4157" s="14">
        <v>42665271273.246155</v>
      </c>
      <c r="I4157" s="14" t="e">
        <f>=Round(641035.53540000,0)</f>
        <v>#VALUE!</v>
      </c>
      <c r="J4157" s="14" t="e">
        <f>=Round(0.00000000,0)</f>
        <v>#VALUE!</v>
      </c>
    </row>
    <row r="4158">
      <c r="A4158" s="11" t="s">
        <v>41</v>
      </c>
      <c r="B4158" s="12">
        <v>1359.979</v>
      </c>
      <c r="C4158" s="12">
        <v>0</v>
      </c>
      <c r="D4158" s="13">
        <v>0</v>
      </c>
      <c r="E4158" s="12">
        <v>0</v>
      </c>
      <c r="F4158" s="14">
        <v>0</v>
      </c>
      <c r="G4158" s="13">
        <v>31377602.405500002</v>
      </c>
      <c r="H4158" s="14">
        <v>42672880341.829491</v>
      </c>
      <c r="I4158" s="14" t="e">
        <f>=Round(641144.78690000,0)</f>
        <v>#VALUE!</v>
      </c>
      <c r="J4158" s="14" t="e">
        <f>=Round(0.00000000,0)</f>
        <v>#VALUE!</v>
      </c>
    </row>
    <row r="4159">
      <c r="A4159" s="11" t="s">
        <v>42</v>
      </c>
      <c r="B4159" s="12">
        <v>1359.979</v>
      </c>
      <c r="C4159" s="12">
        <v>0</v>
      </c>
      <c r="D4159" s="13">
        <v>0</v>
      </c>
      <c r="E4159" s="12">
        <v>0</v>
      </c>
      <c r="F4159" s="14">
        <v>0</v>
      </c>
      <c r="G4159" s="13">
        <v>31377602.405500002</v>
      </c>
      <c r="H4159" s="14">
        <v>42672880341.829491</v>
      </c>
      <c r="I4159" s="14" t="e">
        <f>=Round(641259.13080000,0)</f>
        <v>#VALUE!</v>
      </c>
      <c r="J4159" s="14" t="e">
        <f>=Round(0.00000000,0)</f>
        <v>#VALUE!</v>
      </c>
    </row>
    <row r="4160">
      <c r="A4160" s="11" t="s">
        <v>43</v>
      </c>
      <c r="B4160" s="12">
        <v>1359.979</v>
      </c>
      <c r="C4160" s="12">
        <v>0</v>
      </c>
      <c r="D4160" s="13">
        <v>0</v>
      </c>
      <c r="E4160" s="12">
        <v>0</v>
      </c>
      <c r="F4160" s="14">
        <v>0</v>
      </c>
      <c r="G4160" s="13">
        <v>31377602.405500002</v>
      </c>
      <c r="H4160" s="14">
        <v>42672880341.829491</v>
      </c>
      <c r="I4160" s="14" t="e">
        <f>=Round(641259.13080000,0)</f>
        <v>#VALUE!</v>
      </c>
      <c r="J4160" s="14" t="e">
        <f>=Round(0.00000000,0)</f>
        <v>#VALUE!</v>
      </c>
    </row>
    <row r="4161">
      <c r="A4161" s="11" t="s">
        <v>44</v>
      </c>
      <c r="B4161" s="12">
        <v>1360.6758</v>
      </c>
      <c r="C4161" s="12">
        <v>0</v>
      </c>
      <c r="D4161" s="13">
        <v>0</v>
      </c>
      <c r="E4161" s="12">
        <v>0</v>
      </c>
      <c r="F4161" s="14">
        <v>0</v>
      </c>
      <c r="G4161" s="13">
        <v>31377602.405500002</v>
      </c>
      <c r="H4161" s="14">
        <v>42694744255.185638</v>
      </c>
      <c r="I4161" s="14" t="e">
        <f>=Round(641259.13080000,0)</f>
        <v>#VALUE!</v>
      </c>
      <c r="J4161" s="14" t="e">
        <f>=Round(0.00000000,0)</f>
        <v>#VALUE!</v>
      </c>
    </row>
    <row r="4162">
      <c r="A4162" s="11" t="s">
        <v>45</v>
      </c>
      <c r="B4162" s="12">
        <v>1360.9062</v>
      </c>
      <c r="C4162" s="12">
        <v>0</v>
      </c>
      <c r="D4162" s="13">
        <v>0</v>
      </c>
      <c r="E4162" s="12">
        <v>0</v>
      </c>
      <c r="F4162" s="14">
        <v>0</v>
      </c>
      <c r="G4162" s="13">
        <v>31377602.405500002</v>
      </c>
      <c r="H4162" s="14">
        <v>42701973654.779861</v>
      </c>
      <c r="I4162" s="14" t="e">
        <f>=Round(641587.68690000,0)</f>
        <v>#VALUE!</v>
      </c>
      <c r="J4162" s="14" t="e">
        <f>=Round(0.00000000,0)</f>
        <v>#VALUE!</v>
      </c>
    </row>
    <row r="4163">
      <c r="A4163" s="11" t="s">
        <v>46</v>
      </c>
      <c r="B4163" s="12">
        <v>1361.137</v>
      </c>
      <c r="C4163" s="12">
        <v>0</v>
      </c>
      <c r="D4163" s="13">
        <v>0</v>
      </c>
      <c r="E4163" s="12">
        <v>22040397.1092</v>
      </c>
      <c r="F4163" s="14">
        <v>30000000000.03</v>
      </c>
      <c r="G4163" s="13">
        <v>31377602.405500002</v>
      </c>
      <c r="H4163" s="14">
        <v>42709215605.415054</v>
      </c>
      <c r="I4163" s="14" t="e">
        <f>=Round(641696.32540000,0)</f>
        <v>#VALUE!</v>
      </c>
      <c r="J4163" s="14" t="e">
        <f>=Round(0.00000000,0)</f>
        <v>#VALUE!</v>
      </c>
    </row>
    <row r="4164">
      <c r="A4164" s="11" t="s">
        <v>47</v>
      </c>
      <c r="B4164" s="12">
        <v>1361.367</v>
      </c>
      <c r="C4164" s="12">
        <v>0</v>
      </c>
      <c r="D4164" s="13">
        <v>0</v>
      </c>
      <c r="E4164" s="12">
        <v>0</v>
      </c>
      <c r="F4164" s="14">
        <v>0</v>
      </c>
      <c r="G4164" s="13">
        <v>9337205.2963</v>
      </c>
      <c r="H4164" s="14">
        <v>12711363162.608042</v>
      </c>
      <c r="I4164" s="14" t="e">
        <f>=Round(641805.15250000,0)</f>
        <v>#VALUE!</v>
      </c>
      <c r="J4164" s="14" t="e">
        <f>=Round(0.00000000,0)</f>
        <v>#VALUE!</v>
      </c>
    </row>
    <row r="4165">
      <c r="A4165" s="11" t="s">
        <v>48</v>
      </c>
      <c r="B4165" s="12">
        <v>1361.6195</v>
      </c>
      <c r="C4165" s="12">
        <v>0</v>
      </c>
      <c r="D4165" s="13">
        <v>0</v>
      </c>
      <c r="E4165" s="12">
        <v>0</v>
      </c>
      <c r="F4165" s="14">
        <v>0</v>
      </c>
      <c r="G4165" s="13">
        <v>9337205.2963</v>
      </c>
      <c r="H4165" s="14">
        <v>12713720806.945358</v>
      </c>
      <c r="I4165" s="14" t="e">
        <f>=Round(191017.75240000,0)</f>
        <v>#VALUE!</v>
      </c>
      <c r="J4165" s="14" t="e">
        <f>=Round(0.00000000,0)</f>
        <v>#VALUE!</v>
      </c>
    </row>
    <row r="4166">
      <c r="A4166" s="11" t="s">
        <v>49</v>
      </c>
      <c r="B4166" s="12">
        <v>1361.6195</v>
      </c>
      <c r="C4166" s="12">
        <v>0</v>
      </c>
      <c r="D4166" s="13">
        <v>0</v>
      </c>
      <c r="E4166" s="12">
        <v>0</v>
      </c>
      <c r="F4166" s="14">
        <v>0</v>
      </c>
      <c r="G4166" s="13">
        <v>9337205.2963</v>
      </c>
      <c r="H4166" s="14">
        <v>12713720806.945358</v>
      </c>
      <c r="I4166" s="14" t="e">
        <f>=Round(191053.18150000,0)</f>
        <v>#VALUE!</v>
      </c>
      <c r="J4166" s="14" t="e">
        <f>=Round(0.00000000,0)</f>
        <v>#VALUE!</v>
      </c>
    </row>
    <row r="4167">
      <c r="A4167" s="11" t="s">
        <v>50</v>
      </c>
      <c r="B4167" s="12">
        <v>1361.6195</v>
      </c>
      <c r="C4167" s="12">
        <v>0</v>
      </c>
      <c r="D4167" s="13">
        <v>0</v>
      </c>
      <c r="E4167" s="12">
        <v>0</v>
      </c>
      <c r="F4167" s="14">
        <v>0</v>
      </c>
      <c r="G4167" s="13">
        <v>9337205.2963</v>
      </c>
      <c r="H4167" s="14">
        <v>12713720806.945358</v>
      </c>
      <c r="I4167" s="14" t="e">
        <f>=Round(191053.18150000,0)</f>
        <v>#VALUE!</v>
      </c>
      <c r="J4167" s="14" t="e">
        <f>=Round(0.00000000,0)</f>
        <v>#VALUE!</v>
      </c>
    </row>
    <row r="4168">
      <c r="A4168" s="11" t="s">
        <v>51</v>
      </c>
      <c r="B4168" s="12">
        <v>1362.3425</v>
      </c>
      <c r="C4168" s="12">
        <v>0</v>
      </c>
      <c r="D4168" s="13">
        <v>0</v>
      </c>
      <c r="E4168" s="12">
        <v>0</v>
      </c>
      <c r="F4168" s="14">
        <v>0</v>
      </c>
      <c r="G4168" s="13">
        <v>9337205.2963</v>
      </c>
      <c r="H4168" s="14">
        <v>12720471606.374584</v>
      </c>
      <c r="I4168" s="14" t="e">
        <f>=Round(191053.18150000,0)</f>
        <v>#VALUE!</v>
      </c>
      <c r="J4168" s="14" t="e">
        <f>=Round(0.00000000,0)</f>
        <v>#VALUE!</v>
      </c>
    </row>
    <row r="4169">
      <c r="A4169" s="11" t="s">
        <v>52</v>
      </c>
      <c r="B4169" s="12">
        <v>1362.5746</v>
      </c>
      <c r="C4169" s="12">
        <v>0</v>
      </c>
      <c r="D4169" s="13">
        <v>0</v>
      </c>
      <c r="E4169" s="12">
        <v>0</v>
      </c>
      <c r="F4169" s="14">
        <v>0</v>
      </c>
      <c r="G4169" s="13">
        <v>9337205.2963</v>
      </c>
      <c r="H4169" s="14">
        <v>12722638771.723854</v>
      </c>
      <c r="I4169" s="14" t="e">
        <f>=Round(191154.62800000,0)</f>
        <v>#VALUE!</v>
      </c>
      <c r="J4169" s="14" t="e">
        <f>=Round(0.00000000,0)</f>
        <v>#VALUE!</v>
      </c>
    </row>
    <row r="4170">
      <c r="A4170" s="11" t="s">
        <v>53</v>
      </c>
      <c r="B4170" s="12">
        <v>1362.8067</v>
      </c>
      <c r="C4170" s="12">
        <v>0</v>
      </c>
      <c r="D4170" s="13">
        <v>0</v>
      </c>
      <c r="E4170" s="12">
        <v>0</v>
      </c>
      <c r="F4170" s="14">
        <v>0</v>
      </c>
      <c r="G4170" s="13">
        <v>9337205.2963</v>
      </c>
      <c r="H4170" s="14">
        <v>12724805937.073124</v>
      </c>
      <c r="I4170" s="14" t="e">
        <f>=Round(191187.19470000,0)</f>
        <v>#VALUE!</v>
      </c>
      <c r="J4170" s="14" t="e">
        <f>=Round(0.00000000,0)</f>
        <v>#VALUE!</v>
      </c>
    </row>
    <row r="4171">
      <c r="A4171" s="11" t="s">
        <v>54</v>
      </c>
      <c r="B4171" s="12">
        <v>1363.0394</v>
      </c>
      <c r="C4171" s="12">
        <v>0</v>
      </c>
      <c r="D4171" s="13">
        <v>0</v>
      </c>
      <c r="E4171" s="12">
        <v>0</v>
      </c>
      <c r="F4171" s="14">
        <v>0</v>
      </c>
      <c r="G4171" s="13">
        <v>9337205.2963</v>
      </c>
      <c r="H4171" s="14">
        <v>12726978704.745575</v>
      </c>
      <c r="I4171" s="14" t="e">
        <f>=Round(191219.76130000,0)</f>
        <v>#VALUE!</v>
      </c>
      <c r="J4171" s="14" t="e">
        <f>=Round(0.00000000,0)</f>
        <v>#VALUE!</v>
      </c>
    </row>
    <row r="4172">
      <c r="A4172" s="11" t="s">
        <v>55</v>
      </c>
      <c r="B4172" s="12">
        <v>1363.274</v>
      </c>
      <c r="C4172" s="12">
        <v>0</v>
      </c>
      <c r="D4172" s="13">
        <v>0</v>
      </c>
      <c r="E4172" s="12">
        <v>0</v>
      </c>
      <c r="F4172" s="14">
        <v>0</v>
      </c>
      <c r="G4172" s="13">
        <v>9337205.2963</v>
      </c>
      <c r="H4172" s="14">
        <v>12729169213.108086</v>
      </c>
      <c r="I4172" s="14" t="e">
        <f>=Round(191252.41220000,0)</f>
        <v>#VALUE!</v>
      </c>
      <c r="J4172" s="14" t="e">
        <f>=Round(0.00000000,0)</f>
        <v>#VALUE!</v>
      </c>
    </row>
    <row r="4173" ht="-1">
      <c r="A4173" s="15"/>
      <c r="B4173" s="16" t="s">
        <v>56</v>
      </c>
      <c r="C4173" s="15"/>
      <c r="D4173" s="15"/>
      <c r="E4173" s="15"/>
      <c r="F4173" s="15"/>
      <c r="G4173" s="15"/>
      <c r="H4173" s="15"/>
      <c r="I4173" s="17" t="e">
        <f>=Round(SUM(I4147:I4172),0)</f>
        <v>#VALUE!</v>
      </c>
      <c r="J4173" s="17" t="e">
        <f>=Round(SUM(J4147:J4172),0)</f>
        <v>#VALUE!</v>
      </c>
    </row>
    <row r="4174">
      <c r="A4174" s="1" t="s">
        <v>0</v>
      </c>
      <c r="B4174" s="1"/>
      <c r="C4174" s="1"/>
      <c r="D4174" s="1"/>
    </row>
    <row r="4175">
      <c r="A4175" s="0" t="s">
        <v>1</v>
      </c>
      <c r="C4175" s="0" t="s">
        <v>144</v>
      </c>
      <c r="H4175" s="2" t="s">
        <v>3</v>
      </c>
    </row>
    <row r="4176">
      <c r="A4176" s="0" t="s">
        <v>4</v>
      </c>
      <c r="C4176" s="0" t="s">
        <v>165</v>
      </c>
      <c r="H4176" s="3" t="s">
        <v>6</v>
      </c>
    </row>
    <row r="4177">
      <c r="A4177" s="0" t="s">
        <v>7</v>
      </c>
      <c r="C4177" s="4" t="s">
        <v>146</v>
      </c>
      <c r="H4177" s="2" t="s">
        <v>9</v>
      </c>
    </row>
    <row r="4178">
      <c r="A4178" s="0" t="s">
        <v>10</v>
      </c>
      <c r="C4178" s="4" t="s">
        <v>11</v>
      </c>
      <c r="H4178" s="2" t="s">
        <v>12</v>
      </c>
    </row>
    <row r="4179">
      <c r="A4179" s="0" t="s">
        <v>13</v>
      </c>
      <c r="C4179" s="0" t="s">
        <v>14</v>
      </c>
    </row>
    <row r="4180">
      <c r="A4180" s="0" t="s">
        <v>15</v>
      </c>
      <c r="C4180" s="0" t="s">
        <v>16</v>
      </c>
    </row>
    <row r="4181">
      <c r="A4181" s="0" t="s">
        <v>17</v>
      </c>
      <c r="C4181" s="0" t="s">
        <v>18</v>
      </c>
    </row>
    <row r="4184">
      <c r="A4184" s="5" t="s">
        <v>19</v>
      </c>
      <c r="B4184" s="5" t="s">
        <v>20</v>
      </c>
      <c r="C4184" s="7" t="s">
        <v>21</v>
      </c>
      <c r="D4184" s="9"/>
      <c r="E4184" s="7" t="s">
        <v>22</v>
      </c>
      <c r="F4184" s="9"/>
      <c r="G4184" s="5" t="s">
        <v>23</v>
      </c>
      <c r="H4184" s="5" t="s">
        <v>24</v>
      </c>
      <c r="I4184" s="5" t="s">
        <v>147</v>
      </c>
      <c r="J4184" s="5" t="s">
        <v>26</v>
      </c>
    </row>
    <row r="4185">
      <c r="A4185" s="6"/>
      <c r="B4185" s="6"/>
      <c r="C4185" s="8" t="s">
        <v>27</v>
      </c>
      <c r="D4185" s="8" t="s">
        <v>28</v>
      </c>
      <c r="E4185" s="8" t="s">
        <v>27</v>
      </c>
      <c r="F4185" s="8" t="s">
        <v>28</v>
      </c>
      <c r="G4185" s="6"/>
      <c r="H4185" s="6"/>
      <c r="I4185" s="10" t="s">
        <v>29</v>
      </c>
      <c r="J4185" s="6"/>
    </row>
    <row r="4186">
      <c r="A4186" s="11" t="s">
        <v>30</v>
      </c>
      <c r="B4186" s="12">
        <v>1357.4104</v>
      </c>
      <c r="C4186" s="12">
        <v>0</v>
      </c>
      <c r="D4186" s="13">
        <v>0</v>
      </c>
      <c r="E4186" s="12">
        <v>0</v>
      </c>
      <c r="F4186" s="14">
        <v>0</v>
      </c>
      <c r="G4186" s="13">
        <v>45152250.6979</v>
      </c>
      <c r="H4186" s="14">
        <v>61290134680.736717</v>
      </c>
      <c r="I4186" s="14" t="e">
        <f>=Round(920555.65510000,0)</f>
        <v>#VALUE!</v>
      </c>
      <c r="J4186" s="14" t="e">
        <f>=Round(0.00000000,0)</f>
        <v>#VALUE!</v>
      </c>
    </row>
    <row r="4187">
      <c r="A4187" s="11" t="s">
        <v>31</v>
      </c>
      <c r="B4187" s="12">
        <v>1357.6428</v>
      </c>
      <c r="C4187" s="12">
        <v>0</v>
      </c>
      <c r="D4187" s="13">
        <v>0</v>
      </c>
      <c r="E4187" s="12">
        <v>0</v>
      </c>
      <c r="F4187" s="14">
        <v>0</v>
      </c>
      <c r="G4187" s="13">
        <v>45152250.6979</v>
      </c>
      <c r="H4187" s="14">
        <v>61300628063.798912</v>
      </c>
      <c r="I4187" s="14" t="e">
        <f>=Round(921026.61410000,0)</f>
        <v>#VALUE!</v>
      </c>
      <c r="J4187" s="14" t="e">
        <f>=Round(0.00000000,0)</f>
        <v>#VALUE!</v>
      </c>
    </row>
    <row r="4188">
      <c r="A4188" s="11" t="s">
        <v>32</v>
      </c>
      <c r="B4188" s="12">
        <v>1357.8735</v>
      </c>
      <c r="C4188" s="12">
        <v>0</v>
      </c>
      <c r="D4188" s="13">
        <v>0</v>
      </c>
      <c r="E4188" s="12">
        <v>0</v>
      </c>
      <c r="F4188" s="14">
        <v>0</v>
      </c>
      <c r="G4188" s="13">
        <v>45152250.6979</v>
      </c>
      <c r="H4188" s="14">
        <v>61311044688.034912</v>
      </c>
      <c r="I4188" s="14" t="e">
        <f>=Round(921184.30150000,0)</f>
        <v>#VALUE!</v>
      </c>
      <c r="J4188" s="14" t="e">
        <f>=Round(0.00000000,0)</f>
        <v>#VALUE!</v>
      </c>
    </row>
    <row r="4189">
      <c r="A4189" s="11" t="s">
        <v>33</v>
      </c>
      <c r="B4189" s="12">
        <v>1358.1079</v>
      </c>
      <c r="C4189" s="12">
        <v>0</v>
      </c>
      <c r="D4189" s="13">
        <v>0</v>
      </c>
      <c r="E4189" s="12">
        <v>0</v>
      </c>
      <c r="F4189" s="14">
        <v>0</v>
      </c>
      <c r="G4189" s="13">
        <v>45152250.6979</v>
      </c>
      <c r="H4189" s="14">
        <v>61321628375.5985</v>
      </c>
      <c r="I4189" s="14" t="e">
        <f>=Round(921340.83550000,0)</f>
        <v>#VALUE!</v>
      </c>
      <c r="J4189" s="14" t="e">
        <f>=Round(0.00000000,0)</f>
        <v>#VALUE!</v>
      </c>
    </row>
    <row r="4190">
      <c r="A4190" s="11" t="s">
        <v>34</v>
      </c>
      <c r="B4190" s="12">
        <v>1358.3402</v>
      </c>
      <c r="C4190" s="12">
        <v>0</v>
      </c>
      <c r="D4190" s="13">
        <v>0</v>
      </c>
      <c r="E4190" s="12">
        <v>0</v>
      </c>
      <c r="F4190" s="14">
        <v>0</v>
      </c>
      <c r="G4190" s="13">
        <v>45152250.6979</v>
      </c>
      <c r="H4190" s="14">
        <v>61332117243.435623</v>
      </c>
      <c r="I4190" s="14" t="e">
        <f>=Round(921499.88000000,0)</f>
        <v>#VALUE!</v>
      </c>
      <c r="J4190" s="14" t="e">
        <f>=Round(0.00000000,0)</f>
        <v>#VALUE!</v>
      </c>
    </row>
    <row r="4191">
      <c r="A4191" s="11" t="s">
        <v>35</v>
      </c>
      <c r="B4191" s="12">
        <v>1358.3402</v>
      </c>
      <c r="C4191" s="12">
        <v>0</v>
      </c>
      <c r="D4191" s="13">
        <v>0</v>
      </c>
      <c r="E4191" s="12">
        <v>0</v>
      </c>
      <c r="F4191" s="14">
        <v>0</v>
      </c>
      <c r="G4191" s="13">
        <v>45152250.6979</v>
      </c>
      <c r="H4191" s="14">
        <v>61332117243.435623</v>
      </c>
      <c r="I4191" s="14" t="e">
        <f>=Round(921657.49960000,0)</f>
        <v>#VALUE!</v>
      </c>
      <c r="J4191" s="14" t="e">
        <f>=Round(0.00000000,0)</f>
        <v>#VALUE!</v>
      </c>
    </row>
    <row r="4192">
      <c r="A4192" s="11" t="s">
        <v>36</v>
      </c>
      <c r="B4192" s="12">
        <v>1358.3402</v>
      </c>
      <c r="C4192" s="12">
        <v>0</v>
      </c>
      <c r="D4192" s="13">
        <v>0</v>
      </c>
      <c r="E4192" s="12">
        <v>0</v>
      </c>
      <c r="F4192" s="14">
        <v>0</v>
      </c>
      <c r="G4192" s="13">
        <v>45152250.6979</v>
      </c>
      <c r="H4192" s="14">
        <v>61332117243.435623</v>
      </c>
      <c r="I4192" s="14" t="e">
        <f>=Round(921657.49960000,0)</f>
        <v>#VALUE!</v>
      </c>
      <c r="J4192" s="14" t="e">
        <f>=Round(0.00000000,0)</f>
        <v>#VALUE!</v>
      </c>
    </row>
    <row r="4193">
      <c r="A4193" s="11" t="s">
        <v>37</v>
      </c>
      <c r="B4193" s="12">
        <v>1359.0395</v>
      </c>
      <c r="C4193" s="12">
        <v>0</v>
      </c>
      <c r="D4193" s="13">
        <v>0</v>
      </c>
      <c r="E4193" s="12">
        <v>0</v>
      </c>
      <c r="F4193" s="14">
        <v>0</v>
      </c>
      <c r="G4193" s="13">
        <v>45152250.6979</v>
      </c>
      <c r="H4193" s="14">
        <v>61363692212.348663</v>
      </c>
      <c r="I4193" s="14" t="e">
        <f>=Round(921657.49960000,0)</f>
        <v>#VALUE!</v>
      </c>
      <c r="J4193" s="14" t="e">
        <f>=Round(0.00000000,0)</f>
        <v>#VALUE!</v>
      </c>
    </row>
    <row r="4194">
      <c r="A4194" s="11" t="s">
        <v>38</v>
      </c>
      <c r="B4194" s="12">
        <v>1359.2726</v>
      </c>
      <c r="C4194" s="12">
        <v>0</v>
      </c>
      <c r="D4194" s="13">
        <v>0</v>
      </c>
      <c r="E4194" s="12">
        <v>0</v>
      </c>
      <c r="F4194" s="14">
        <v>0</v>
      </c>
      <c r="G4194" s="13">
        <v>45152250.6979</v>
      </c>
      <c r="H4194" s="14">
        <v>61374217201.986351</v>
      </c>
      <c r="I4194" s="14" t="e">
        <f>=Round(922131.98680000,0)</f>
        <v>#VALUE!</v>
      </c>
      <c r="J4194" s="14" t="e">
        <f>=Round(0.00000000,0)</f>
        <v>#VALUE!</v>
      </c>
    </row>
    <row r="4195">
      <c r="A4195" s="11" t="s">
        <v>39</v>
      </c>
      <c r="B4195" s="12">
        <v>1359.5048</v>
      </c>
      <c r="C4195" s="12">
        <v>0</v>
      </c>
      <c r="D4195" s="13">
        <v>0</v>
      </c>
      <c r="E4195" s="12">
        <v>0</v>
      </c>
      <c r="F4195" s="14">
        <v>0</v>
      </c>
      <c r="G4195" s="13">
        <v>45152250.6979</v>
      </c>
      <c r="H4195" s="14">
        <v>61384701554.5984</v>
      </c>
      <c r="I4195" s="14" t="e">
        <f>=Round(922290.14920000,0)</f>
        <v>#VALUE!</v>
      </c>
      <c r="J4195" s="14" t="e">
        <f>=Round(0.00000000,0)</f>
        <v>#VALUE!</v>
      </c>
    </row>
    <row r="4196">
      <c r="A4196" s="11" t="s">
        <v>40</v>
      </c>
      <c r="B4196" s="12">
        <v>1359.7365</v>
      </c>
      <c r="C4196" s="12">
        <v>0</v>
      </c>
      <c r="D4196" s="13">
        <v>0</v>
      </c>
      <c r="E4196" s="12">
        <v>14708732.1698</v>
      </c>
      <c r="F4196" s="14">
        <v>20000000000</v>
      </c>
      <c r="G4196" s="13">
        <v>45152250.6979</v>
      </c>
      <c r="H4196" s="14">
        <v>61395163331.085106</v>
      </c>
      <c r="I4196" s="14" t="e">
        <f>=Round(922447.70100000,0)</f>
        <v>#VALUE!</v>
      </c>
      <c r="J4196" s="14" t="e">
        <f>=Round(0.00000000,0)</f>
        <v>#VALUE!</v>
      </c>
    </row>
    <row r="4197">
      <c r="A4197" s="11" t="s">
        <v>41</v>
      </c>
      <c r="B4197" s="12">
        <v>1359.979</v>
      </c>
      <c r="C4197" s="12">
        <v>0</v>
      </c>
      <c r="D4197" s="13">
        <v>0</v>
      </c>
      <c r="E4197" s="12">
        <v>0</v>
      </c>
      <c r="F4197" s="14">
        <v>0</v>
      </c>
      <c r="G4197" s="13">
        <v>30443518.5281</v>
      </c>
      <c r="H4197" s="14">
        <v>41402545884.326912</v>
      </c>
      <c r="I4197" s="14" t="e">
        <f>=Round(922604.91340000,0)</f>
        <v>#VALUE!</v>
      </c>
      <c r="J4197" s="14" t="e">
        <f>=Round(0.00000000,0)</f>
        <v>#VALUE!</v>
      </c>
    </row>
    <row r="4198">
      <c r="A4198" s="11" t="s">
        <v>42</v>
      </c>
      <c r="B4198" s="12">
        <v>1359.979</v>
      </c>
      <c r="C4198" s="12">
        <v>0</v>
      </c>
      <c r="D4198" s="13">
        <v>0</v>
      </c>
      <c r="E4198" s="12">
        <v>0</v>
      </c>
      <c r="F4198" s="14">
        <v>0</v>
      </c>
      <c r="G4198" s="13">
        <v>30443518.5281</v>
      </c>
      <c r="H4198" s="14">
        <v>41402545884.326912</v>
      </c>
      <c r="I4198" s="14" t="e">
        <f>=Round(622169.40540000,0)</f>
        <v>#VALUE!</v>
      </c>
      <c r="J4198" s="14" t="e">
        <f>=Round(0.00000000,0)</f>
        <v>#VALUE!</v>
      </c>
    </row>
    <row r="4199">
      <c r="A4199" s="11" t="s">
        <v>43</v>
      </c>
      <c r="B4199" s="12">
        <v>1359.979</v>
      </c>
      <c r="C4199" s="12">
        <v>0</v>
      </c>
      <c r="D4199" s="13">
        <v>0</v>
      </c>
      <c r="E4199" s="12">
        <v>0</v>
      </c>
      <c r="F4199" s="14">
        <v>0</v>
      </c>
      <c r="G4199" s="13">
        <v>30443518.5281</v>
      </c>
      <c r="H4199" s="14">
        <v>41402545884.326912</v>
      </c>
      <c r="I4199" s="14" t="e">
        <f>=Round(622169.40540000,0)</f>
        <v>#VALUE!</v>
      </c>
      <c r="J4199" s="14" t="e">
        <f>=Round(0.00000000,0)</f>
        <v>#VALUE!</v>
      </c>
    </row>
    <row r="4200">
      <c r="A4200" s="11" t="s">
        <v>44</v>
      </c>
      <c r="B4200" s="12">
        <v>1360.6758</v>
      </c>
      <c r="C4200" s="12">
        <v>0</v>
      </c>
      <c r="D4200" s="13">
        <v>0</v>
      </c>
      <c r="E4200" s="12">
        <v>0</v>
      </c>
      <c r="F4200" s="14">
        <v>0</v>
      </c>
      <c r="G4200" s="13">
        <v>30443518.5281</v>
      </c>
      <c r="H4200" s="14">
        <v>41423758928.037285</v>
      </c>
      <c r="I4200" s="14" t="e">
        <f>=Round(622169.40540000,0)</f>
        <v>#VALUE!</v>
      </c>
      <c r="J4200" s="14" t="e">
        <f>=Round(0.00000000,0)</f>
        <v>#VALUE!</v>
      </c>
    </row>
    <row r="4201">
      <c r="A4201" s="11" t="s">
        <v>45</v>
      </c>
      <c r="B4201" s="12">
        <v>1360.9062</v>
      </c>
      <c r="C4201" s="12">
        <v>0</v>
      </c>
      <c r="D4201" s="13">
        <v>0</v>
      </c>
      <c r="E4201" s="12">
        <v>0</v>
      </c>
      <c r="F4201" s="14">
        <v>0</v>
      </c>
      <c r="G4201" s="13">
        <v>30443518.5281</v>
      </c>
      <c r="H4201" s="14">
        <v>41430773114.706162</v>
      </c>
      <c r="I4201" s="14" t="e">
        <f>=Round(622488.18060000,0)</f>
        <v>#VALUE!</v>
      </c>
      <c r="J4201" s="14" t="e">
        <f>=Round(0.00000000,0)</f>
        <v>#VALUE!</v>
      </c>
    </row>
    <row r="4202">
      <c r="A4202" s="11" t="s">
        <v>46</v>
      </c>
      <c r="B4202" s="12">
        <v>1361.137</v>
      </c>
      <c r="C4202" s="12">
        <v>0</v>
      </c>
      <c r="D4202" s="13">
        <v>0</v>
      </c>
      <c r="E4202" s="12">
        <v>14693598.0728</v>
      </c>
      <c r="F4202" s="14">
        <v>20000000000.02</v>
      </c>
      <c r="G4202" s="13">
        <v>30443518.5281</v>
      </c>
      <c r="H4202" s="14">
        <v>41437799478.782448</v>
      </c>
      <c r="I4202" s="14" t="e">
        <f>=Round(622593.58510000,0)</f>
        <v>#VALUE!</v>
      </c>
      <c r="J4202" s="14" t="e">
        <f>=Round(0.00000000,0)</f>
        <v>#VALUE!</v>
      </c>
    </row>
    <row r="4203">
      <c r="A4203" s="11" t="s">
        <v>47</v>
      </c>
      <c r="B4203" s="12">
        <v>1361.367</v>
      </c>
      <c r="C4203" s="12">
        <v>0</v>
      </c>
      <c r="D4203" s="13">
        <v>0</v>
      </c>
      <c r="E4203" s="12">
        <v>0</v>
      </c>
      <c r="F4203" s="14">
        <v>0</v>
      </c>
      <c r="G4203" s="13">
        <v>15749920.4553</v>
      </c>
      <c r="H4203" s="14">
        <v>21441421960.470394</v>
      </c>
      <c r="I4203" s="14" t="e">
        <f>=Round(622699.17250000,0)</f>
        <v>#VALUE!</v>
      </c>
      <c r="J4203" s="14" t="e">
        <f>=Round(0.00000000,0)</f>
        <v>#VALUE!</v>
      </c>
    </row>
    <row r="4204">
      <c r="A4204" s="11" t="s">
        <v>48</v>
      </c>
      <c r="B4204" s="12">
        <v>1361.6195</v>
      </c>
      <c r="C4204" s="12">
        <v>0</v>
      </c>
      <c r="D4204" s="13">
        <v>0</v>
      </c>
      <c r="E4204" s="12">
        <v>0</v>
      </c>
      <c r="F4204" s="14">
        <v>0</v>
      </c>
      <c r="G4204" s="13">
        <v>15749920.4553</v>
      </c>
      <c r="H4204" s="14">
        <v>21445398815.385361</v>
      </c>
      <c r="I4204" s="14" t="e">
        <f>=Round(322207.16060000,0)</f>
        <v>#VALUE!</v>
      </c>
      <c r="J4204" s="14" t="e">
        <f>=Round(0.00000000,0)</f>
        <v>#VALUE!</v>
      </c>
    </row>
    <row r="4205">
      <c r="A4205" s="11" t="s">
        <v>49</v>
      </c>
      <c r="B4205" s="12">
        <v>1361.6195</v>
      </c>
      <c r="C4205" s="12">
        <v>0</v>
      </c>
      <c r="D4205" s="13">
        <v>0</v>
      </c>
      <c r="E4205" s="12">
        <v>0</v>
      </c>
      <c r="F4205" s="14">
        <v>0</v>
      </c>
      <c r="G4205" s="13">
        <v>15749920.4553</v>
      </c>
      <c r="H4205" s="14">
        <v>21445398815.385361</v>
      </c>
      <c r="I4205" s="14" t="e">
        <f>=Round(322266.92210000,0)</f>
        <v>#VALUE!</v>
      </c>
      <c r="J4205" s="14" t="e">
        <f>=Round(0.00000000,0)</f>
        <v>#VALUE!</v>
      </c>
    </row>
    <row r="4206">
      <c r="A4206" s="11" t="s">
        <v>50</v>
      </c>
      <c r="B4206" s="12">
        <v>1361.6195</v>
      </c>
      <c r="C4206" s="12">
        <v>0</v>
      </c>
      <c r="D4206" s="13">
        <v>0</v>
      </c>
      <c r="E4206" s="12">
        <v>0</v>
      </c>
      <c r="F4206" s="14">
        <v>0</v>
      </c>
      <c r="G4206" s="13">
        <v>15749920.4553</v>
      </c>
      <c r="H4206" s="14">
        <v>21445398815.385361</v>
      </c>
      <c r="I4206" s="14" t="e">
        <f>=Round(322266.92210000,0)</f>
        <v>#VALUE!</v>
      </c>
      <c r="J4206" s="14" t="e">
        <f>=Round(0.00000000,0)</f>
        <v>#VALUE!</v>
      </c>
    </row>
    <row r="4207">
      <c r="A4207" s="11" t="s">
        <v>51</v>
      </c>
      <c r="B4207" s="12">
        <v>1362.3425</v>
      </c>
      <c r="C4207" s="12">
        <v>0</v>
      </c>
      <c r="D4207" s="13">
        <v>0</v>
      </c>
      <c r="E4207" s="12">
        <v>0</v>
      </c>
      <c r="F4207" s="14">
        <v>0</v>
      </c>
      <c r="G4207" s="13">
        <v>15749920.4553</v>
      </c>
      <c r="H4207" s="14">
        <v>21456786007.874538</v>
      </c>
      <c r="I4207" s="14" t="e">
        <f>=Round(322266.92210000,0)</f>
        <v>#VALUE!</v>
      </c>
      <c r="J4207" s="14" t="e">
        <f>=Round(0.00000000,0)</f>
        <v>#VALUE!</v>
      </c>
    </row>
    <row r="4208">
      <c r="A4208" s="11" t="s">
        <v>52</v>
      </c>
      <c r="B4208" s="12">
        <v>1362.5746</v>
      </c>
      <c r="C4208" s="12">
        <v>0</v>
      </c>
      <c r="D4208" s="13">
        <v>0</v>
      </c>
      <c r="E4208" s="12">
        <v>0</v>
      </c>
      <c r="F4208" s="14">
        <v>0</v>
      </c>
      <c r="G4208" s="13">
        <v>15749920.4553</v>
      </c>
      <c r="H4208" s="14">
        <v>21460441564.412216</v>
      </c>
      <c r="I4208" s="14" t="e">
        <f>=Round(322438.04110000,0)</f>
        <v>#VALUE!</v>
      </c>
      <c r="J4208" s="14" t="e">
        <f>=Round(0.00000000,0)</f>
        <v>#VALUE!</v>
      </c>
    </row>
    <row r="4209">
      <c r="A4209" s="11" t="s">
        <v>53</v>
      </c>
      <c r="B4209" s="12">
        <v>1362.8067</v>
      </c>
      <c r="C4209" s="12">
        <v>0</v>
      </c>
      <c r="D4209" s="13">
        <v>0</v>
      </c>
      <c r="E4209" s="12">
        <v>0</v>
      </c>
      <c r="F4209" s="14">
        <v>0</v>
      </c>
      <c r="G4209" s="13">
        <v>15749920.4553</v>
      </c>
      <c r="H4209" s="14">
        <v>21464097120.94989</v>
      </c>
      <c r="I4209" s="14" t="e">
        <f>=Round(322492.97430000,0)</f>
        <v>#VALUE!</v>
      </c>
      <c r="J4209" s="14" t="e">
        <f>=Round(0.00000000,0)</f>
        <v>#VALUE!</v>
      </c>
    </row>
    <row r="4210">
      <c r="A4210" s="11" t="s">
        <v>54</v>
      </c>
      <c r="B4210" s="12">
        <v>1363.0394</v>
      </c>
      <c r="C4210" s="12">
        <v>0</v>
      </c>
      <c r="D4210" s="13">
        <v>0</v>
      </c>
      <c r="E4210" s="12">
        <v>0</v>
      </c>
      <c r="F4210" s="14">
        <v>0</v>
      </c>
      <c r="G4210" s="13">
        <v>15749920.4553</v>
      </c>
      <c r="H4210" s="14">
        <v>21467762127.439838</v>
      </c>
      <c r="I4210" s="14" t="e">
        <f>=Round(322547.90760000,0)</f>
        <v>#VALUE!</v>
      </c>
      <c r="J4210" s="14" t="e">
        <f>=Round(0.00000000,0)</f>
        <v>#VALUE!</v>
      </c>
    </row>
    <row r="4211">
      <c r="A4211" s="11" t="s">
        <v>55</v>
      </c>
      <c r="B4211" s="12">
        <v>1363.274</v>
      </c>
      <c r="C4211" s="12">
        <v>0</v>
      </c>
      <c r="D4211" s="13">
        <v>0</v>
      </c>
      <c r="E4211" s="12">
        <v>0</v>
      </c>
      <c r="F4211" s="14">
        <v>0</v>
      </c>
      <c r="G4211" s="13">
        <v>15749920.4553</v>
      </c>
      <c r="H4211" s="14">
        <v>21471457058.778652</v>
      </c>
      <c r="I4211" s="14" t="e">
        <f>=Round(322602.98280000,0)</f>
        <v>#VALUE!</v>
      </c>
      <c r="J4211" s="14" t="e">
        <f>=Round(0.00000000,0)</f>
        <v>#VALUE!</v>
      </c>
    </row>
    <row r="4212" ht="-1">
      <c r="A4212" s="15"/>
      <c r="B4212" s="16" t="s">
        <v>56</v>
      </c>
      <c r="C4212" s="15"/>
      <c r="D4212" s="15"/>
      <c r="E4212" s="15"/>
      <c r="F4212" s="15"/>
      <c r="G4212" s="15"/>
      <c r="H4212" s="15"/>
      <c r="I4212" s="17" t="e">
        <f>=Round(SUM(I4186:I4211),0)</f>
        <v>#VALUE!</v>
      </c>
      <c r="J4212" s="17" t="e">
        <f>=Round(SUM(J4186:J4211),0)</f>
        <v>#VALUE!</v>
      </c>
    </row>
    <row r="4213">
      <c r="A4213" s="1" t="s">
        <v>0</v>
      </c>
      <c r="B4213" s="1"/>
      <c r="C4213" s="1"/>
      <c r="D4213" s="1"/>
    </row>
    <row r="4214">
      <c r="A4214" s="0" t="s">
        <v>1</v>
      </c>
      <c r="C4214" s="0" t="s">
        <v>144</v>
      </c>
      <c r="H4214" s="2" t="s">
        <v>3</v>
      </c>
    </row>
    <row r="4215">
      <c r="A4215" s="0" t="s">
        <v>4</v>
      </c>
      <c r="C4215" s="0" t="s">
        <v>166</v>
      </c>
      <c r="H4215" s="3" t="s">
        <v>6</v>
      </c>
    </row>
    <row r="4216">
      <c r="A4216" s="0" t="s">
        <v>7</v>
      </c>
      <c r="C4216" s="4" t="s">
        <v>146</v>
      </c>
      <c r="H4216" s="2" t="s">
        <v>9</v>
      </c>
    </row>
    <row r="4217">
      <c r="A4217" s="0" t="s">
        <v>10</v>
      </c>
      <c r="C4217" s="4" t="s">
        <v>11</v>
      </c>
      <c r="H4217" s="2" t="s">
        <v>12</v>
      </c>
    </row>
    <row r="4218">
      <c r="A4218" s="0" t="s">
        <v>13</v>
      </c>
      <c r="C4218" s="0" t="s">
        <v>14</v>
      </c>
    </row>
    <row r="4219">
      <c r="A4219" s="0" t="s">
        <v>15</v>
      </c>
      <c r="C4219" s="0" t="s">
        <v>16</v>
      </c>
    </row>
    <row r="4220">
      <c r="A4220" s="0" t="s">
        <v>17</v>
      </c>
      <c r="C4220" s="0" t="s">
        <v>18</v>
      </c>
    </row>
    <row r="4223">
      <c r="A4223" s="5" t="s">
        <v>19</v>
      </c>
      <c r="B4223" s="5" t="s">
        <v>20</v>
      </c>
      <c r="C4223" s="7" t="s">
        <v>21</v>
      </c>
      <c r="D4223" s="9"/>
      <c r="E4223" s="7" t="s">
        <v>22</v>
      </c>
      <c r="F4223" s="9"/>
      <c r="G4223" s="5" t="s">
        <v>23</v>
      </c>
      <c r="H4223" s="5" t="s">
        <v>24</v>
      </c>
      <c r="I4223" s="5" t="s">
        <v>147</v>
      </c>
      <c r="J4223" s="5" t="s">
        <v>26</v>
      </c>
    </row>
    <row r="4224">
      <c r="A4224" s="6"/>
      <c r="B4224" s="6"/>
      <c r="C4224" s="8" t="s">
        <v>27</v>
      </c>
      <c r="D4224" s="8" t="s">
        <v>28</v>
      </c>
      <c r="E4224" s="8" t="s">
        <v>27</v>
      </c>
      <c r="F4224" s="8" t="s">
        <v>28</v>
      </c>
      <c r="G4224" s="6"/>
      <c r="H4224" s="6"/>
      <c r="I4224" s="10" t="s">
        <v>29</v>
      </c>
      <c r="J4224" s="6"/>
    </row>
    <row r="4225">
      <c r="A4225" s="11" t="s">
        <v>30</v>
      </c>
      <c r="B4225" s="12">
        <v>1357.4104</v>
      </c>
      <c r="C4225" s="12">
        <v>0</v>
      </c>
      <c r="D4225" s="13">
        <v>0</v>
      </c>
      <c r="E4225" s="12">
        <v>0</v>
      </c>
      <c r="F4225" s="14">
        <v>0</v>
      </c>
      <c r="G4225" s="13">
        <v>1863329.1696</v>
      </c>
      <c r="H4225" s="14">
        <v>2529302393.4384041</v>
      </c>
      <c r="I4225" s="14" t="e">
        <f>=Round(37989.20710000,0)</f>
        <v>#VALUE!</v>
      </c>
      <c r="J4225" s="14" t="e">
        <f>=Round(0.00000000,0)</f>
        <v>#VALUE!</v>
      </c>
    </row>
    <row r="4226">
      <c r="A4226" s="11" t="s">
        <v>31</v>
      </c>
      <c r="B4226" s="12">
        <v>1357.6428</v>
      </c>
      <c r="C4226" s="12">
        <v>0</v>
      </c>
      <c r="D4226" s="13">
        <v>0</v>
      </c>
      <c r="E4226" s="12">
        <v>0</v>
      </c>
      <c r="F4226" s="14">
        <v>0</v>
      </c>
      <c r="G4226" s="13">
        <v>1863329.1696</v>
      </c>
      <c r="H4226" s="14">
        <v>2529735431.1374192</v>
      </c>
      <c r="I4226" s="14" t="e">
        <f>=Round(38008.64250000,0)</f>
        <v>#VALUE!</v>
      </c>
      <c r="J4226" s="14" t="e">
        <f>=Round(0.00000000,0)</f>
        <v>#VALUE!</v>
      </c>
    </row>
    <row r="4227">
      <c r="A4227" s="11" t="s">
        <v>32</v>
      </c>
      <c r="B4227" s="12">
        <v>1357.8735</v>
      </c>
      <c r="C4227" s="12">
        <v>0</v>
      </c>
      <c r="D4227" s="13">
        <v>0</v>
      </c>
      <c r="E4227" s="12">
        <v>0</v>
      </c>
      <c r="F4227" s="14">
        <v>0</v>
      </c>
      <c r="G4227" s="13">
        <v>1863329.1696</v>
      </c>
      <c r="H4227" s="14">
        <v>2530165301.176846</v>
      </c>
      <c r="I4227" s="14" t="e">
        <f>=Round(38015.14990000,0)</f>
        <v>#VALUE!</v>
      </c>
      <c r="J4227" s="14" t="e">
        <f>=Round(0.00000000,0)</f>
        <v>#VALUE!</v>
      </c>
    </row>
    <row r="4228">
      <c r="A4228" s="11" t="s">
        <v>33</v>
      </c>
      <c r="B4228" s="12">
        <v>1358.1079</v>
      </c>
      <c r="C4228" s="12">
        <v>0</v>
      </c>
      <c r="D4228" s="13">
        <v>0</v>
      </c>
      <c r="E4228" s="12">
        <v>0</v>
      </c>
      <c r="F4228" s="14">
        <v>0</v>
      </c>
      <c r="G4228" s="13">
        <v>1863329.1696</v>
      </c>
      <c r="H4228" s="14">
        <v>2530602065.5342</v>
      </c>
      <c r="I4228" s="14" t="e">
        <f>=Round(38021.60970000,0)</f>
        <v>#VALUE!</v>
      </c>
      <c r="J4228" s="14" t="e">
        <f>=Round(0.00000000,0)</f>
        <v>#VALUE!</v>
      </c>
    </row>
    <row r="4229">
      <c r="A4229" s="11" t="s">
        <v>34</v>
      </c>
      <c r="B4229" s="12">
        <v>1358.3402</v>
      </c>
      <c r="C4229" s="12">
        <v>0</v>
      </c>
      <c r="D4229" s="13">
        <v>0</v>
      </c>
      <c r="E4229" s="12">
        <v>0</v>
      </c>
      <c r="F4229" s="14">
        <v>0</v>
      </c>
      <c r="G4229" s="13">
        <v>1863329.1696</v>
      </c>
      <c r="H4229" s="14">
        <v>2531034916.9002981</v>
      </c>
      <c r="I4229" s="14" t="e">
        <f>=Round(38028.17310000,0)</f>
        <v>#VALUE!</v>
      </c>
      <c r="J4229" s="14" t="e">
        <f>=Round(0.00000000,0)</f>
        <v>#VALUE!</v>
      </c>
    </row>
    <row r="4230">
      <c r="A4230" s="11" t="s">
        <v>35</v>
      </c>
      <c r="B4230" s="12">
        <v>1358.3402</v>
      </c>
      <c r="C4230" s="12">
        <v>0</v>
      </c>
      <c r="D4230" s="13">
        <v>0</v>
      </c>
      <c r="E4230" s="12">
        <v>0</v>
      </c>
      <c r="F4230" s="14">
        <v>0</v>
      </c>
      <c r="G4230" s="13">
        <v>1863329.1696</v>
      </c>
      <c r="H4230" s="14">
        <v>2531034916.9002981</v>
      </c>
      <c r="I4230" s="14" t="e">
        <f>=Round(38034.67770000,0)</f>
        <v>#VALUE!</v>
      </c>
      <c r="J4230" s="14" t="e">
        <f>=Round(0.00000000,0)</f>
        <v>#VALUE!</v>
      </c>
    </row>
    <row r="4231">
      <c r="A4231" s="11" t="s">
        <v>36</v>
      </c>
      <c r="B4231" s="12">
        <v>1358.3402</v>
      </c>
      <c r="C4231" s="12">
        <v>0</v>
      </c>
      <c r="D4231" s="13">
        <v>0</v>
      </c>
      <c r="E4231" s="12">
        <v>0</v>
      </c>
      <c r="F4231" s="14">
        <v>0</v>
      </c>
      <c r="G4231" s="13">
        <v>1863329.1696</v>
      </c>
      <c r="H4231" s="14">
        <v>2531034916.9002981</v>
      </c>
      <c r="I4231" s="14" t="e">
        <f>=Round(38034.67770000,0)</f>
        <v>#VALUE!</v>
      </c>
      <c r="J4231" s="14" t="e">
        <f>=Round(0.00000000,0)</f>
        <v>#VALUE!</v>
      </c>
    </row>
    <row r="4232">
      <c r="A4232" s="11" t="s">
        <v>37</v>
      </c>
      <c r="B4232" s="12">
        <v>1359.0395</v>
      </c>
      <c r="C4232" s="12">
        <v>0</v>
      </c>
      <c r="D4232" s="13">
        <v>0</v>
      </c>
      <c r="E4232" s="12">
        <v>0</v>
      </c>
      <c r="F4232" s="14">
        <v>0</v>
      </c>
      <c r="G4232" s="13">
        <v>1863329.1696</v>
      </c>
      <c r="H4232" s="14">
        <v>2532337942.9885988</v>
      </c>
      <c r="I4232" s="14" t="e">
        <f>=Round(38034.67770000,0)</f>
        <v>#VALUE!</v>
      </c>
      <c r="J4232" s="14" t="e">
        <f>=Round(0.00000000,0)</f>
        <v>#VALUE!</v>
      </c>
    </row>
    <row r="4233">
      <c r="A4233" s="11" t="s">
        <v>38</v>
      </c>
      <c r="B4233" s="12">
        <v>1359.2726</v>
      </c>
      <c r="C4233" s="12">
        <v>0</v>
      </c>
      <c r="D4233" s="13">
        <v>0</v>
      </c>
      <c r="E4233" s="12">
        <v>0</v>
      </c>
      <c r="F4233" s="14">
        <v>0</v>
      </c>
      <c r="G4233" s="13">
        <v>1863329.1696</v>
      </c>
      <c r="H4233" s="14">
        <v>2532772285.018033</v>
      </c>
      <c r="I4233" s="14" t="e">
        <f>=Round(38054.25870000,0)</f>
        <v>#VALUE!</v>
      </c>
      <c r="J4233" s="14" t="e">
        <f>=Round(0.00000000,0)</f>
        <v>#VALUE!</v>
      </c>
    </row>
    <row r="4234">
      <c r="A4234" s="11" t="s">
        <v>39</v>
      </c>
      <c r="B4234" s="12">
        <v>1359.5048</v>
      </c>
      <c r="C4234" s="12">
        <v>0</v>
      </c>
      <c r="D4234" s="13">
        <v>0</v>
      </c>
      <c r="E4234" s="12">
        <v>0</v>
      </c>
      <c r="F4234" s="14">
        <v>0</v>
      </c>
      <c r="G4234" s="13">
        <v>1863329.1696</v>
      </c>
      <c r="H4234" s="14">
        <v>2533204950.0512142</v>
      </c>
      <c r="I4234" s="14" t="e">
        <f>=Round(38060.78570000,0)</f>
        <v>#VALUE!</v>
      </c>
      <c r="J4234" s="14" t="e">
        <f>=Round(0.00000000,0)</f>
        <v>#VALUE!</v>
      </c>
    </row>
    <row r="4235">
      <c r="A4235" s="11" t="s">
        <v>40</v>
      </c>
      <c r="B4235" s="12">
        <v>1359.7365</v>
      </c>
      <c r="C4235" s="12">
        <v>0</v>
      </c>
      <c r="D4235" s="13">
        <v>0</v>
      </c>
      <c r="E4235" s="12">
        <v>0</v>
      </c>
      <c r="F4235" s="14">
        <v>0</v>
      </c>
      <c r="G4235" s="13">
        <v>1863329.1696</v>
      </c>
      <c r="H4235" s="14">
        <v>2533636683.41981</v>
      </c>
      <c r="I4235" s="14" t="e">
        <f>=Round(38067.28750000,0)</f>
        <v>#VALUE!</v>
      </c>
      <c r="J4235" s="14" t="e">
        <f>=Round(0.00000000,0)</f>
        <v>#VALUE!</v>
      </c>
    </row>
    <row r="4236">
      <c r="A4236" s="11" t="s">
        <v>41</v>
      </c>
      <c r="B4236" s="12">
        <v>1359.979</v>
      </c>
      <c r="C4236" s="12">
        <v>0</v>
      </c>
      <c r="D4236" s="13">
        <v>0</v>
      </c>
      <c r="E4236" s="12">
        <v>0</v>
      </c>
      <c r="F4236" s="14">
        <v>0</v>
      </c>
      <c r="G4236" s="13">
        <v>1863329.1696</v>
      </c>
      <c r="H4236" s="14">
        <v>2534088540.7434378</v>
      </c>
      <c r="I4236" s="14" t="e">
        <f>=Round(38073.77530000,0)</f>
        <v>#VALUE!</v>
      </c>
      <c r="J4236" s="14" t="e">
        <f>=Round(0.00000000,0)</f>
        <v>#VALUE!</v>
      </c>
    </row>
    <row r="4237">
      <c r="A4237" s="11" t="s">
        <v>42</v>
      </c>
      <c r="B4237" s="12">
        <v>1359.979</v>
      </c>
      <c r="C4237" s="12">
        <v>0</v>
      </c>
      <c r="D4237" s="13">
        <v>0</v>
      </c>
      <c r="E4237" s="12">
        <v>0</v>
      </c>
      <c r="F4237" s="14">
        <v>0</v>
      </c>
      <c r="G4237" s="13">
        <v>1863329.1696</v>
      </c>
      <c r="H4237" s="14">
        <v>2534088540.7434378</v>
      </c>
      <c r="I4237" s="14" t="e">
        <f>=Round(38080.56550000,0)</f>
        <v>#VALUE!</v>
      </c>
      <c r="J4237" s="14" t="e">
        <f>=Round(0.00000000,0)</f>
        <v>#VALUE!</v>
      </c>
    </row>
    <row r="4238">
      <c r="A4238" s="11" t="s">
        <v>43</v>
      </c>
      <c r="B4238" s="12">
        <v>1359.979</v>
      </c>
      <c r="C4238" s="12">
        <v>0</v>
      </c>
      <c r="D4238" s="13">
        <v>0</v>
      </c>
      <c r="E4238" s="12">
        <v>0</v>
      </c>
      <c r="F4238" s="14">
        <v>0</v>
      </c>
      <c r="G4238" s="13">
        <v>1863329.1696</v>
      </c>
      <c r="H4238" s="14">
        <v>2534088540.7434378</v>
      </c>
      <c r="I4238" s="14" t="e">
        <f>=Round(38080.56550000,0)</f>
        <v>#VALUE!</v>
      </c>
      <c r="J4238" s="14" t="e">
        <f>=Round(0.00000000,0)</f>
        <v>#VALUE!</v>
      </c>
    </row>
    <row r="4239">
      <c r="A4239" s="11" t="s">
        <v>44</v>
      </c>
      <c r="B4239" s="12">
        <v>1360.6758</v>
      </c>
      <c r="C4239" s="12">
        <v>0</v>
      </c>
      <c r="D4239" s="13">
        <v>0</v>
      </c>
      <c r="E4239" s="12">
        <v>0</v>
      </c>
      <c r="F4239" s="14">
        <v>0</v>
      </c>
      <c r="G4239" s="13">
        <v>1863329.1696</v>
      </c>
      <c r="H4239" s="14">
        <v>2535386908.5088158</v>
      </c>
      <c r="I4239" s="14" t="e">
        <f>=Round(38080.56550000,0)</f>
        <v>#VALUE!</v>
      </c>
      <c r="J4239" s="14" t="e">
        <f>=Round(0.00000000,0)</f>
        <v>#VALUE!</v>
      </c>
    </row>
    <row r="4240">
      <c r="A4240" s="11" t="s">
        <v>45</v>
      </c>
      <c r="B4240" s="12">
        <v>1360.9062</v>
      </c>
      <c r="C4240" s="12">
        <v>0</v>
      </c>
      <c r="D4240" s="13">
        <v>0</v>
      </c>
      <c r="E4240" s="12">
        <v>0</v>
      </c>
      <c r="F4240" s="14">
        <v>0</v>
      </c>
      <c r="G4240" s="13">
        <v>1863329.1696</v>
      </c>
      <c r="H4240" s="14">
        <v>2535816219.5494919</v>
      </c>
      <c r="I4240" s="14" t="e">
        <f>=Round(38100.07650000,0)</f>
        <v>#VALUE!</v>
      </c>
      <c r="J4240" s="14" t="e">
        <f>=Round(0.00000000,0)</f>
        <v>#VALUE!</v>
      </c>
    </row>
    <row r="4241">
      <c r="A4241" s="11" t="s">
        <v>46</v>
      </c>
      <c r="B4241" s="12">
        <v>1361.137</v>
      </c>
      <c r="C4241" s="12">
        <v>0</v>
      </c>
      <c r="D4241" s="13">
        <v>0</v>
      </c>
      <c r="E4241" s="12">
        <v>0</v>
      </c>
      <c r="F4241" s="14">
        <v>0</v>
      </c>
      <c r="G4241" s="13">
        <v>1863329.1696</v>
      </c>
      <c r="H4241" s="14">
        <v>2536246275.9218349</v>
      </c>
      <c r="I4241" s="14" t="e">
        <f>=Round(38106.52790000,0)</f>
        <v>#VALUE!</v>
      </c>
      <c r="J4241" s="14" t="e">
        <f>=Round(0.00000000,0)</f>
        <v>#VALUE!</v>
      </c>
    </row>
    <row r="4242">
      <c r="A4242" s="11" t="s">
        <v>47</v>
      </c>
      <c r="B4242" s="12">
        <v>1361.367</v>
      </c>
      <c r="C4242" s="12">
        <v>0</v>
      </c>
      <c r="D4242" s="13">
        <v>0</v>
      </c>
      <c r="E4242" s="12">
        <v>0</v>
      </c>
      <c r="F4242" s="14">
        <v>0</v>
      </c>
      <c r="G4242" s="13">
        <v>1863329.1696</v>
      </c>
      <c r="H4242" s="14">
        <v>2536674841.6308432</v>
      </c>
      <c r="I4242" s="14" t="e">
        <f>=Round(38112.99050000,0)</f>
        <v>#VALUE!</v>
      </c>
      <c r="J4242" s="14" t="e">
        <f>=Round(0.00000000,0)</f>
        <v>#VALUE!</v>
      </c>
    </row>
    <row r="4243">
      <c r="A4243" s="11" t="s">
        <v>48</v>
      </c>
      <c r="B4243" s="12">
        <v>1361.6195</v>
      </c>
      <c r="C4243" s="12">
        <v>0</v>
      </c>
      <c r="D4243" s="13">
        <v>0</v>
      </c>
      <c r="E4243" s="12">
        <v>0</v>
      </c>
      <c r="F4243" s="14">
        <v>0</v>
      </c>
      <c r="G4243" s="13">
        <v>1863329.1696</v>
      </c>
      <c r="H4243" s="14">
        <v>2537145332.2461672</v>
      </c>
      <c r="I4243" s="14" t="e">
        <f>=Round(38119.43070000,0)</f>
        <v>#VALUE!</v>
      </c>
      <c r="J4243" s="14" t="e">
        <f>=Round(0.00000000,0)</f>
        <v>#VALUE!</v>
      </c>
    </row>
    <row r="4244">
      <c r="A4244" s="11" t="s">
        <v>49</v>
      </c>
      <c r="B4244" s="12">
        <v>1361.6195</v>
      </c>
      <c r="C4244" s="12">
        <v>0</v>
      </c>
      <c r="D4244" s="13">
        <v>0</v>
      </c>
      <c r="E4244" s="12">
        <v>0</v>
      </c>
      <c r="F4244" s="14">
        <v>0</v>
      </c>
      <c r="G4244" s="13">
        <v>1863329.1696</v>
      </c>
      <c r="H4244" s="14">
        <v>2537145332.2461672</v>
      </c>
      <c r="I4244" s="14" t="e">
        <f>=Round(38126.50090000,0)</f>
        <v>#VALUE!</v>
      </c>
      <c r="J4244" s="14" t="e">
        <f>=Round(0.00000000,0)</f>
        <v>#VALUE!</v>
      </c>
    </row>
    <row r="4245">
      <c r="A4245" s="11" t="s">
        <v>50</v>
      </c>
      <c r="B4245" s="12">
        <v>1361.6195</v>
      </c>
      <c r="C4245" s="12">
        <v>0</v>
      </c>
      <c r="D4245" s="13">
        <v>0</v>
      </c>
      <c r="E4245" s="12">
        <v>0</v>
      </c>
      <c r="F4245" s="14">
        <v>0</v>
      </c>
      <c r="G4245" s="13">
        <v>1863329.1696</v>
      </c>
      <c r="H4245" s="14">
        <v>2537145332.2461672</v>
      </c>
      <c r="I4245" s="14" t="e">
        <f>=Round(38126.50090000,0)</f>
        <v>#VALUE!</v>
      </c>
      <c r="J4245" s="14" t="e">
        <f>=Round(0.00000000,0)</f>
        <v>#VALUE!</v>
      </c>
    </row>
    <row r="4246">
      <c r="A4246" s="11" t="s">
        <v>51</v>
      </c>
      <c r="B4246" s="12">
        <v>1362.3425</v>
      </c>
      <c r="C4246" s="12">
        <v>0</v>
      </c>
      <c r="D4246" s="13">
        <v>0</v>
      </c>
      <c r="E4246" s="12">
        <v>0</v>
      </c>
      <c r="F4246" s="14">
        <v>0</v>
      </c>
      <c r="G4246" s="13">
        <v>1863329.1696</v>
      </c>
      <c r="H4246" s="14">
        <v>2538492519.2357879</v>
      </c>
      <c r="I4246" s="14" t="e">
        <f>=Round(38126.50090000,0)</f>
        <v>#VALUE!</v>
      </c>
      <c r="J4246" s="14" t="e">
        <f>=Round(0.00000000,0)</f>
        <v>#VALUE!</v>
      </c>
    </row>
    <row r="4247">
      <c r="A4247" s="11" t="s">
        <v>52</v>
      </c>
      <c r="B4247" s="12">
        <v>1362.5746</v>
      </c>
      <c r="C4247" s="12">
        <v>0</v>
      </c>
      <c r="D4247" s="13">
        <v>0</v>
      </c>
      <c r="E4247" s="12">
        <v>0</v>
      </c>
      <c r="F4247" s="14">
        <v>0</v>
      </c>
      <c r="G4247" s="13">
        <v>1863329.1696</v>
      </c>
      <c r="H4247" s="14">
        <v>2538924997.9360518</v>
      </c>
      <c r="I4247" s="14" t="e">
        <f>=Round(38146.74550000,0)</f>
        <v>#VALUE!</v>
      </c>
      <c r="J4247" s="14" t="e">
        <f>=Round(0.00000000,0)</f>
        <v>#VALUE!</v>
      </c>
    </row>
    <row r="4248">
      <c r="A4248" s="11" t="s">
        <v>53</v>
      </c>
      <c r="B4248" s="12">
        <v>1362.8067</v>
      </c>
      <c r="C4248" s="12">
        <v>0</v>
      </c>
      <c r="D4248" s="13">
        <v>0</v>
      </c>
      <c r="E4248" s="12">
        <v>0</v>
      </c>
      <c r="F4248" s="14">
        <v>0</v>
      </c>
      <c r="G4248" s="13">
        <v>1863329.1696</v>
      </c>
      <c r="H4248" s="14">
        <v>2539357476.6363158</v>
      </c>
      <c r="I4248" s="14" t="e">
        <f>=Round(38153.24450000,0)</f>
        <v>#VALUE!</v>
      </c>
      <c r="J4248" s="14" t="e">
        <f>=Round(0.00000000,0)</f>
        <v>#VALUE!</v>
      </c>
    </row>
    <row r="4249">
      <c r="A4249" s="11" t="s">
        <v>54</v>
      </c>
      <c r="B4249" s="12">
        <v>1363.0394</v>
      </c>
      <c r="C4249" s="12">
        <v>0</v>
      </c>
      <c r="D4249" s="13">
        <v>0</v>
      </c>
      <c r="E4249" s="12">
        <v>0</v>
      </c>
      <c r="F4249" s="14">
        <v>0</v>
      </c>
      <c r="G4249" s="13">
        <v>1863329.1696</v>
      </c>
      <c r="H4249" s="14">
        <v>2539791073.3340821</v>
      </c>
      <c r="I4249" s="14" t="e">
        <f>=Round(38159.74350000,0)</f>
        <v>#VALUE!</v>
      </c>
      <c r="J4249" s="14" t="e">
        <f>=Round(0.00000000,0)</f>
        <v>#VALUE!</v>
      </c>
    </row>
    <row r="4250">
      <c r="A4250" s="11" t="s">
        <v>55</v>
      </c>
      <c r="B4250" s="12">
        <v>1363.274</v>
      </c>
      <c r="C4250" s="12">
        <v>0</v>
      </c>
      <c r="D4250" s="13">
        <v>0</v>
      </c>
      <c r="E4250" s="12">
        <v>0</v>
      </c>
      <c r="F4250" s="14">
        <v>0</v>
      </c>
      <c r="G4250" s="13">
        <v>1863329.1696</v>
      </c>
      <c r="H4250" s="14">
        <v>2540228210.35727</v>
      </c>
      <c r="I4250" s="14" t="e">
        <f>=Round(38166.25930000,0)</f>
        <v>#VALUE!</v>
      </c>
      <c r="J4250" s="14" t="e">
        <f>=Round(0.00000000,0)</f>
        <v>#VALUE!</v>
      </c>
    </row>
    <row r="4251" ht="-1">
      <c r="A4251" s="15"/>
      <c r="B4251" s="16" t="s">
        <v>56</v>
      </c>
      <c r="C4251" s="15"/>
      <c r="D4251" s="15"/>
      <c r="E4251" s="15"/>
      <c r="F4251" s="15"/>
      <c r="G4251" s="15"/>
      <c r="H4251" s="15"/>
      <c r="I4251" s="17" t="e">
        <f>=Round(SUM(I4225:I4250),0)</f>
        <v>#VALUE!</v>
      </c>
      <c r="J4251" s="17" t="e">
        <f>=Round(SUM(J4225:J4250),0)</f>
        <v>#VALUE!</v>
      </c>
    </row>
    <row r="4252">
      <c r="A4252" s="1" t="s">
        <v>0</v>
      </c>
      <c r="B4252" s="1"/>
      <c r="C4252" s="1"/>
      <c r="D4252" s="1"/>
    </row>
    <row r="4253">
      <c r="A4253" s="0" t="s">
        <v>1</v>
      </c>
      <c r="C4253" s="0" t="s">
        <v>144</v>
      </c>
      <c r="H4253" s="2" t="s">
        <v>3</v>
      </c>
    </row>
    <row r="4254">
      <c r="A4254" s="0" t="s">
        <v>4</v>
      </c>
      <c r="C4254" s="0" t="s">
        <v>167</v>
      </c>
      <c r="H4254" s="3" t="s">
        <v>6</v>
      </c>
    </row>
    <row r="4255">
      <c r="A4255" s="0" t="s">
        <v>7</v>
      </c>
      <c r="C4255" s="4" t="s">
        <v>146</v>
      </c>
      <c r="H4255" s="2" t="s">
        <v>9</v>
      </c>
    </row>
    <row r="4256">
      <c r="A4256" s="0" t="s">
        <v>10</v>
      </c>
      <c r="C4256" s="4" t="s">
        <v>11</v>
      </c>
      <c r="H4256" s="2" t="s">
        <v>12</v>
      </c>
    </row>
    <row r="4257">
      <c r="A4257" s="0" t="s">
        <v>13</v>
      </c>
      <c r="C4257" s="0" t="s">
        <v>14</v>
      </c>
    </row>
    <row r="4258">
      <c r="A4258" s="0" t="s">
        <v>15</v>
      </c>
      <c r="C4258" s="0" t="s">
        <v>16</v>
      </c>
    </row>
    <row r="4259">
      <c r="A4259" s="0" t="s">
        <v>17</v>
      </c>
      <c r="C4259" s="0" t="s">
        <v>18</v>
      </c>
    </row>
    <row r="4262">
      <c r="A4262" s="5" t="s">
        <v>19</v>
      </c>
      <c r="B4262" s="5" t="s">
        <v>20</v>
      </c>
      <c r="C4262" s="7" t="s">
        <v>21</v>
      </c>
      <c r="D4262" s="9"/>
      <c r="E4262" s="7" t="s">
        <v>22</v>
      </c>
      <c r="F4262" s="9"/>
      <c r="G4262" s="5" t="s">
        <v>23</v>
      </c>
      <c r="H4262" s="5" t="s">
        <v>24</v>
      </c>
      <c r="I4262" s="5" t="s">
        <v>147</v>
      </c>
      <c r="J4262" s="5" t="s">
        <v>26</v>
      </c>
    </row>
    <row r="4263">
      <c r="A4263" s="6"/>
      <c r="B4263" s="6"/>
      <c r="C4263" s="8" t="s">
        <v>27</v>
      </c>
      <c r="D4263" s="8" t="s">
        <v>28</v>
      </c>
      <c r="E4263" s="8" t="s">
        <v>27</v>
      </c>
      <c r="F4263" s="8" t="s">
        <v>28</v>
      </c>
      <c r="G4263" s="6"/>
      <c r="H4263" s="6"/>
      <c r="I4263" s="10" t="s">
        <v>29</v>
      </c>
      <c r="J4263" s="6"/>
    </row>
    <row r="4264">
      <c r="A4264" s="11" t="s">
        <v>30</v>
      </c>
      <c r="B4264" s="12">
        <v>1357.4104</v>
      </c>
      <c r="C4264" s="12">
        <v>0</v>
      </c>
      <c r="D4264" s="13">
        <v>0</v>
      </c>
      <c r="E4264" s="12">
        <v>0</v>
      </c>
      <c r="F4264" s="14">
        <v>0</v>
      </c>
      <c r="G4264" s="13">
        <v>950172.8778</v>
      </c>
      <c r="H4264" s="14">
        <v>1289774546.1236489</v>
      </c>
      <c r="I4264" s="14" t="e">
        <f>=Round(19371.94720000,0)</f>
        <v>#VALUE!</v>
      </c>
      <c r="J4264" s="14" t="e">
        <f>=Round(0.00000000,0)</f>
        <v>#VALUE!</v>
      </c>
    </row>
    <row r="4265">
      <c r="A4265" s="11" t="s">
        <v>31</v>
      </c>
      <c r="B4265" s="12">
        <v>1357.6428</v>
      </c>
      <c r="C4265" s="12">
        <v>0</v>
      </c>
      <c r="D4265" s="13">
        <v>0</v>
      </c>
      <c r="E4265" s="12">
        <v>0</v>
      </c>
      <c r="F4265" s="14">
        <v>0</v>
      </c>
      <c r="G4265" s="13">
        <v>950172.8778</v>
      </c>
      <c r="H4265" s="14">
        <v>1289995366.30045</v>
      </c>
      <c r="I4265" s="14" t="e">
        <f>=Round(19381.85790000,0)</f>
        <v>#VALUE!</v>
      </c>
      <c r="J4265" s="14" t="e">
        <f>=Round(0.00000000,0)</f>
        <v>#VALUE!</v>
      </c>
    </row>
    <row r="4266">
      <c r="A4266" s="11" t="s">
        <v>32</v>
      </c>
      <c r="B4266" s="12">
        <v>1357.8735</v>
      </c>
      <c r="C4266" s="12">
        <v>0</v>
      </c>
      <c r="D4266" s="13">
        <v>0</v>
      </c>
      <c r="E4266" s="12">
        <v>0</v>
      </c>
      <c r="F4266" s="14">
        <v>0</v>
      </c>
      <c r="G4266" s="13">
        <v>950172.8778</v>
      </c>
      <c r="H4266" s="14">
        <v>1290214571.183358</v>
      </c>
      <c r="I4266" s="14" t="e">
        <f>=Round(19385.17630000,0)</f>
        <v>#VALUE!</v>
      </c>
      <c r="J4266" s="14" t="e">
        <f>=Round(0.00000000,0)</f>
        <v>#VALUE!</v>
      </c>
    </row>
    <row r="4267">
      <c r="A4267" s="11" t="s">
        <v>33</v>
      </c>
      <c r="B4267" s="12">
        <v>1358.1079</v>
      </c>
      <c r="C4267" s="12">
        <v>0</v>
      </c>
      <c r="D4267" s="13">
        <v>0</v>
      </c>
      <c r="E4267" s="12">
        <v>0</v>
      </c>
      <c r="F4267" s="14">
        <v>0</v>
      </c>
      <c r="G4267" s="13">
        <v>950172.8778</v>
      </c>
      <c r="H4267" s="14">
        <v>1290437291.705915</v>
      </c>
      <c r="I4267" s="14" t="e">
        <f>=Round(19388.47030000,0)</f>
        <v>#VALUE!</v>
      </c>
      <c r="J4267" s="14" t="e">
        <f>=Round(0.00000000,0)</f>
        <v>#VALUE!</v>
      </c>
    </row>
    <row r="4268">
      <c r="A4268" s="11" t="s">
        <v>34</v>
      </c>
      <c r="B4268" s="12">
        <v>1358.3402</v>
      </c>
      <c r="C4268" s="12">
        <v>0</v>
      </c>
      <c r="D4268" s="13">
        <v>0</v>
      </c>
      <c r="E4268" s="12">
        <v>0</v>
      </c>
      <c r="F4268" s="14">
        <v>0</v>
      </c>
      <c r="G4268" s="13">
        <v>950172.8778</v>
      </c>
      <c r="H4268" s="14">
        <v>1290658016.865428</v>
      </c>
      <c r="I4268" s="14" t="e">
        <f>=Round(19391.81720000,0)</f>
        <v>#VALUE!</v>
      </c>
      <c r="J4268" s="14" t="e">
        <f>=Round(0.00000000,0)</f>
        <v>#VALUE!</v>
      </c>
    </row>
    <row r="4269">
      <c r="A4269" s="11" t="s">
        <v>35</v>
      </c>
      <c r="B4269" s="12">
        <v>1358.3402</v>
      </c>
      <c r="C4269" s="12">
        <v>0</v>
      </c>
      <c r="D4269" s="13">
        <v>0</v>
      </c>
      <c r="E4269" s="12">
        <v>0</v>
      </c>
      <c r="F4269" s="14">
        <v>0</v>
      </c>
      <c r="G4269" s="13">
        <v>950172.8778</v>
      </c>
      <c r="H4269" s="14">
        <v>1290658016.865428</v>
      </c>
      <c r="I4269" s="14" t="e">
        <f>=Round(19395.13410000,0)</f>
        <v>#VALUE!</v>
      </c>
      <c r="J4269" s="14" t="e">
        <f>=Round(0.00000000,0)</f>
        <v>#VALUE!</v>
      </c>
    </row>
    <row r="4270">
      <c r="A4270" s="11" t="s">
        <v>36</v>
      </c>
      <c r="B4270" s="12">
        <v>1358.3402</v>
      </c>
      <c r="C4270" s="12">
        <v>0</v>
      </c>
      <c r="D4270" s="13">
        <v>0</v>
      </c>
      <c r="E4270" s="12">
        <v>0</v>
      </c>
      <c r="F4270" s="14">
        <v>0</v>
      </c>
      <c r="G4270" s="13">
        <v>950172.8778</v>
      </c>
      <c r="H4270" s="14">
        <v>1290658016.865428</v>
      </c>
      <c r="I4270" s="14" t="e">
        <f>=Round(19395.13410000,0)</f>
        <v>#VALUE!</v>
      </c>
      <c r="J4270" s="14" t="e">
        <f>=Round(0.00000000,0)</f>
        <v>#VALUE!</v>
      </c>
    </row>
    <row r="4271">
      <c r="A4271" s="11" t="s">
        <v>37</v>
      </c>
      <c r="B4271" s="12">
        <v>1359.0395</v>
      </c>
      <c r="C4271" s="12">
        <v>0</v>
      </c>
      <c r="D4271" s="13">
        <v>0</v>
      </c>
      <c r="E4271" s="12">
        <v>0</v>
      </c>
      <c r="F4271" s="14">
        <v>0</v>
      </c>
      <c r="G4271" s="13">
        <v>950172.8778</v>
      </c>
      <c r="H4271" s="14">
        <v>1291322472.758873</v>
      </c>
      <c r="I4271" s="14" t="e">
        <f>=Round(19395.13410000,0)</f>
        <v>#VALUE!</v>
      </c>
      <c r="J4271" s="14" t="e">
        <f>=Round(0.00000000,0)</f>
        <v>#VALUE!</v>
      </c>
    </row>
    <row r="4272">
      <c r="A4272" s="11" t="s">
        <v>38</v>
      </c>
      <c r="B4272" s="12">
        <v>1359.2726</v>
      </c>
      <c r="C4272" s="12">
        <v>0</v>
      </c>
      <c r="D4272" s="13">
        <v>0</v>
      </c>
      <c r="E4272" s="12">
        <v>0</v>
      </c>
      <c r="F4272" s="14">
        <v>0</v>
      </c>
      <c r="G4272" s="13">
        <v>950172.8778</v>
      </c>
      <c r="H4272" s="14">
        <v>1291543958.0566881</v>
      </c>
      <c r="I4272" s="14" t="e">
        <f>=Round(19405.11910000,0)</f>
        <v>#VALUE!</v>
      </c>
      <c r="J4272" s="14" t="e">
        <f>=Round(0.00000000,0)</f>
        <v>#VALUE!</v>
      </c>
    </row>
    <row r="4273">
      <c r="A4273" s="11" t="s">
        <v>39</v>
      </c>
      <c r="B4273" s="12">
        <v>1359.5048</v>
      </c>
      <c r="C4273" s="12">
        <v>0</v>
      </c>
      <c r="D4273" s="13">
        <v>0</v>
      </c>
      <c r="E4273" s="12">
        <v>0</v>
      </c>
      <c r="F4273" s="14">
        <v>0</v>
      </c>
      <c r="G4273" s="13">
        <v>950172.8778</v>
      </c>
      <c r="H4273" s="14">
        <v>1291764588.1989131</v>
      </c>
      <c r="I4273" s="14" t="e">
        <f>=Round(19408.44750000,0)</f>
        <v>#VALUE!</v>
      </c>
      <c r="J4273" s="14" t="e">
        <f>=Round(0.00000000,0)</f>
        <v>#VALUE!</v>
      </c>
    </row>
    <row r="4274">
      <c r="A4274" s="11" t="s">
        <v>40</v>
      </c>
      <c r="B4274" s="12">
        <v>1359.7365</v>
      </c>
      <c r="C4274" s="12">
        <v>0</v>
      </c>
      <c r="D4274" s="13">
        <v>0</v>
      </c>
      <c r="E4274" s="12">
        <v>0</v>
      </c>
      <c r="F4274" s="14">
        <v>0</v>
      </c>
      <c r="G4274" s="13">
        <v>950172.8778</v>
      </c>
      <c r="H4274" s="14">
        <v>1291984743.2547</v>
      </c>
      <c r="I4274" s="14" t="e">
        <f>=Round(19411.76290000,0)</f>
        <v>#VALUE!</v>
      </c>
      <c r="J4274" s="14" t="e">
        <f>=Round(0.00000000,0)</f>
        <v>#VALUE!</v>
      </c>
    </row>
    <row r="4275">
      <c r="A4275" s="11" t="s">
        <v>41</v>
      </c>
      <c r="B4275" s="12">
        <v>1359.979</v>
      </c>
      <c r="C4275" s="12">
        <v>0</v>
      </c>
      <c r="D4275" s="13">
        <v>0</v>
      </c>
      <c r="E4275" s="12">
        <v>0</v>
      </c>
      <c r="F4275" s="14">
        <v>0</v>
      </c>
      <c r="G4275" s="13">
        <v>950172.8778</v>
      </c>
      <c r="H4275" s="14">
        <v>1292215160.1775661</v>
      </c>
      <c r="I4275" s="14" t="e">
        <f>=Round(19415.07130000,0)</f>
        <v>#VALUE!</v>
      </c>
      <c r="J4275" s="14" t="e">
        <f>=Round(0.00000000,0)</f>
        <v>#VALUE!</v>
      </c>
    </row>
    <row r="4276">
      <c r="A4276" s="11" t="s">
        <v>42</v>
      </c>
      <c r="B4276" s="12">
        <v>1359.979</v>
      </c>
      <c r="C4276" s="12">
        <v>0</v>
      </c>
      <c r="D4276" s="13">
        <v>0</v>
      </c>
      <c r="E4276" s="12">
        <v>0</v>
      </c>
      <c r="F4276" s="14">
        <v>0</v>
      </c>
      <c r="G4276" s="13">
        <v>950172.8778</v>
      </c>
      <c r="H4276" s="14">
        <v>1292215160.1775661</v>
      </c>
      <c r="I4276" s="14" t="e">
        <f>=Round(19418.53380000,0)</f>
        <v>#VALUE!</v>
      </c>
      <c r="J4276" s="14" t="e">
        <f>=Round(0.00000000,0)</f>
        <v>#VALUE!</v>
      </c>
    </row>
    <row r="4277">
      <c r="A4277" s="11" t="s">
        <v>43</v>
      </c>
      <c r="B4277" s="12">
        <v>1359.979</v>
      </c>
      <c r="C4277" s="12">
        <v>0</v>
      </c>
      <c r="D4277" s="13">
        <v>0</v>
      </c>
      <c r="E4277" s="12">
        <v>0</v>
      </c>
      <c r="F4277" s="14">
        <v>0</v>
      </c>
      <c r="G4277" s="13">
        <v>950172.8778</v>
      </c>
      <c r="H4277" s="14">
        <v>1292215160.1775661</v>
      </c>
      <c r="I4277" s="14" t="e">
        <f>=Round(19418.53380000,0)</f>
        <v>#VALUE!</v>
      </c>
      <c r="J4277" s="14" t="e">
        <f>=Round(0.00000000,0)</f>
        <v>#VALUE!</v>
      </c>
    </row>
    <row r="4278">
      <c r="A4278" s="11" t="s">
        <v>44</v>
      </c>
      <c r="B4278" s="12">
        <v>1360.6758</v>
      </c>
      <c r="C4278" s="12">
        <v>0</v>
      </c>
      <c r="D4278" s="13">
        <v>0</v>
      </c>
      <c r="E4278" s="12">
        <v>0</v>
      </c>
      <c r="F4278" s="14">
        <v>0</v>
      </c>
      <c r="G4278" s="13">
        <v>950172.8778</v>
      </c>
      <c r="H4278" s="14">
        <v>1292877240.6388171</v>
      </c>
      <c r="I4278" s="14" t="e">
        <f>=Round(19418.53380000,0)</f>
        <v>#VALUE!</v>
      </c>
      <c r="J4278" s="14" t="e">
        <f>=Round(0.00000000,0)</f>
        <v>#VALUE!</v>
      </c>
    </row>
    <row r="4279">
      <c r="A4279" s="11" t="s">
        <v>45</v>
      </c>
      <c r="B4279" s="12">
        <v>1360.9062</v>
      </c>
      <c r="C4279" s="12">
        <v>0</v>
      </c>
      <c r="D4279" s="13">
        <v>0</v>
      </c>
      <c r="E4279" s="12">
        <v>0</v>
      </c>
      <c r="F4279" s="14">
        <v>0</v>
      </c>
      <c r="G4279" s="13">
        <v>950172.8778</v>
      </c>
      <c r="H4279" s="14">
        <v>1293096160.469862</v>
      </c>
      <c r="I4279" s="14" t="e">
        <f>=Round(19428.48310000,0)</f>
        <v>#VALUE!</v>
      </c>
      <c r="J4279" s="14" t="e">
        <f>=Round(0.00000000,0)</f>
        <v>#VALUE!</v>
      </c>
    </row>
    <row r="4280">
      <c r="A4280" s="11" t="s">
        <v>46</v>
      </c>
      <c r="B4280" s="12">
        <v>1361.137</v>
      </c>
      <c r="C4280" s="12">
        <v>0</v>
      </c>
      <c r="D4280" s="13">
        <v>0</v>
      </c>
      <c r="E4280" s="12">
        <v>0</v>
      </c>
      <c r="F4280" s="14">
        <v>0</v>
      </c>
      <c r="G4280" s="13">
        <v>950172.8778</v>
      </c>
      <c r="H4280" s="14">
        <v>1293315460.370059</v>
      </c>
      <c r="I4280" s="14" t="e">
        <f>=Round(19431.77290000,0)</f>
        <v>#VALUE!</v>
      </c>
      <c r="J4280" s="14" t="e">
        <f>=Round(0.00000000,0)</f>
        <v>#VALUE!</v>
      </c>
    </row>
    <row r="4281">
      <c r="A4281" s="11" t="s">
        <v>47</v>
      </c>
      <c r="B4281" s="12">
        <v>1361.367</v>
      </c>
      <c r="C4281" s="12">
        <v>0</v>
      </c>
      <c r="D4281" s="13">
        <v>0</v>
      </c>
      <c r="E4281" s="12">
        <v>0</v>
      </c>
      <c r="F4281" s="14">
        <v>0</v>
      </c>
      <c r="G4281" s="13">
        <v>950172.8778</v>
      </c>
      <c r="H4281" s="14">
        <v>1293534000.131953</v>
      </c>
      <c r="I4281" s="14" t="e">
        <f>=Round(19435.06840000,0)</f>
        <v>#VALUE!</v>
      </c>
      <c r="J4281" s="14" t="e">
        <f>=Round(0.00000000,0)</f>
        <v>#VALUE!</v>
      </c>
    </row>
    <row r="4282">
      <c r="A4282" s="11" t="s">
        <v>48</v>
      </c>
      <c r="B4282" s="12">
        <v>1361.6195</v>
      </c>
      <c r="C4282" s="12">
        <v>0</v>
      </c>
      <c r="D4282" s="13">
        <v>0</v>
      </c>
      <c r="E4282" s="12">
        <v>0</v>
      </c>
      <c r="F4282" s="14">
        <v>0</v>
      </c>
      <c r="G4282" s="13">
        <v>950172.8778</v>
      </c>
      <c r="H4282" s="14">
        <v>1293773918.783597</v>
      </c>
      <c r="I4282" s="14" t="e">
        <f>=Round(19438.35250000,0)</f>
        <v>#VALUE!</v>
      </c>
      <c r="J4282" s="14" t="e">
        <f>=Round(0.00000000,0)</f>
        <v>#VALUE!</v>
      </c>
    </row>
    <row r="4283">
      <c r="A4283" s="11" t="s">
        <v>49</v>
      </c>
      <c r="B4283" s="12">
        <v>1361.6195</v>
      </c>
      <c r="C4283" s="12">
        <v>0</v>
      </c>
      <c r="D4283" s="13">
        <v>0</v>
      </c>
      <c r="E4283" s="12">
        <v>0</v>
      </c>
      <c r="F4283" s="14">
        <v>0</v>
      </c>
      <c r="G4283" s="13">
        <v>950172.8778</v>
      </c>
      <c r="H4283" s="14">
        <v>1293773918.783597</v>
      </c>
      <c r="I4283" s="14" t="e">
        <f>=Round(19441.95780000,0)</f>
        <v>#VALUE!</v>
      </c>
      <c r="J4283" s="14" t="e">
        <f>=Round(0.00000000,0)</f>
        <v>#VALUE!</v>
      </c>
    </row>
    <row r="4284">
      <c r="A4284" s="11" t="s">
        <v>50</v>
      </c>
      <c r="B4284" s="12">
        <v>1361.6195</v>
      </c>
      <c r="C4284" s="12">
        <v>0</v>
      </c>
      <c r="D4284" s="13">
        <v>0</v>
      </c>
      <c r="E4284" s="12">
        <v>0</v>
      </c>
      <c r="F4284" s="14">
        <v>0</v>
      </c>
      <c r="G4284" s="13">
        <v>950172.8778</v>
      </c>
      <c r="H4284" s="14">
        <v>1293773918.783597</v>
      </c>
      <c r="I4284" s="14" t="e">
        <f>=Round(19441.95780000,0)</f>
        <v>#VALUE!</v>
      </c>
      <c r="J4284" s="14" t="e">
        <f>=Round(0.00000000,0)</f>
        <v>#VALUE!</v>
      </c>
    </row>
    <row r="4285">
      <c r="A4285" s="11" t="s">
        <v>51</v>
      </c>
      <c r="B4285" s="12">
        <v>1362.3425</v>
      </c>
      <c r="C4285" s="12">
        <v>0</v>
      </c>
      <c r="D4285" s="13">
        <v>0</v>
      </c>
      <c r="E4285" s="12">
        <v>0</v>
      </c>
      <c r="F4285" s="14">
        <v>0</v>
      </c>
      <c r="G4285" s="13">
        <v>950172.8778</v>
      </c>
      <c r="H4285" s="14">
        <v>1294460893.7742469</v>
      </c>
      <c r="I4285" s="14" t="e">
        <f>=Round(19441.95780000,0)</f>
        <v>#VALUE!</v>
      </c>
      <c r="J4285" s="14" t="e">
        <f>=Round(0.00000000,0)</f>
        <v>#VALUE!</v>
      </c>
    </row>
    <row r="4286">
      <c r="A4286" s="11" t="s">
        <v>52</v>
      </c>
      <c r="B4286" s="12">
        <v>1362.5746</v>
      </c>
      <c r="C4286" s="12">
        <v>0</v>
      </c>
      <c r="D4286" s="13">
        <v>0</v>
      </c>
      <c r="E4286" s="12">
        <v>0</v>
      </c>
      <c r="F4286" s="14">
        <v>0</v>
      </c>
      <c r="G4286" s="13">
        <v>950172.8778</v>
      </c>
      <c r="H4286" s="14">
        <v>1294681428.899184</v>
      </c>
      <c r="I4286" s="14" t="e">
        <f>=Round(19452.28120000,0)</f>
        <v>#VALUE!</v>
      </c>
      <c r="J4286" s="14" t="e">
        <f>=Round(0.00000000,0)</f>
        <v>#VALUE!</v>
      </c>
    </row>
    <row r="4287">
      <c r="A4287" s="11" t="s">
        <v>53</v>
      </c>
      <c r="B4287" s="12">
        <v>1362.8067</v>
      </c>
      <c r="C4287" s="12">
        <v>0</v>
      </c>
      <c r="D4287" s="13">
        <v>0</v>
      </c>
      <c r="E4287" s="12">
        <v>0</v>
      </c>
      <c r="F4287" s="14">
        <v>0</v>
      </c>
      <c r="G4287" s="13">
        <v>950172.8778</v>
      </c>
      <c r="H4287" s="14">
        <v>1294901964.0241211</v>
      </c>
      <c r="I4287" s="14" t="e">
        <f>=Round(19455.59520000,0)</f>
        <v>#VALUE!</v>
      </c>
      <c r="J4287" s="14" t="e">
        <f>=Round(0.00000000,0)</f>
        <v>#VALUE!</v>
      </c>
    </row>
    <row r="4288">
      <c r="A4288" s="11" t="s">
        <v>54</v>
      </c>
      <c r="B4288" s="12">
        <v>1363.0394</v>
      </c>
      <c r="C4288" s="12">
        <v>0</v>
      </c>
      <c r="D4288" s="13">
        <v>0</v>
      </c>
      <c r="E4288" s="12">
        <v>0</v>
      </c>
      <c r="F4288" s="14">
        <v>0</v>
      </c>
      <c r="G4288" s="13">
        <v>950172.8778</v>
      </c>
      <c r="H4288" s="14">
        <v>1295123069.252785</v>
      </c>
      <c r="I4288" s="14" t="e">
        <f>=Round(19458.90930000,0)</f>
        <v>#VALUE!</v>
      </c>
      <c r="J4288" s="14" t="e">
        <f>=Round(0.00000000,0)</f>
        <v>#VALUE!</v>
      </c>
    </row>
    <row r="4289">
      <c r="A4289" s="11" t="s">
        <v>55</v>
      </c>
      <c r="B4289" s="12">
        <v>1363.274</v>
      </c>
      <c r="C4289" s="12">
        <v>0</v>
      </c>
      <c r="D4289" s="13">
        <v>0</v>
      </c>
      <c r="E4289" s="12">
        <v>0</v>
      </c>
      <c r="F4289" s="14">
        <v>0</v>
      </c>
      <c r="G4289" s="13">
        <v>950172.8778</v>
      </c>
      <c r="H4289" s="14">
        <v>1295345979.809917</v>
      </c>
      <c r="I4289" s="14" t="e">
        <f>=Round(19462.23190000,0)</f>
        <v>#VALUE!</v>
      </c>
      <c r="J4289" s="14" t="e">
        <f>=Round(0.00000000,0)</f>
        <v>#VALUE!</v>
      </c>
    </row>
    <row r="4290" ht="-1">
      <c r="A4290" s="15"/>
      <c r="B4290" s="16" t="s">
        <v>56</v>
      </c>
      <c r="C4290" s="15"/>
      <c r="D4290" s="15"/>
      <c r="E4290" s="15"/>
      <c r="F4290" s="15"/>
      <c r="G4290" s="15"/>
      <c r="H4290" s="15"/>
      <c r="I4290" s="17" t="e">
        <f>=Round(SUM(I4264:I4289),0)</f>
        <v>#VALUE!</v>
      </c>
      <c r="J4290" s="17" t="e">
        <f>=Round(SUM(J4264:J4289),0)</f>
        <v>#VALUE!</v>
      </c>
    </row>
    <row r="4291">
      <c r="A4291" s="1" t="s">
        <v>0</v>
      </c>
      <c r="B4291" s="1"/>
      <c r="C4291" s="1"/>
      <c r="D4291" s="1"/>
    </row>
    <row r="4292">
      <c r="A4292" s="0" t="s">
        <v>1</v>
      </c>
      <c r="C4292" s="0" t="s">
        <v>144</v>
      </c>
      <c r="H4292" s="2" t="s">
        <v>3</v>
      </c>
    </row>
    <row r="4293">
      <c r="A4293" s="0" t="s">
        <v>4</v>
      </c>
      <c r="C4293" s="0" t="s">
        <v>168</v>
      </c>
      <c r="H4293" s="3" t="s">
        <v>6</v>
      </c>
    </row>
    <row r="4294">
      <c r="A4294" s="0" t="s">
        <v>7</v>
      </c>
      <c r="C4294" s="4" t="s">
        <v>146</v>
      </c>
      <c r="H4294" s="2" t="s">
        <v>9</v>
      </c>
    </row>
    <row r="4295">
      <c r="A4295" s="0" t="s">
        <v>10</v>
      </c>
      <c r="C4295" s="4" t="s">
        <v>11</v>
      </c>
      <c r="H4295" s="2" t="s">
        <v>12</v>
      </c>
    </row>
    <row r="4296">
      <c r="A4296" s="0" t="s">
        <v>13</v>
      </c>
      <c r="C4296" s="0" t="s">
        <v>14</v>
      </c>
    </row>
    <row r="4297">
      <c r="A4297" s="0" t="s">
        <v>15</v>
      </c>
      <c r="C4297" s="0" t="s">
        <v>16</v>
      </c>
    </row>
    <row r="4298">
      <c r="A4298" s="0" t="s">
        <v>17</v>
      </c>
      <c r="C4298" s="0" t="s">
        <v>18</v>
      </c>
    </row>
    <row r="4301">
      <c r="A4301" s="5" t="s">
        <v>19</v>
      </c>
      <c r="B4301" s="5" t="s">
        <v>20</v>
      </c>
      <c r="C4301" s="7" t="s">
        <v>21</v>
      </c>
      <c r="D4301" s="9"/>
      <c r="E4301" s="7" t="s">
        <v>22</v>
      </c>
      <c r="F4301" s="9"/>
      <c r="G4301" s="5" t="s">
        <v>23</v>
      </c>
      <c r="H4301" s="5" t="s">
        <v>24</v>
      </c>
      <c r="I4301" s="5" t="s">
        <v>147</v>
      </c>
      <c r="J4301" s="5" t="s">
        <v>26</v>
      </c>
    </row>
    <row r="4302">
      <c r="A4302" s="6"/>
      <c r="B4302" s="6"/>
      <c r="C4302" s="8" t="s">
        <v>27</v>
      </c>
      <c r="D4302" s="8" t="s">
        <v>28</v>
      </c>
      <c r="E4302" s="8" t="s">
        <v>27</v>
      </c>
      <c r="F4302" s="8" t="s">
        <v>28</v>
      </c>
      <c r="G4302" s="6"/>
      <c r="H4302" s="6"/>
      <c r="I4302" s="10" t="s">
        <v>29</v>
      </c>
      <c r="J4302" s="6"/>
    </row>
    <row r="4303">
      <c r="A4303" s="11" t="s">
        <v>30</v>
      </c>
      <c r="B4303" s="12">
        <v>1357.4104</v>
      </c>
      <c r="C4303" s="12">
        <v>0</v>
      </c>
      <c r="D4303" s="13">
        <v>0</v>
      </c>
      <c r="E4303" s="12">
        <v>0</v>
      </c>
      <c r="F4303" s="14">
        <v>0</v>
      </c>
      <c r="G4303" s="13">
        <v>396709.2806</v>
      </c>
      <c r="H4303" s="14">
        <v>538497303.262958</v>
      </c>
      <c r="I4303" s="14" t="e">
        <f>=Round(8088.03470000,0)</f>
        <v>#VALUE!</v>
      </c>
      <c r="J4303" s="14" t="e">
        <f>=Round(0.00000000,0)</f>
        <v>#VALUE!</v>
      </c>
    </row>
    <row r="4304">
      <c r="A4304" s="11" t="s">
        <v>31</v>
      </c>
      <c r="B4304" s="12">
        <v>1357.6428</v>
      </c>
      <c r="C4304" s="12">
        <v>0</v>
      </c>
      <c r="D4304" s="13">
        <v>0</v>
      </c>
      <c r="E4304" s="12">
        <v>0</v>
      </c>
      <c r="F4304" s="14">
        <v>0</v>
      </c>
      <c r="G4304" s="13">
        <v>396709.2806</v>
      </c>
      <c r="H4304" s="14">
        <v>538589498.49977</v>
      </c>
      <c r="I4304" s="14" t="e">
        <f>=Round(8092.17260000,0)</f>
        <v>#VALUE!</v>
      </c>
      <c r="J4304" s="14" t="e">
        <f>=Round(0.00000000,0)</f>
        <v>#VALUE!</v>
      </c>
    </row>
    <row r="4305">
      <c r="A4305" s="11" t="s">
        <v>32</v>
      </c>
      <c r="B4305" s="12">
        <v>1357.8735</v>
      </c>
      <c r="C4305" s="12">
        <v>0</v>
      </c>
      <c r="D4305" s="13">
        <v>0</v>
      </c>
      <c r="E4305" s="12">
        <v>0</v>
      </c>
      <c r="F4305" s="14">
        <v>0</v>
      </c>
      <c r="G4305" s="13">
        <v>396709.2806</v>
      </c>
      <c r="H4305" s="14">
        <v>538681019.330804</v>
      </c>
      <c r="I4305" s="14" t="e">
        <f>=Round(8093.55800000,0)</f>
        <v>#VALUE!</v>
      </c>
      <c r="J4305" s="14" t="e">
        <f>=Round(0.00000000,0)</f>
        <v>#VALUE!</v>
      </c>
    </row>
    <row r="4306">
      <c r="A4306" s="11" t="s">
        <v>33</v>
      </c>
      <c r="B4306" s="12">
        <v>1358.1079</v>
      </c>
      <c r="C4306" s="12">
        <v>0</v>
      </c>
      <c r="D4306" s="13">
        <v>0</v>
      </c>
      <c r="E4306" s="12">
        <v>0</v>
      </c>
      <c r="F4306" s="14">
        <v>0</v>
      </c>
      <c r="G4306" s="13">
        <v>396709.2806</v>
      </c>
      <c r="H4306" s="14">
        <v>538774007.986177</v>
      </c>
      <c r="I4306" s="14" t="e">
        <f>=Round(8094.93340000,0)</f>
        <v>#VALUE!</v>
      </c>
      <c r="J4306" s="14" t="e">
        <f>=Round(0.00000000,0)</f>
        <v>#VALUE!</v>
      </c>
    </row>
    <row r="4307">
      <c r="A4307" s="11" t="s">
        <v>34</v>
      </c>
      <c r="B4307" s="12">
        <v>1358.3402</v>
      </c>
      <c r="C4307" s="12">
        <v>0</v>
      </c>
      <c r="D4307" s="13">
        <v>0</v>
      </c>
      <c r="E4307" s="12">
        <v>0</v>
      </c>
      <c r="F4307" s="14">
        <v>0</v>
      </c>
      <c r="G4307" s="13">
        <v>396709.2806</v>
      </c>
      <c r="H4307" s="14">
        <v>538866163.55206</v>
      </c>
      <c r="I4307" s="14" t="e">
        <f>=Round(8096.33070000,0)</f>
        <v>#VALUE!</v>
      </c>
      <c r="J4307" s="14" t="e">
        <f>=Round(0.00000000,0)</f>
        <v>#VALUE!</v>
      </c>
    </row>
    <row r="4308">
      <c r="A4308" s="11" t="s">
        <v>35</v>
      </c>
      <c r="B4308" s="12">
        <v>1358.3402</v>
      </c>
      <c r="C4308" s="12">
        <v>0</v>
      </c>
      <c r="D4308" s="13">
        <v>0</v>
      </c>
      <c r="E4308" s="12">
        <v>0</v>
      </c>
      <c r="F4308" s="14">
        <v>0</v>
      </c>
      <c r="G4308" s="13">
        <v>396709.2806</v>
      </c>
      <c r="H4308" s="14">
        <v>538866163.55206</v>
      </c>
      <c r="I4308" s="14" t="e">
        <f>=Round(8097.71560000,0)</f>
        <v>#VALUE!</v>
      </c>
      <c r="J4308" s="14" t="e">
        <f>=Round(0.00000000,0)</f>
        <v>#VALUE!</v>
      </c>
    </row>
    <row r="4309">
      <c r="A4309" s="11" t="s">
        <v>36</v>
      </c>
      <c r="B4309" s="12">
        <v>1358.3402</v>
      </c>
      <c r="C4309" s="12">
        <v>0</v>
      </c>
      <c r="D4309" s="13">
        <v>0</v>
      </c>
      <c r="E4309" s="12">
        <v>0</v>
      </c>
      <c r="F4309" s="14">
        <v>0</v>
      </c>
      <c r="G4309" s="13">
        <v>396709.2806</v>
      </c>
      <c r="H4309" s="14">
        <v>538866163.55206</v>
      </c>
      <c r="I4309" s="14" t="e">
        <f>=Round(8097.71560000,0)</f>
        <v>#VALUE!</v>
      </c>
      <c r="J4309" s="14" t="e">
        <f>=Round(0.00000000,0)</f>
        <v>#VALUE!</v>
      </c>
    </row>
    <row r="4310">
      <c r="A4310" s="11" t="s">
        <v>37</v>
      </c>
      <c r="B4310" s="12">
        <v>1359.0395</v>
      </c>
      <c r="C4310" s="12">
        <v>0</v>
      </c>
      <c r="D4310" s="13">
        <v>0</v>
      </c>
      <c r="E4310" s="12">
        <v>0</v>
      </c>
      <c r="F4310" s="14">
        <v>0</v>
      </c>
      <c r="G4310" s="13">
        <v>396709.2806</v>
      </c>
      <c r="H4310" s="14">
        <v>539143582.351984</v>
      </c>
      <c r="I4310" s="14" t="e">
        <f>=Round(8097.71560000,0)</f>
        <v>#VALUE!</v>
      </c>
      <c r="J4310" s="14" t="e">
        <f>=Round(0.00000000,0)</f>
        <v>#VALUE!</v>
      </c>
    </row>
    <row r="4311">
      <c r="A4311" s="11" t="s">
        <v>38</v>
      </c>
      <c r="B4311" s="12">
        <v>1359.2726</v>
      </c>
      <c r="C4311" s="12">
        <v>0</v>
      </c>
      <c r="D4311" s="13">
        <v>0</v>
      </c>
      <c r="E4311" s="12">
        <v>0</v>
      </c>
      <c r="F4311" s="14">
        <v>0</v>
      </c>
      <c r="G4311" s="13">
        <v>396709.2806</v>
      </c>
      <c r="H4311" s="14">
        <v>539236055.285292</v>
      </c>
      <c r="I4311" s="14" t="e">
        <f>=Round(8101.88440000,0)</f>
        <v>#VALUE!</v>
      </c>
      <c r="J4311" s="14" t="e">
        <f>=Round(0.00000000,0)</f>
        <v>#VALUE!</v>
      </c>
    </row>
    <row r="4312">
      <c r="A4312" s="11" t="s">
        <v>39</v>
      </c>
      <c r="B4312" s="12">
        <v>1359.5048</v>
      </c>
      <c r="C4312" s="12">
        <v>0</v>
      </c>
      <c r="D4312" s="13">
        <v>0</v>
      </c>
      <c r="E4312" s="12">
        <v>0</v>
      </c>
      <c r="F4312" s="14">
        <v>0</v>
      </c>
      <c r="G4312" s="13">
        <v>396709.2806</v>
      </c>
      <c r="H4312" s="14">
        <v>539328171.180247</v>
      </c>
      <c r="I4312" s="14" t="e">
        <f>=Round(8103.27410000,0)</f>
        <v>#VALUE!</v>
      </c>
      <c r="J4312" s="14" t="e">
        <f>=Round(0.00000000,0)</f>
        <v>#VALUE!</v>
      </c>
    </row>
    <row r="4313">
      <c r="A4313" s="11" t="s">
        <v>40</v>
      </c>
      <c r="B4313" s="12">
        <v>1359.7365</v>
      </c>
      <c r="C4313" s="12">
        <v>0</v>
      </c>
      <c r="D4313" s="13">
        <v>0</v>
      </c>
      <c r="E4313" s="12">
        <v>0</v>
      </c>
      <c r="F4313" s="14">
        <v>0</v>
      </c>
      <c r="G4313" s="13">
        <v>396709.2806</v>
      </c>
      <c r="H4313" s="14">
        <v>539420088.720562</v>
      </c>
      <c r="I4313" s="14" t="e">
        <f>=Round(8104.65830000,0)</f>
        <v>#VALUE!</v>
      </c>
      <c r="J4313" s="14" t="e">
        <f>=Round(0.00000000,0)</f>
        <v>#VALUE!</v>
      </c>
    </row>
    <row r="4314">
      <c r="A4314" s="11" t="s">
        <v>41</v>
      </c>
      <c r="B4314" s="12">
        <v>1359.979</v>
      </c>
      <c r="C4314" s="12">
        <v>0</v>
      </c>
      <c r="D4314" s="13">
        <v>0</v>
      </c>
      <c r="E4314" s="12">
        <v>0</v>
      </c>
      <c r="F4314" s="14">
        <v>0</v>
      </c>
      <c r="G4314" s="13">
        <v>396709.2806</v>
      </c>
      <c r="H4314" s="14">
        <v>539516290.721107</v>
      </c>
      <c r="I4314" s="14" t="e">
        <f>=Round(8106.03960000,0)</f>
        <v>#VALUE!</v>
      </c>
      <c r="J4314" s="14" t="e">
        <f>=Round(0.00000000,0)</f>
        <v>#VALUE!</v>
      </c>
    </row>
    <row r="4315">
      <c r="A4315" s="11" t="s">
        <v>42</v>
      </c>
      <c r="B4315" s="12">
        <v>1359.979</v>
      </c>
      <c r="C4315" s="12">
        <v>0</v>
      </c>
      <c r="D4315" s="13">
        <v>0</v>
      </c>
      <c r="E4315" s="12">
        <v>0</v>
      </c>
      <c r="F4315" s="14">
        <v>0</v>
      </c>
      <c r="G4315" s="13">
        <v>396709.2806</v>
      </c>
      <c r="H4315" s="14">
        <v>539516290.721107</v>
      </c>
      <c r="I4315" s="14" t="e">
        <f>=Round(8107.48520000,0)</f>
        <v>#VALUE!</v>
      </c>
      <c r="J4315" s="14" t="e">
        <f>=Round(0.00000000,0)</f>
        <v>#VALUE!</v>
      </c>
    </row>
    <row r="4316">
      <c r="A4316" s="11" t="s">
        <v>43</v>
      </c>
      <c r="B4316" s="12">
        <v>1359.979</v>
      </c>
      <c r="C4316" s="12">
        <v>0</v>
      </c>
      <c r="D4316" s="13">
        <v>0</v>
      </c>
      <c r="E4316" s="12">
        <v>0</v>
      </c>
      <c r="F4316" s="14">
        <v>0</v>
      </c>
      <c r="G4316" s="13">
        <v>396709.2806</v>
      </c>
      <c r="H4316" s="14">
        <v>539516290.721107</v>
      </c>
      <c r="I4316" s="14" t="e">
        <f>=Round(8107.48520000,0)</f>
        <v>#VALUE!</v>
      </c>
      <c r="J4316" s="14" t="e">
        <f>=Round(0.00000000,0)</f>
        <v>#VALUE!</v>
      </c>
    </row>
    <row r="4317">
      <c r="A4317" s="11" t="s">
        <v>44</v>
      </c>
      <c r="B4317" s="12">
        <v>1360.6758</v>
      </c>
      <c r="C4317" s="12">
        <v>0</v>
      </c>
      <c r="D4317" s="13">
        <v>0</v>
      </c>
      <c r="E4317" s="12">
        <v>0</v>
      </c>
      <c r="F4317" s="14">
        <v>0</v>
      </c>
      <c r="G4317" s="13">
        <v>396709.2806</v>
      </c>
      <c r="H4317" s="14">
        <v>539792717.747829</v>
      </c>
      <c r="I4317" s="14" t="e">
        <f>=Round(8107.48520000,0)</f>
        <v>#VALUE!</v>
      </c>
      <c r="J4317" s="14" t="e">
        <f>=Round(0.00000000,0)</f>
        <v>#VALUE!</v>
      </c>
    </row>
    <row r="4318">
      <c r="A4318" s="11" t="s">
        <v>45</v>
      </c>
      <c r="B4318" s="12">
        <v>1360.9062</v>
      </c>
      <c r="C4318" s="12">
        <v>0</v>
      </c>
      <c r="D4318" s="13">
        <v>0</v>
      </c>
      <c r="E4318" s="12">
        <v>0</v>
      </c>
      <c r="F4318" s="14">
        <v>0</v>
      </c>
      <c r="G4318" s="13">
        <v>396709.2806</v>
      </c>
      <c r="H4318" s="14">
        <v>539884119.56608</v>
      </c>
      <c r="I4318" s="14" t="e">
        <f>=Round(8111.63920000,0)</f>
        <v>#VALUE!</v>
      </c>
      <c r="J4318" s="14" t="e">
        <f>=Round(0.00000000,0)</f>
        <v>#VALUE!</v>
      </c>
    </row>
    <row r="4319">
      <c r="A4319" s="11" t="s">
        <v>46</v>
      </c>
      <c r="B4319" s="12">
        <v>1361.137</v>
      </c>
      <c r="C4319" s="12">
        <v>0</v>
      </c>
      <c r="D4319" s="13">
        <v>0</v>
      </c>
      <c r="E4319" s="12">
        <v>0</v>
      </c>
      <c r="F4319" s="14">
        <v>0</v>
      </c>
      <c r="G4319" s="13">
        <v>396709.2806</v>
      </c>
      <c r="H4319" s="14">
        <v>539975680.068042</v>
      </c>
      <c r="I4319" s="14" t="e">
        <f>=Round(8113.01270000,0)</f>
        <v>#VALUE!</v>
      </c>
      <c r="J4319" s="14" t="e">
        <f>=Round(0.00000000,0)</f>
        <v>#VALUE!</v>
      </c>
    </row>
    <row r="4320">
      <c r="A4320" s="11" t="s">
        <v>47</v>
      </c>
      <c r="B4320" s="12">
        <v>1361.367</v>
      </c>
      <c r="C4320" s="12">
        <v>0</v>
      </c>
      <c r="D4320" s="13">
        <v>0</v>
      </c>
      <c r="E4320" s="12">
        <v>0</v>
      </c>
      <c r="F4320" s="14">
        <v>0</v>
      </c>
      <c r="G4320" s="13">
        <v>396709.2806</v>
      </c>
      <c r="H4320" s="14">
        <v>540066923.20258</v>
      </c>
      <c r="I4320" s="14" t="e">
        <f>=Round(8114.38860000,0)</f>
        <v>#VALUE!</v>
      </c>
      <c r="J4320" s="14" t="e">
        <f>=Round(0.00000000,0)</f>
        <v>#VALUE!</v>
      </c>
    </row>
    <row r="4321">
      <c r="A4321" s="11" t="s">
        <v>48</v>
      </c>
      <c r="B4321" s="12">
        <v>1361.6195</v>
      </c>
      <c r="C4321" s="12">
        <v>0</v>
      </c>
      <c r="D4321" s="13">
        <v>0</v>
      </c>
      <c r="E4321" s="12">
        <v>0</v>
      </c>
      <c r="F4321" s="14">
        <v>0</v>
      </c>
      <c r="G4321" s="13">
        <v>396709.2806</v>
      </c>
      <c r="H4321" s="14">
        <v>540167092.295932</v>
      </c>
      <c r="I4321" s="14" t="e">
        <f>=Round(8115.75980000,0)</f>
        <v>#VALUE!</v>
      </c>
      <c r="J4321" s="14" t="e">
        <f>=Round(0.00000000,0)</f>
        <v>#VALUE!</v>
      </c>
    </row>
    <row r="4322">
      <c r="A4322" s="11" t="s">
        <v>49</v>
      </c>
      <c r="B4322" s="12">
        <v>1361.6195</v>
      </c>
      <c r="C4322" s="12">
        <v>0</v>
      </c>
      <c r="D4322" s="13">
        <v>0</v>
      </c>
      <c r="E4322" s="12">
        <v>0</v>
      </c>
      <c r="F4322" s="14">
        <v>0</v>
      </c>
      <c r="G4322" s="13">
        <v>396709.2806</v>
      </c>
      <c r="H4322" s="14">
        <v>540167092.295932</v>
      </c>
      <c r="I4322" s="14" t="e">
        <f>=Round(8117.26500000,0)</f>
        <v>#VALUE!</v>
      </c>
      <c r="J4322" s="14" t="e">
        <f>=Round(0.00000000,0)</f>
        <v>#VALUE!</v>
      </c>
    </row>
    <row r="4323">
      <c r="A4323" s="11" t="s">
        <v>50</v>
      </c>
      <c r="B4323" s="12">
        <v>1361.6195</v>
      </c>
      <c r="C4323" s="12">
        <v>0</v>
      </c>
      <c r="D4323" s="13">
        <v>0</v>
      </c>
      <c r="E4323" s="12">
        <v>0</v>
      </c>
      <c r="F4323" s="14">
        <v>0</v>
      </c>
      <c r="G4323" s="13">
        <v>396709.2806</v>
      </c>
      <c r="H4323" s="14">
        <v>540167092.295932</v>
      </c>
      <c r="I4323" s="14" t="e">
        <f>=Round(8117.26500000,0)</f>
        <v>#VALUE!</v>
      </c>
      <c r="J4323" s="14" t="e">
        <f>=Round(0.00000000,0)</f>
        <v>#VALUE!</v>
      </c>
    </row>
    <row r="4324">
      <c r="A4324" s="11" t="s">
        <v>51</v>
      </c>
      <c r="B4324" s="12">
        <v>1362.3425</v>
      </c>
      <c r="C4324" s="12">
        <v>0</v>
      </c>
      <c r="D4324" s="13">
        <v>0</v>
      </c>
      <c r="E4324" s="12">
        <v>0</v>
      </c>
      <c r="F4324" s="14">
        <v>0</v>
      </c>
      <c r="G4324" s="13">
        <v>396709.2806</v>
      </c>
      <c r="H4324" s="14">
        <v>540453913.105806</v>
      </c>
      <c r="I4324" s="14" t="e">
        <f>=Round(8117.26500000,0)</f>
        <v>#VALUE!</v>
      </c>
      <c r="J4324" s="14" t="e">
        <f>=Round(0.00000000,0)</f>
        <v>#VALUE!</v>
      </c>
    </row>
    <row r="4325">
      <c r="A4325" s="11" t="s">
        <v>52</v>
      </c>
      <c r="B4325" s="12">
        <v>1362.5746</v>
      </c>
      <c r="C4325" s="12">
        <v>0</v>
      </c>
      <c r="D4325" s="13">
        <v>0</v>
      </c>
      <c r="E4325" s="12">
        <v>0</v>
      </c>
      <c r="F4325" s="14">
        <v>0</v>
      </c>
      <c r="G4325" s="13">
        <v>396709.2806</v>
      </c>
      <c r="H4325" s="14">
        <v>540545989.329833</v>
      </c>
      <c r="I4325" s="14" t="e">
        <f>=Round(8121.57520000,0)</f>
        <v>#VALUE!</v>
      </c>
      <c r="J4325" s="14" t="e">
        <f>=Round(0.00000000,0)</f>
        <v>#VALUE!</v>
      </c>
    </row>
    <row r="4326">
      <c r="A4326" s="11" t="s">
        <v>53</v>
      </c>
      <c r="B4326" s="12">
        <v>1362.8067</v>
      </c>
      <c r="C4326" s="12">
        <v>0</v>
      </c>
      <c r="D4326" s="13">
        <v>0</v>
      </c>
      <c r="E4326" s="12">
        <v>0</v>
      </c>
      <c r="F4326" s="14">
        <v>0</v>
      </c>
      <c r="G4326" s="13">
        <v>396709.2806</v>
      </c>
      <c r="H4326" s="14">
        <v>540638065.55386</v>
      </c>
      <c r="I4326" s="14" t="e">
        <f>=Round(8122.95890000,0)</f>
        <v>#VALUE!</v>
      </c>
      <c r="J4326" s="14" t="e">
        <f>=Round(0.00000000,0)</f>
        <v>#VALUE!</v>
      </c>
    </row>
    <row r="4327">
      <c r="A4327" s="11" t="s">
        <v>54</v>
      </c>
      <c r="B4327" s="12">
        <v>1363.0394</v>
      </c>
      <c r="C4327" s="12">
        <v>0</v>
      </c>
      <c r="D4327" s="13">
        <v>0</v>
      </c>
      <c r="E4327" s="12">
        <v>0</v>
      </c>
      <c r="F4327" s="14">
        <v>0</v>
      </c>
      <c r="G4327" s="13">
        <v>396709.2806</v>
      </c>
      <c r="H4327" s="14">
        <v>540730379.803456</v>
      </c>
      <c r="I4327" s="14" t="e">
        <f>=Round(8124.34250000,0)</f>
        <v>#VALUE!</v>
      </c>
      <c r="J4327" s="14" t="e">
        <f>=Round(0.00000000,0)</f>
        <v>#VALUE!</v>
      </c>
    </row>
    <row r="4328">
      <c r="A4328" s="11" t="s">
        <v>55</v>
      </c>
      <c r="B4328" s="12">
        <v>1363.274</v>
      </c>
      <c r="C4328" s="12">
        <v>0</v>
      </c>
      <c r="D4328" s="13">
        <v>0</v>
      </c>
      <c r="E4328" s="12">
        <v>0</v>
      </c>
      <c r="F4328" s="14">
        <v>0</v>
      </c>
      <c r="G4328" s="13">
        <v>396709.2806</v>
      </c>
      <c r="H4328" s="14">
        <v>540823447.800684</v>
      </c>
      <c r="I4328" s="14" t="e">
        <f>=Round(8125.72980000,0)</f>
        <v>#VALUE!</v>
      </c>
      <c r="J4328" s="14" t="e">
        <f>=Round(0.00000000,0)</f>
        <v>#VALUE!</v>
      </c>
    </row>
    <row r="4329" ht="-1">
      <c r="A4329" s="15"/>
      <c r="B4329" s="16" t="s">
        <v>56</v>
      </c>
      <c r="C4329" s="15"/>
      <c r="D4329" s="15"/>
      <c r="E4329" s="15"/>
      <c r="F4329" s="15"/>
      <c r="G4329" s="15"/>
      <c r="H4329" s="15"/>
      <c r="I4329" s="17" t="e">
        <f>=Round(SUM(I4303:I4328),0)</f>
        <v>#VALUE!</v>
      </c>
      <c r="J4329" s="17" t="e">
        <f>=Round(SUM(J4303:J4328),0)</f>
        <v>#VALUE!</v>
      </c>
    </row>
    <row r="4330">
      <c r="A4330" s="1" t="s">
        <v>0</v>
      </c>
      <c r="B4330" s="1"/>
      <c r="C4330" s="1"/>
      <c r="D4330" s="1"/>
    </row>
    <row r="4331">
      <c r="A4331" s="0" t="s">
        <v>1</v>
      </c>
      <c r="C4331" s="0" t="s">
        <v>144</v>
      </c>
      <c r="H4331" s="2" t="s">
        <v>3</v>
      </c>
    </row>
    <row r="4332">
      <c r="A4332" s="0" t="s">
        <v>4</v>
      </c>
      <c r="C4332" s="0" t="s">
        <v>169</v>
      </c>
      <c r="H4332" s="3" t="s">
        <v>6</v>
      </c>
    </row>
    <row r="4333">
      <c r="A4333" s="0" t="s">
        <v>7</v>
      </c>
      <c r="C4333" s="4" t="s">
        <v>146</v>
      </c>
      <c r="H4333" s="2" t="s">
        <v>9</v>
      </c>
    </row>
    <row r="4334">
      <c r="A4334" s="0" t="s">
        <v>10</v>
      </c>
      <c r="C4334" s="4" t="s">
        <v>11</v>
      </c>
      <c r="H4334" s="2" t="s">
        <v>12</v>
      </c>
    </row>
    <row r="4335">
      <c r="A4335" s="0" t="s">
        <v>13</v>
      </c>
      <c r="C4335" s="0" t="s">
        <v>14</v>
      </c>
    </row>
    <row r="4336">
      <c r="A4336" s="0" t="s">
        <v>15</v>
      </c>
      <c r="C4336" s="0" t="s">
        <v>16</v>
      </c>
    </row>
    <row r="4337">
      <c r="A4337" s="0" t="s">
        <v>17</v>
      </c>
      <c r="C4337" s="0" t="s">
        <v>18</v>
      </c>
    </row>
    <row r="4340">
      <c r="A4340" s="5" t="s">
        <v>19</v>
      </c>
      <c r="B4340" s="5" t="s">
        <v>20</v>
      </c>
      <c r="C4340" s="7" t="s">
        <v>21</v>
      </c>
      <c r="D4340" s="9"/>
      <c r="E4340" s="7" t="s">
        <v>22</v>
      </c>
      <c r="F4340" s="9"/>
      <c r="G4340" s="5" t="s">
        <v>23</v>
      </c>
      <c r="H4340" s="5" t="s">
        <v>24</v>
      </c>
      <c r="I4340" s="5" t="s">
        <v>147</v>
      </c>
      <c r="J4340" s="5" t="s">
        <v>26</v>
      </c>
    </row>
    <row r="4341">
      <c r="A4341" s="6"/>
      <c r="B4341" s="6"/>
      <c r="C4341" s="8" t="s">
        <v>27</v>
      </c>
      <c r="D4341" s="8" t="s">
        <v>28</v>
      </c>
      <c r="E4341" s="8" t="s">
        <v>27</v>
      </c>
      <c r="F4341" s="8" t="s">
        <v>28</v>
      </c>
      <c r="G4341" s="6"/>
      <c r="H4341" s="6"/>
      <c r="I4341" s="10" t="s">
        <v>29</v>
      </c>
      <c r="J4341" s="6"/>
    </row>
    <row r="4342">
      <c r="A4342" s="11" t="s">
        <v>30</v>
      </c>
      <c r="B4342" s="12">
        <v>1357.4104</v>
      </c>
      <c r="C4342" s="12">
        <v>0</v>
      </c>
      <c r="D4342" s="13">
        <v>0</v>
      </c>
      <c r="E4342" s="12">
        <v>0</v>
      </c>
      <c r="F4342" s="14">
        <v>0</v>
      </c>
      <c r="G4342" s="13">
        <v>6320748.7733</v>
      </c>
      <c r="H4342" s="14">
        <v>8579850120.6646624</v>
      </c>
      <c r="I4342" s="14" t="e">
        <f>=Round(128866.24560000,0)</f>
        <v>#VALUE!</v>
      </c>
      <c r="J4342" s="14" t="e">
        <f>=Round(0.00000000,0)</f>
        <v>#VALUE!</v>
      </c>
    </row>
    <row r="4343">
      <c r="A4343" s="11" t="s">
        <v>31</v>
      </c>
      <c r="B4343" s="12">
        <v>1357.6428</v>
      </c>
      <c r="C4343" s="12">
        <v>0</v>
      </c>
      <c r="D4343" s="13">
        <v>0</v>
      </c>
      <c r="E4343" s="12">
        <v>0</v>
      </c>
      <c r="F4343" s="14">
        <v>0</v>
      </c>
      <c r="G4343" s="13">
        <v>6320748.7733</v>
      </c>
      <c r="H4343" s="14">
        <v>8581319062.6795769</v>
      </c>
      <c r="I4343" s="14" t="e">
        <f>=Round(128932.17390000,0)</f>
        <v>#VALUE!</v>
      </c>
      <c r="J4343" s="14" t="e">
        <f>=Round(0.00000000,0)</f>
        <v>#VALUE!</v>
      </c>
    </row>
    <row r="4344">
      <c r="A4344" s="11" t="s">
        <v>32</v>
      </c>
      <c r="B4344" s="12">
        <v>1357.8735</v>
      </c>
      <c r="C4344" s="12">
        <v>0</v>
      </c>
      <c r="D4344" s="13">
        <v>0</v>
      </c>
      <c r="E4344" s="12">
        <v>0</v>
      </c>
      <c r="F4344" s="14">
        <v>0</v>
      </c>
      <c r="G4344" s="13">
        <v>6320748.7733</v>
      </c>
      <c r="H4344" s="14">
        <v>8582777259.4215784</v>
      </c>
      <c r="I4344" s="14" t="e">
        <f>=Round(128954.24820000,0)</f>
        <v>#VALUE!</v>
      </c>
      <c r="J4344" s="14" t="e">
        <f>=Round(0.00000000,0)</f>
        <v>#VALUE!</v>
      </c>
    </row>
    <row r="4345">
      <c r="A4345" s="11" t="s">
        <v>33</v>
      </c>
      <c r="B4345" s="12">
        <v>1358.1079</v>
      </c>
      <c r="C4345" s="12">
        <v>0</v>
      </c>
      <c r="D4345" s="13">
        <v>0</v>
      </c>
      <c r="E4345" s="12">
        <v>0</v>
      </c>
      <c r="F4345" s="14">
        <v>0</v>
      </c>
      <c r="G4345" s="13">
        <v>6320748.7733</v>
      </c>
      <c r="H4345" s="14">
        <v>8584258842.9340391</v>
      </c>
      <c r="I4345" s="14" t="e">
        <f>=Round(128976.16100000,0)</f>
        <v>#VALUE!</v>
      </c>
      <c r="J4345" s="14" t="e">
        <f>=Round(0.00000000,0)</f>
        <v>#VALUE!</v>
      </c>
    </row>
    <row r="4346">
      <c r="A4346" s="11" t="s">
        <v>34</v>
      </c>
      <c r="B4346" s="12">
        <v>1358.3402</v>
      </c>
      <c r="C4346" s="12">
        <v>0</v>
      </c>
      <c r="D4346" s="13">
        <v>0</v>
      </c>
      <c r="E4346" s="12">
        <v>0</v>
      </c>
      <c r="F4346" s="14">
        <v>0</v>
      </c>
      <c r="G4346" s="13">
        <v>6320748.7733</v>
      </c>
      <c r="H4346" s="14">
        <v>8585727152.8740768</v>
      </c>
      <c r="I4346" s="14" t="e">
        <f>=Round(128998.42520000,0)</f>
        <v>#VALUE!</v>
      </c>
      <c r="J4346" s="14" t="e">
        <f>=Round(0.00000000,0)</f>
        <v>#VALUE!</v>
      </c>
    </row>
    <row r="4347">
      <c r="A4347" s="11" t="s">
        <v>35</v>
      </c>
      <c r="B4347" s="12">
        <v>1358.3402</v>
      </c>
      <c r="C4347" s="12">
        <v>0</v>
      </c>
      <c r="D4347" s="13">
        <v>0</v>
      </c>
      <c r="E4347" s="12">
        <v>0</v>
      </c>
      <c r="F4347" s="14">
        <v>0</v>
      </c>
      <c r="G4347" s="13">
        <v>6320748.7733</v>
      </c>
      <c r="H4347" s="14">
        <v>8585727152.8740768</v>
      </c>
      <c r="I4347" s="14" t="e">
        <f>=Round(129020.49000000,0)</f>
        <v>#VALUE!</v>
      </c>
      <c r="J4347" s="14" t="e">
        <f>=Round(0.00000000,0)</f>
        <v>#VALUE!</v>
      </c>
    </row>
    <row r="4348">
      <c r="A4348" s="11" t="s">
        <v>36</v>
      </c>
      <c r="B4348" s="12">
        <v>1358.3402</v>
      </c>
      <c r="C4348" s="12">
        <v>0</v>
      </c>
      <c r="D4348" s="13">
        <v>0</v>
      </c>
      <c r="E4348" s="12">
        <v>0</v>
      </c>
      <c r="F4348" s="14">
        <v>0</v>
      </c>
      <c r="G4348" s="13">
        <v>6320748.7733</v>
      </c>
      <c r="H4348" s="14">
        <v>8585727152.8740768</v>
      </c>
      <c r="I4348" s="14" t="e">
        <f>=Round(129020.49000000,0)</f>
        <v>#VALUE!</v>
      </c>
      <c r="J4348" s="14" t="e">
        <f>=Round(0.00000000,0)</f>
        <v>#VALUE!</v>
      </c>
    </row>
    <row r="4349">
      <c r="A4349" s="11" t="s">
        <v>37</v>
      </c>
      <c r="B4349" s="12">
        <v>1359.0395</v>
      </c>
      <c r="C4349" s="12">
        <v>0</v>
      </c>
      <c r="D4349" s="13">
        <v>0</v>
      </c>
      <c r="E4349" s="12">
        <v>0</v>
      </c>
      <c r="F4349" s="14">
        <v>0</v>
      </c>
      <c r="G4349" s="13">
        <v>6320748.7733</v>
      </c>
      <c r="H4349" s="14">
        <v>8590147252.4912453</v>
      </c>
      <c r="I4349" s="14" t="e">
        <f>=Round(129020.49000000,0)</f>
        <v>#VALUE!</v>
      </c>
      <c r="J4349" s="14" t="e">
        <f>=Round(0.00000000,0)</f>
        <v>#VALUE!</v>
      </c>
    </row>
    <row r="4350">
      <c r="A4350" s="11" t="s">
        <v>38</v>
      </c>
      <c r="B4350" s="12">
        <v>1359.2726</v>
      </c>
      <c r="C4350" s="12">
        <v>0</v>
      </c>
      <c r="D4350" s="13">
        <v>0</v>
      </c>
      <c r="E4350" s="12">
        <v>0</v>
      </c>
      <c r="F4350" s="14">
        <v>0</v>
      </c>
      <c r="G4350" s="13">
        <v>6320748.7733</v>
      </c>
      <c r="H4350" s="14">
        <v>8591620619.030302</v>
      </c>
      <c r="I4350" s="14" t="e">
        <f>=Round(129086.91230000,0)</f>
        <v>#VALUE!</v>
      </c>
      <c r="J4350" s="14" t="e">
        <f>=Round(0.00000000,0)</f>
        <v>#VALUE!</v>
      </c>
    </row>
    <row r="4351">
      <c r="A4351" s="11" t="s">
        <v>39</v>
      </c>
      <c r="B4351" s="12">
        <v>1359.5048</v>
      </c>
      <c r="C4351" s="12">
        <v>0</v>
      </c>
      <c r="D4351" s="13">
        <v>0</v>
      </c>
      <c r="E4351" s="12">
        <v>0</v>
      </c>
      <c r="F4351" s="14">
        <v>0</v>
      </c>
      <c r="G4351" s="13">
        <v>6320748.7733</v>
      </c>
      <c r="H4351" s="14">
        <v>8593088296.895462</v>
      </c>
      <c r="I4351" s="14" t="e">
        <f>=Round(129109.05300000,0)</f>
        <v>#VALUE!</v>
      </c>
      <c r="J4351" s="14" t="e">
        <f>=Round(0.00000000,0)</f>
        <v>#VALUE!</v>
      </c>
    </row>
    <row r="4352">
      <c r="A4352" s="11" t="s">
        <v>40</v>
      </c>
      <c r="B4352" s="12">
        <v>1359.7365</v>
      </c>
      <c r="C4352" s="12">
        <v>0</v>
      </c>
      <c r="D4352" s="13">
        <v>0</v>
      </c>
      <c r="E4352" s="12">
        <v>0</v>
      </c>
      <c r="F4352" s="14">
        <v>0</v>
      </c>
      <c r="G4352" s="13">
        <v>6320748.7733</v>
      </c>
      <c r="H4352" s="14">
        <v>8594552814.3862343</v>
      </c>
      <c r="I4352" s="14" t="e">
        <f>=Round(129131.10830000,0)</f>
        <v>#VALUE!</v>
      </c>
      <c r="J4352" s="14" t="e">
        <f>=Round(0.00000000,0)</f>
        <v>#VALUE!</v>
      </c>
    </row>
    <row r="4353">
      <c r="A4353" s="11" t="s">
        <v>41</v>
      </c>
      <c r="B4353" s="12">
        <v>1359.979</v>
      </c>
      <c r="C4353" s="12">
        <v>0</v>
      </c>
      <c r="D4353" s="13">
        <v>0</v>
      </c>
      <c r="E4353" s="12">
        <v>0</v>
      </c>
      <c r="F4353" s="14">
        <v>0</v>
      </c>
      <c r="G4353" s="13">
        <v>6320748.7733</v>
      </c>
      <c r="H4353" s="14">
        <v>8596085595.96376</v>
      </c>
      <c r="I4353" s="14" t="e">
        <f>=Round(129153.11610000,0)</f>
        <v>#VALUE!</v>
      </c>
      <c r="J4353" s="14" t="e">
        <f>=Round(0.00000000,0)</f>
        <v>#VALUE!</v>
      </c>
    </row>
    <row r="4354">
      <c r="A4354" s="11" t="s">
        <v>42</v>
      </c>
      <c r="B4354" s="12">
        <v>1359.979</v>
      </c>
      <c r="C4354" s="12">
        <v>0</v>
      </c>
      <c r="D4354" s="13">
        <v>0</v>
      </c>
      <c r="E4354" s="12">
        <v>0</v>
      </c>
      <c r="F4354" s="14">
        <v>0</v>
      </c>
      <c r="G4354" s="13">
        <v>6320748.7733</v>
      </c>
      <c r="H4354" s="14">
        <v>8596085595.96376</v>
      </c>
      <c r="I4354" s="14" t="e">
        <f>=Round(129176.14970000,0)</f>
        <v>#VALUE!</v>
      </c>
      <c r="J4354" s="14" t="e">
        <f>=Round(0.00000000,0)</f>
        <v>#VALUE!</v>
      </c>
    </row>
    <row r="4355">
      <c r="A4355" s="11" t="s">
        <v>43</v>
      </c>
      <c r="B4355" s="12">
        <v>1359.979</v>
      </c>
      <c r="C4355" s="12">
        <v>0</v>
      </c>
      <c r="D4355" s="13">
        <v>0</v>
      </c>
      <c r="E4355" s="12">
        <v>0</v>
      </c>
      <c r="F4355" s="14">
        <v>0</v>
      </c>
      <c r="G4355" s="13">
        <v>6320748.7733</v>
      </c>
      <c r="H4355" s="14">
        <v>8596085595.96376</v>
      </c>
      <c r="I4355" s="14" t="e">
        <f>=Round(129176.14970000,0)</f>
        <v>#VALUE!</v>
      </c>
      <c r="J4355" s="14" t="e">
        <f>=Round(0.00000000,0)</f>
        <v>#VALUE!</v>
      </c>
    </row>
    <row r="4356">
      <c r="A4356" s="11" t="s">
        <v>44</v>
      </c>
      <c r="B4356" s="12">
        <v>1360.6758</v>
      </c>
      <c r="C4356" s="12">
        <v>0</v>
      </c>
      <c r="D4356" s="13">
        <v>0</v>
      </c>
      <c r="E4356" s="12">
        <v>0</v>
      </c>
      <c r="F4356" s="14">
        <v>0</v>
      </c>
      <c r="G4356" s="13">
        <v>6320748.7733</v>
      </c>
      <c r="H4356" s="14">
        <v>8600489893.7089958</v>
      </c>
      <c r="I4356" s="14" t="e">
        <f>=Round(129176.14970000,0)</f>
        <v>#VALUE!</v>
      </c>
      <c r="J4356" s="14" t="e">
        <f>=Round(0.00000000,0)</f>
        <v>#VALUE!</v>
      </c>
    </row>
    <row r="4357">
      <c r="A4357" s="11" t="s">
        <v>45</v>
      </c>
      <c r="B4357" s="12">
        <v>1360.9062</v>
      </c>
      <c r="C4357" s="12">
        <v>0</v>
      </c>
      <c r="D4357" s="13">
        <v>0</v>
      </c>
      <c r="E4357" s="12">
        <v>0</v>
      </c>
      <c r="F4357" s="14">
        <v>0</v>
      </c>
      <c r="G4357" s="13">
        <v>6320748.7733</v>
      </c>
      <c r="H4357" s="14">
        <v>8601946194.2263641</v>
      </c>
      <c r="I4357" s="14" t="e">
        <f>=Round(129242.33450000,0)</f>
        <v>#VALUE!</v>
      </c>
      <c r="J4357" s="14" t="e">
        <f>=Round(0.00000000,0)</f>
        <v>#VALUE!</v>
      </c>
    </row>
    <row r="4358">
      <c r="A4358" s="11" t="s">
        <v>46</v>
      </c>
      <c r="B4358" s="12">
        <v>1361.137</v>
      </c>
      <c r="C4358" s="12">
        <v>0</v>
      </c>
      <c r="D4358" s="13">
        <v>0</v>
      </c>
      <c r="E4358" s="12">
        <v>0</v>
      </c>
      <c r="F4358" s="14">
        <v>0</v>
      </c>
      <c r="G4358" s="13">
        <v>6320748.7733</v>
      </c>
      <c r="H4358" s="14">
        <v>8603405023.0432415</v>
      </c>
      <c r="I4358" s="14" t="e">
        <f>=Round(129264.21880000,0)</f>
        <v>#VALUE!</v>
      </c>
      <c r="J4358" s="14" t="e">
        <f>=Round(0.00000000,0)</f>
        <v>#VALUE!</v>
      </c>
    </row>
    <row r="4359">
      <c r="A4359" s="11" t="s">
        <v>47</v>
      </c>
      <c r="B4359" s="12">
        <v>1361.367</v>
      </c>
      <c r="C4359" s="12">
        <v>0</v>
      </c>
      <c r="D4359" s="13">
        <v>0</v>
      </c>
      <c r="E4359" s="12">
        <v>0</v>
      </c>
      <c r="F4359" s="14">
        <v>0</v>
      </c>
      <c r="G4359" s="13">
        <v>6320748.7733</v>
      </c>
      <c r="H4359" s="14">
        <v>8604858795.2611</v>
      </c>
      <c r="I4359" s="14" t="e">
        <f>=Round(129286.14110000,0)</f>
        <v>#VALUE!</v>
      </c>
      <c r="J4359" s="14" t="e">
        <f>=Round(0.00000000,0)</f>
        <v>#VALUE!</v>
      </c>
    </row>
    <row r="4360">
      <c r="A4360" s="11" t="s">
        <v>48</v>
      </c>
      <c r="B4360" s="12">
        <v>1361.6195</v>
      </c>
      <c r="C4360" s="12">
        <v>0</v>
      </c>
      <c r="D4360" s="13">
        <v>0</v>
      </c>
      <c r="E4360" s="12">
        <v>0</v>
      </c>
      <c r="F4360" s="14">
        <v>0</v>
      </c>
      <c r="G4360" s="13">
        <v>6320748.7733</v>
      </c>
      <c r="H4360" s="14">
        <v>8606454784.3263588</v>
      </c>
      <c r="I4360" s="14" t="e">
        <f>=Round(129307.98740000,0)</f>
        <v>#VALUE!</v>
      </c>
      <c r="J4360" s="14" t="e">
        <f>=Round(0.00000000,0)</f>
        <v>#VALUE!</v>
      </c>
    </row>
    <row r="4361">
      <c r="A4361" s="11" t="s">
        <v>49</v>
      </c>
      <c r="B4361" s="12">
        <v>1361.6195</v>
      </c>
      <c r="C4361" s="12">
        <v>0</v>
      </c>
      <c r="D4361" s="13">
        <v>0</v>
      </c>
      <c r="E4361" s="12">
        <v>0</v>
      </c>
      <c r="F4361" s="14">
        <v>0</v>
      </c>
      <c r="G4361" s="13">
        <v>6320748.7733</v>
      </c>
      <c r="H4361" s="14">
        <v>8606454784.3263588</v>
      </c>
      <c r="I4361" s="14" t="e">
        <f>=Round(129331.97080000,0)</f>
        <v>#VALUE!</v>
      </c>
      <c r="J4361" s="14" t="e">
        <f>=Round(0.00000000,0)</f>
        <v>#VALUE!</v>
      </c>
    </row>
    <row r="4362">
      <c r="A4362" s="11" t="s">
        <v>50</v>
      </c>
      <c r="B4362" s="12">
        <v>1361.6195</v>
      </c>
      <c r="C4362" s="12">
        <v>0</v>
      </c>
      <c r="D4362" s="13">
        <v>0</v>
      </c>
      <c r="E4362" s="12">
        <v>0</v>
      </c>
      <c r="F4362" s="14">
        <v>0</v>
      </c>
      <c r="G4362" s="13">
        <v>6320748.7733</v>
      </c>
      <c r="H4362" s="14">
        <v>8606454784.3263588</v>
      </c>
      <c r="I4362" s="14" t="e">
        <f>=Round(129331.97080000,0)</f>
        <v>#VALUE!</v>
      </c>
      <c r="J4362" s="14" t="e">
        <f>=Round(0.00000000,0)</f>
        <v>#VALUE!</v>
      </c>
    </row>
    <row r="4363">
      <c r="A4363" s="11" t="s">
        <v>51</v>
      </c>
      <c r="B4363" s="12">
        <v>1362.3425</v>
      </c>
      <c r="C4363" s="12">
        <v>0</v>
      </c>
      <c r="D4363" s="13">
        <v>0</v>
      </c>
      <c r="E4363" s="12">
        <v>0</v>
      </c>
      <c r="F4363" s="14">
        <v>0</v>
      </c>
      <c r="G4363" s="13">
        <v>6320748.7733</v>
      </c>
      <c r="H4363" s="14">
        <v>8611024685.689455</v>
      </c>
      <c r="I4363" s="14" t="e">
        <f>=Round(129331.97080000,0)</f>
        <v>#VALUE!</v>
      </c>
      <c r="J4363" s="14" t="e">
        <f>=Round(0.00000000,0)</f>
        <v>#VALUE!</v>
      </c>
    </row>
    <row r="4364">
      <c r="A4364" s="11" t="s">
        <v>52</v>
      </c>
      <c r="B4364" s="12">
        <v>1362.5746</v>
      </c>
      <c r="C4364" s="12">
        <v>0</v>
      </c>
      <c r="D4364" s="13">
        <v>0</v>
      </c>
      <c r="E4364" s="12">
        <v>0</v>
      </c>
      <c r="F4364" s="14">
        <v>0</v>
      </c>
      <c r="G4364" s="13">
        <v>6320748.7733</v>
      </c>
      <c r="H4364" s="14">
        <v>8612491731.4797382</v>
      </c>
      <c r="I4364" s="14" t="e">
        <f>=Round(129400.64420000,0)</f>
        <v>#VALUE!</v>
      </c>
      <c r="J4364" s="14" t="e">
        <f>=Round(0.00000000,0)</f>
        <v>#VALUE!</v>
      </c>
    </row>
    <row r="4365">
      <c r="A4365" s="11" t="s">
        <v>53</v>
      </c>
      <c r="B4365" s="12">
        <v>1362.8067</v>
      </c>
      <c r="C4365" s="12">
        <v>0</v>
      </c>
      <c r="D4365" s="13">
        <v>0</v>
      </c>
      <c r="E4365" s="12">
        <v>0</v>
      </c>
      <c r="F4365" s="14">
        <v>0</v>
      </c>
      <c r="G4365" s="13">
        <v>6320748.7733</v>
      </c>
      <c r="H4365" s="14">
        <v>8613958777.2700214</v>
      </c>
      <c r="I4365" s="14" t="e">
        <f>=Round(129422.69000000,0)</f>
        <v>#VALUE!</v>
      </c>
      <c r="J4365" s="14" t="e">
        <f>=Round(0.00000000,0)</f>
        <v>#VALUE!</v>
      </c>
    </row>
    <row r="4366">
      <c r="A4366" s="11" t="s">
        <v>54</v>
      </c>
      <c r="B4366" s="12">
        <v>1363.0394</v>
      </c>
      <c r="C4366" s="12">
        <v>0</v>
      </c>
      <c r="D4366" s="13">
        <v>0</v>
      </c>
      <c r="E4366" s="12">
        <v>0</v>
      </c>
      <c r="F4366" s="14">
        <v>0</v>
      </c>
      <c r="G4366" s="13">
        <v>6320748.7733</v>
      </c>
      <c r="H4366" s="14">
        <v>8615429615.5095673</v>
      </c>
      <c r="I4366" s="14" t="e">
        <f>=Round(129444.73570000,0)</f>
        <v>#VALUE!</v>
      </c>
      <c r="J4366" s="14" t="e">
        <f>=Round(0.00000000,0)</f>
        <v>#VALUE!</v>
      </c>
    </row>
    <row r="4367">
      <c r="A4367" s="11" t="s">
        <v>55</v>
      </c>
      <c r="B4367" s="12">
        <v>1363.274</v>
      </c>
      <c r="C4367" s="12">
        <v>0</v>
      </c>
      <c r="D4367" s="13">
        <v>0</v>
      </c>
      <c r="E4367" s="12">
        <v>0</v>
      </c>
      <c r="F4367" s="14">
        <v>0</v>
      </c>
      <c r="G4367" s="13">
        <v>6320748.7733</v>
      </c>
      <c r="H4367" s="14">
        <v>8616912463.1717834</v>
      </c>
      <c r="I4367" s="14" t="e">
        <f>=Round(129466.83850000,0)</f>
        <v>#VALUE!</v>
      </c>
      <c r="J4367" s="14" t="e">
        <f>=Round(0.00000000,0)</f>
        <v>#VALUE!</v>
      </c>
    </row>
    <row r="4368" ht="-1">
      <c r="A4368" s="15"/>
      <c r="B4368" s="16" t="s">
        <v>56</v>
      </c>
      <c r="C4368" s="15"/>
      <c r="D4368" s="15"/>
      <c r="E4368" s="15"/>
      <c r="F4368" s="15"/>
      <c r="G4368" s="15"/>
      <c r="H4368" s="15"/>
      <c r="I4368" s="17" t="e">
        <f>=Round(SUM(I4342:I4367),0)</f>
        <v>#VALUE!</v>
      </c>
      <c r="J4368" s="17" t="e">
        <f>=Round(SUM(J4342:J4367),0)</f>
        <v>#VALUE!</v>
      </c>
    </row>
    <row r="4369">
      <c r="A4369" s="1" t="s">
        <v>0</v>
      </c>
      <c r="B4369" s="1"/>
      <c r="C4369" s="1"/>
      <c r="D4369" s="1"/>
    </row>
    <row r="4370">
      <c r="A4370" s="0" t="s">
        <v>1</v>
      </c>
      <c r="C4370" s="0" t="s">
        <v>144</v>
      </c>
      <c r="H4370" s="2" t="s">
        <v>3</v>
      </c>
    </row>
    <row r="4371">
      <c r="A4371" s="0" t="s">
        <v>4</v>
      </c>
      <c r="C4371" s="0" t="s">
        <v>170</v>
      </c>
      <c r="H4371" s="3" t="s">
        <v>6</v>
      </c>
    </row>
    <row r="4372">
      <c r="A4372" s="0" t="s">
        <v>7</v>
      </c>
      <c r="C4372" s="4" t="s">
        <v>146</v>
      </c>
      <c r="H4372" s="2" t="s">
        <v>9</v>
      </c>
    </row>
    <row r="4373">
      <c r="A4373" s="0" t="s">
        <v>10</v>
      </c>
      <c r="C4373" s="4" t="s">
        <v>11</v>
      </c>
      <c r="H4373" s="2" t="s">
        <v>12</v>
      </c>
    </row>
    <row r="4374">
      <c r="A4374" s="0" t="s">
        <v>13</v>
      </c>
      <c r="C4374" s="0" t="s">
        <v>14</v>
      </c>
    </row>
    <row r="4375">
      <c r="A4375" s="0" t="s">
        <v>15</v>
      </c>
      <c r="C4375" s="0" t="s">
        <v>16</v>
      </c>
    </row>
    <row r="4376">
      <c r="A4376" s="0" t="s">
        <v>17</v>
      </c>
      <c r="C4376" s="0" t="s">
        <v>18</v>
      </c>
    </row>
    <row r="4379">
      <c r="A4379" s="5" t="s">
        <v>19</v>
      </c>
      <c r="B4379" s="5" t="s">
        <v>20</v>
      </c>
      <c r="C4379" s="7" t="s">
        <v>21</v>
      </c>
      <c r="D4379" s="9"/>
      <c r="E4379" s="7" t="s">
        <v>22</v>
      </c>
      <c r="F4379" s="9"/>
      <c r="G4379" s="5" t="s">
        <v>23</v>
      </c>
      <c r="H4379" s="5" t="s">
        <v>24</v>
      </c>
      <c r="I4379" s="5" t="s">
        <v>147</v>
      </c>
      <c r="J4379" s="5" t="s">
        <v>26</v>
      </c>
    </row>
    <row r="4380">
      <c r="A4380" s="6"/>
      <c r="B4380" s="6"/>
      <c r="C4380" s="8" t="s">
        <v>27</v>
      </c>
      <c r="D4380" s="8" t="s">
        <v>28</v>
      </c>
      <c r="E4380" s="8" t="s">
        <v>27</v>
      </c>
      <c r="F4380" s="8" t="s">
        <v>28</v>
      </c>
      <c r="G4380" s="6"/>
      <c r="H4380" s="6"/>
      <c r="I4380" s="10" t="s">
        <v>29</v>
      </c>
      <c r="J4380" s="6"/>
    </row>
    <row r="4381">
      <c r="A4381" s="11" t="s">
        <v>30</v>
      </c>
      <c r="B4381" s="12">
        <v>1357.4104</v>
      </c>
      <c r="C4381" s="12">
        <v>0</v>
      </c>
      <c r="D4381" s="13">
        <v>0</v>
      </c>
      <c r="E4381" s="12">
        <v>0</v>
      </c>
      <c r="F4381" s="14">
        <v>0</v>
      </c>
      <c r="G4381" s="13">
        <v>295992.9364</v>
      </c>
      <c r="H4381" s="14">
        <v>401783890.195899</v>
      </c>
      <c r="I4381" s="14" t="e">
        <f>=Round(6034.64870000,0)</f>
        <v>#VALUE!</v>
      </c>
      <c r="J4381" s="14" t="e">
        <f>=Round(0.00000000,0)</f>
        <v>#VALUE!</v>
      </c>
    </row>
    <row r="4382">
      <c r="A4382" s="11" t="s">
        <v>31</v>
      </c>
      <c r="B4382" s="12">
        <v>1357.6428</v>
      </c>
      <c r="C4382" s="12">
        <v>0</v>
      </c>
      <c r="D4382" s="13">
        <v>0</v>
      </c>
      <c r="E4382" s="12">
        <v>0</v>
      </c>
      <c r="F4382" s="14">
        <v>0</v>
      </c>
      <c r="G4382" s="13">
        <v>295992.9364</v>
      </c>
      <c r="H4382" s="14">
        <v>401852678.954318</v>
      </c>
      <c r="I4382" s="14" t="e">
        <f>=Round(6037.73610000,0)</f>
        <v>#VALUE!</v>
      </c>
      <c r="J4382" s="14" t="e">
        <f>=Round(0.00000000,0)</f>
        <v>#VALUE!</v>
      </c>
    </row>
    <row r="4383">
      <c r="A4383" s="11" t="s">
        <v>32</v>
      </c>
      <c r="B4383" s="12">
        <v>1357.8735</v>
      </c>
      <c r="C4383" s="12">
        <v>0</v>
      </c>
      <c r="D4383" s="13">
        <v>0</v>
      </c>
      <c r="E4383" s="12">
        <v>0</v>
      </c>
      <c r="F4383" s="14">
        <v>0</v>
      </c>
      <c r="G4383" s="13">
        <v>295992.9364</v>
      </c>
      <c r="H4383" s="14">
        <v>401920964.524745</v>
      </c>
      <c r="I4383" s="14" t="e">
        <f>=Round(6038.76980000,0)</f>
        <v>#VALUE!</v>
      </c>
      <c r="J4383" s="14" t="e">
        <f>=Round(0.00000000,0)</f>
        <v>#VALUE!</v>
      </c>
    </row>
    <row r="4384">
      <c r="A4384" s="11" t="s">
        <v>33</v>
      </c>
      <c r="B4384" s="12">
        <v>1358.1079</v>
      </c>
      <c r="C4384" s="12">
        <v>0</v>
      </c>
      <c r="D4384" s="13">
        <v>0</v>
      </c>
      <c r="E4384" s="12">
        <v>0</v>
      </c>
      <c r="F4384" s="14">
        <v>0</v>
      </c>
      <c r="G4384" s="13">
        <v>295992.9364</v>
      </c>
      <c r="H4384" s="14">
        <v>401990345.269038</v>
      </c>
      <c r="I4384" s="14" t="e">
        <f>=Round(6039.79590000,0)</f>
        <v>#VALUE!</v>
      </c>
      <c r="J4384" s="14" t="e">
        <f>=Round(0.00000000,0)</f>
        <v>#VALUE!</v>
      </c>
    </row>
    <row r="4385">
      <c r="A4385" s="11" t="s">
        <v>34</v>
      </c>
      <c r="B4385" s="12">
        <v>1358.3402</v>
      </c>
      <c r="C4385" s="12">
        <v>0</v>
      </c>
      <c r="D4385" s="13">
        <v>0</v>
      </c>
      <c r="E4385" s="12">
        <v>0</v>
      </c>
      <c r="F4385" s="14">
        <v>0</v>
      </c>
      <c r="G4385" s="13">
        <v>295992.9364</v>
      </c>
      <c r="H4385" s="14">
        <v>402059104.428163</v>
      </c>
      <c r="I4385" s="14" t="e">
        <f>=Round(6040.83850000,0)</f>
        <v>#VALUE!</v>
      </c>
      <c r="J4385" s="14" t="e">
        <f>=Round(0.00000000,0)</f>
        <v>#VALUE!</v>
      </c>
    </row>
    <row r="4386">
      <c r="A4386" s="11" t="s">
        <v>35</v>
      </c>
      <c r="B4386" s="12">
        <v>1358.3402</v>
      </c>
      <c r="C4386" s="12">
        <v>0</v>
      </c>
      <c r="D4386" s="13">
        <v>0</v>
      </c>
      <c r="E4386" s="12">
        <v>0</v>
      </c>
      <c r="F4386" s="14">
        <v>0</v>
      </c>
      <c r="G4386" s="13">
        <v>295992.9364</v>
      </c>
      <c r="H4386" s="14">
        <v>402059104.428163</v>
      </c>
      <c r="I4386" s="14" t="e">
        <f>=Round(6041.87180000,0)</f>
        <v>#VALUE!</v>
      </c>
      <c r="J4386" s="14" t="e">
        <f>=Round(0.00000000,0)</f>
        <v>#VALUE!</v>
      </c>
    </row>
    <row r="4387">
      <c r="A4387" s="11" t="s">
        <v>36</v>
      </c>
      <c r="B4387" s="12">
        <v>1358.3402</v>
      </c>
      <c r="C4387" s="12">
        <v>0</v>
      </c>
      <c r="D4387" s="13">
        <v>0</v>
      </c>
      <c r="E4387" s="12">
        <v>0</v>
      </c>
      <c r="F4387" s="14">
        <v>0</v>
      </c>
      <c r="G4387" s="13">
        <v>295992.9364</v>
      </c>
      <c r="H4387" s="14">
        <v>402059104.428163</v>
      </c>
      <c r="I4387" s="14" t="e">
        <f>=Round(6041.87180000,0)</f>
        <v>#VALUE!</v>
      </c>
      <c r="J4387" s="14" t="e">
        <f>=Round(0.00000000,0)</f>
        <v>#VALUE!</v>
      </c>
    </row>
    <row r="4388">
      <c r="A4388" s="11" t="s">
        <v>37</v>
      </c>
      <c r="B4388" s="12">
        <v>1359.0395</v>
      </c>
      <c r="C4388" s="12">
        <v>0</v>
      </c>
      <c r="D4388" s="13">
        <v>0</v>
      </c>
      <c r="E4388" s="12">
        <v>0</v>
      </c>
      <c r="F4388" s="14">
        <v>0</v>
      </c>
      <c r="G4388" s="13">
        <v>295992.9364</v>
      </c>
      <c r="H4388" s="14">
        <v>402266092.288588</v>
      </c>
      <c r="I4388" s="14" t="e">
        <f>=Round(6041.87180000,0)</f>
        <v>#VALUE!</v>
      </c>
      <c r="J4388" s="14" t="e">
        <f>=Round(0.00000000,0)</f>
        <v>#VALUE!</v>
      </c>
    </row>
    <row r="4389">
      <c r="A4389" s="11" t="s">
        <v>38</v>
      </c>
      <c r="B4389" s="12">
        <v>1359.2726</v>
      </c>
      <c r="C4389" s="12">
        <v>0</v>
      </c>
      <c r="D4389" s="13">
        <v>0</v>
      </c>
      <c r="E4389" s="12">
        <v>0</v>
      </c>
      <c r="F4389" s="14">
        <v>0</v>
      </c>
      <c r="G4389" s="13">
        <v>295992.9364</v>
      </c>
      <c r="H4389" s="14">
        <v>402335088.242063</v>
      </c>
      <c r="I4389" s="14" t="e">
        <f>=Round(6044.98230000,0)</f>
        <v>#VALUE!</v>
      </c>
      <c r="J4389" s="14" t="e">
        <f>=Round(0.00000000,0)</f>
        <v>#VALUE!</v>
      </c>
    </row>
    <row r="4390">
      <c r="A4390" s="11" t="s">
        <v>39</v>
      </c>
      <c r="B4390" s="12">
        <v>1359.5048</v>
      </c>
      <c r="C4390" s="12">
        <v>0</v>
      </c>
      <c r="D4390" s="13">
        <v>0</v>
      </c>
      <c r="E4390" s="12">
        <v>0</v>
      </c>
      <c r="F4390" s="14">
        <v>0</v>
      </c>
      <c r="G4390" s="13">
        <v>295992.9364</v>
      </c>
      <c r="H4390" s="14">
        <v>402403817.801895</v>
      </c>
      <c r="I4390" s="14" t="e">
        <f>=Round(6046.01910000,0)</f>
        <v>#VALUE!</v>
      </c>
      <c r="J4390" s="14" t="e">
        <f>=Round(0.00000000,0)</f>
        <v>#VALUE!</v>
      </c>
    </row>
    <row r="4391">
      <c r="A4391" s="11" t="s">
        <v>40</v>
      </c>
      <c r="B4391" s="12">
        <v>1359.7365</v>
      </c>
      <c r="C4391" s="12">
        <v>0</v>
      </c>
      <c r="D4391" s="13">
        <v>0</v>
      </c>
      <c r="E4391" s="12">
        <v>0</v>
      </c>
      <c r="F4391" s="14">
        <v>0</v>
      </c>
      <c r="G4391" s="13">
        <v>295992.9364</v>
      </c>
      <c r="H4391" s="14">
        <v>402472399.365259</v>
      </c>
      <c r="I4391" s="14" t="e">
        <f>=Round(6047.05190000,0)</f>
        <v>#VALUE!</v>
      </c>
      <c r="J4391" s="14" t="e">
        <f>=Round(0.00000000,0)</f>
        <v>#VALUE!</v>
      </c>
    </row>
    <row r="4392">
      <c r="A4392" s="11" t="s">
        <v>41</v>
      </c>
      <c r="B4392" s="12">
        <v>1359.979</v>
      </c>
      <c r="C4392" s="12">
        <v>0</v>
      </c>
      <c r="D4392" s="13">
        <v>0</v>
      </c>
      <c r="E4392" s="12">
        <v>0</v>
      </c>
      <c r="F4392" s="14">
        <v>0</v>
      </c>
      <c r="G4392" s="13">
        <v>295992.9364</v>
      </c>
      <c r="H4392" s="14">
        <v>402544177.652336</v>
      </c>
      <c r="I4392" s="14" t="e">
        <f>=Round(6048.08250000,0)</f>
        <v>#VALUE!</v>
      </c>
      <c r="J4392" s="14" t="e">
        <f>=Round(0.00000000,0)</f>
        <v>#VALUE!</v>
      </c>
    </row>
    <row r="4393">
      <c r="A4393" s="11" t="s">
        <v>42</v>
      </c>
      <c r="B4393" s="12">
        <v>1359.979</v>
      </c>
      <c r="C4393" s="12">
        <v>0</v>
      </c>
      <c r="D4393" s="13">
        <v>0</v>
      </c>
      <c r="E4393" s="12">
        <v>0</v>
      </c>
      <c r="F4393" s="14">
        <v>0</v>
      </c>
      <c r="G4393" s="13">
        <v>295992.9364</v>
      </c>
      <c r="H4393" s="14">
        <v>402544177.652336</v>
      </c>
      <c r="I4393" s="14" t="e">
        <f>=Round(6049.16110000,0)</f>
        <v>#VALUE!</v>
      </c>
      <c r="J4393" s="14" t="e">
        <f>=Round(0.00000000,0)</f>
        <v>#VALUE!</v>
      </c>
    </row>
    <row r="4394">
      <c r="A4394" s="11" t="s">
        <v>43</v>
      </c>
      <c r="B4394" s="12">
        <v>1359.979</v>
      </c>
      <c r="C4394" s="12">
        <v>0</v>
      </c>
      <c r="D4394" s="13">
        <v>0</v>
      </c>
      <c r="E4394" s="12">
        <v>0</v>
      </c>
      <c r="F4394" s="14">
        <v>0</v>
      </c>
      <c r="G4394" s="13">
        <v>295992.9364</v>
      </c>
      <c r="H4394" s="14">
        <v>402544177.652336</v>
      </c>
      <c r="I4394" s="14" t="e">
        <f>=Round(6049.16110000,0)</f>
        <v>#VALUE!</v>
      </c>
      <c r="J4394" s="14" t="e">
        <f>=Round(0.00000000,0)</f>
        <v>#VALUE!</v>
      </c>
    </row>
    <row r="4395">
      <c r="A4395" s="11" t="s">
        <v>44</v>
      </c>
      <c r="B4395" s="12">
        <v>1360.6758</v>
      </c>
      <c r="C4395" s="12">
        <v>0</v>
      </c>
      <c r="D4395" s="13">
        <v>0</v>
      </c>
      <c r="E4395" s="12">
        <v>0</v>
      </c>
      <c r="F4395" s="14">
        <v>0</v>
      </c>
      <c r="G4395" s="13">
        <v>295992.9364</v>
      </c>
      <c r="H4395" s="14">
        <v>402750425.530419</v>
      </c>
      <c r="I4395" s="14" t="e">
        <f>=Round(6049.16110000,0)</f>
        <v>#VALUE!</v>
      </c>
      <c r="J4395" s="14" t="e">
        <f>=Round(0.00000000,0)</f>
        <v>#VALUE!</v>
      </c>
    </row>
    <row r="4396">
      <c r="A4396" s="11" t="s">
        <v>45</v>
      </c>
      <c r="B4396" s="12">
        <v>1360.9062</v>
      </c>
      <c r="C4396" s="12">
        <v>0</v>
      </c>
      <c r="D4396" s="13">
        <v>0</v>
      </c>
      <c r="E4396" s="12">
        <v>0</v>
      </c>
      <c r="F4396" s="14">
        <v>0</v>
      </c>
      <c r="G4396" s="13">
        <v>295992.9364</v>
      </c>
      <c r="H4396" s="14">
        <v>402818622.302966</v>
      </c>
      <c r="I4396" s="14" t="e">
        <f>=Round(6052.26050000,0)</f>
        <v>#VALUE!</v>
      </c>
      <c r="J4396" s="14" t="e">
        <f>=Round(0.00000000,0)</f>
        <v>#VALUE!</v>
      </c>
    </row>
    <row r="4397">
      <c r="A4397" s="11" t="s">
        <v>46</v>
      </c>
      <c r="B4397" s="12">
        <v>1361.137</v>
      </c>
      <c r="C4397" s="12">
        <v>0</v>
      </c>
      <c r="D4397" s="13">
        <v>0</v>
      </c>
      <c r="E4397" s="12">
        <v>0</v>
      </c>
      <c r="F4397" s="14">
        <v>0</v>
      </c>
      <c r="G4397" s="13">
        <v>295992.9364</v>
      </c>
      <c r="H4397" s="14">
        <v>402886937.472687</v>
      </c>
      <c r="I4397" s="14" t="e">
        <f>=Round(6053.28530000,0)</f>
        <v>#VALUE!</v>
      </c>
      <c r="J4397" s="14" t="e">
        <f>=Round(0.00000000,0)</f>
        <v>#VALUE!</v>
      </c>
    </row>
    <row r="4398">
      <c r="A4398" s="11" t="s">
        <v>47</v>
      </c>
      <c r="B4398" s="12">
        <v>1361.367</v>
      </c>
      <c r="C4398" s="12">
        <v>0</v>
      </c>
      <c r="D4398" s="13">
        <v>0</v>
      </c>
      <c r="E4398" s="12">
        <v>0</v>
      </c>
      <c r="F4398" s="14">
        <v>0</v>
      </c>
      <c r="G4398" s="13">
        <v>295992.9364</v>
      </c>
      <c r="H4398" s="14">
        <v>402955015.848059</v>
      </c>
      <c r="I4398" s="14" t="e">
        <f>=Round(6054.31190000,0)</f>
        <v>#VALUE!</v>
      </c>
      <c r="J4398" s="14" t="e">
        <f>=Round(0.00000000,0)</f>
        <v>#VALUE!</v>
      </c>
    </row>
    <row r="4399">
      <c r="A4399" s="11" t="s">
        <v>48</v>
      </c>
      <c r="B4399" s="12">
        <v>1361.6195</v>
      </c>
      <c r="C4399" s="12">
        <v>0</v>
      </c>
      <c r="D4399" s="13">
        <v>0</v>
      </c>
      <c r="E4399" s="12">
        <v>295992.9364</v>
      </c>
      <c r="F4399" s="14">
        <v>403029754.06</v>
      </c>
      <c r="G4399" s="13">
        <v>295992.9364</v>
      </c>
      <c r="H4399" s="14">
        <v>403029754.0645</v>
      </c>
      <c r="I4399" s="14" t="e">
        <f>=Round(6055.33490000,0)</f>
        <v>#VALUE!</v>
      </c>
      <c r="J4399" s="14" t="e">
        <f>=Round(0.00000000,0)</f>
        <v>#VALUE!</v>
      </c>
    </row>
    <row r="4400">
      <c r="A4400" s="11" t="s">
        <v>49</v>
      </c>
      <c r="B4400" s="12">
        <v>1361.6195</v>
      </c>
      <c r="C4400" s="12">
        <v>0</v>
      </c>
      <c r="D4400" s="13">
        <v>0</v>
      </c>
      <c r="E4400" s="12">
        <v>0</v>
      </c>
      <c r="F4400" s="14">
        <v>0</v>
      </c>
      <c r="G4400" s="13">
        <v>295992.9364</v>
      </c>
      <c r="H4400" s="14">
        <v>403029754.0645</v>
      </c>
      <c r="I4400" s="14" t="e">
        <f>=Round(6056.45810000,0)</f>
        <v>#VALUE!</v>
      </c>
      <c r="J4400" s="14" t="e">
        <f>=Round(0.00000000,0)</f>
        <v>#VALUE!</v>
      </c>
    </row>
    <row r="4401">
      <c r="A4401" s="11" t="s">
        <v>50</v>
      </c>
      <c r="B4401" s="12">
        <v>1361.6195</v>
      </c>
      <c r="C4401" s="12">
        <v>0</v>
      </c>
      <c r="D4401" s="13">
        <v>0</v>
      </c>
      <c r="E4401" s="12">
        <v>0</v>
      </c>
      <c r="F4401" s="14">
        <v>0</v>
      </c>
      <c r="G4401" s="13">
        <v>295992.9364</v>
      </c>
      <c r="H4401" s="14">
        <v>403029754.0645</v>
      </c>
      <c r="I4401" s="14" t="e">
        <f>=Round(6056.45810000,0)</f>
        <v>#VALUE!</v>
      </c>
      <c r="J4401" s="14" t="e">
        <f>=Round(0.00000000,0)</f>
        <v>#VALUE!</v>
      </c>
    </row>
    <row r="4402">
      <c r="A4402" s="11" t="s">
        <v>51</v>
      </c>
      <c r="B4402" s="12">
        <v>1362.3425</v>
      </c>
      <c r="C4402" s="12">
        <v>0</v>
      </c>
      <c r="D4402" s="13">
        <v>0</v>
      </c>
      <c r="E4402" s="12">
        <v>0</v>
      </c>
      <c r="F4402" s="14">
        <v>0</v>
      </c>
      <c r="G4402" s="13">
        <v>0</v>
      </c>
      <c r="H4402" s="14">
        <v>0</v>
      </c>
      <c r="I4402" s="14" t="e">
        <f>=Round(6056.45810000,0)</f>
        <v>#VALUE!</v>
      </c>
      <c r="J4402" s="14" t="e">
        <f>=Round(0.00000000,0)</f>
        <v>#VALUE!</v>
      </c>
    </row>
    <row r="4403">
      <c r="A4403" s="11" t="s">
        <v>52</v>
      </c>
      <c r="B4403" s="12">
        <v>1362.5746</v>
      </c>
      <c r="C4403" s="12">
        <v>0</v>
      </c>
      <c r="D4403" s="13">
        <v>0</v>
      </c>
      <c r="E4403" s="12">
        <v>0</v>
      </c>
      <c r="F4403" s="14">
        <v>0</v>
      </c>
      <c r="G4403" s="13">
        <v>0</v>
      </c>
      <c r="H4403" s="14">
        <v>0</v>
      </c>
      <c r="I4403" s="14" t="e">
        <f>=Round(0.00000000,0)</f>
        <v>#VALUE!</v>
      </c>
      <c r="J4403" s="14" t="e">
        <f>=Round(0.00000000,0)</f>
        <v>#VALUE!</v>
      </c>
    </row>
    <row r="4404">
      <c r="A4404" s="11" t="s">
        <v>53</v>
      </c>
      <c r="B4404" s="12">
        <v>1362.8067</v>
      </c>
      <c r="C4404" s="12">
        <v>0</v>
      </c>
      <c r="D4404" s="13">
        <v>0</v>
      </c>
      <c r="E4404" s="12">
        <v>0</v>
      </c>
      <c r="F4404" s="14">
        <v>0</v>
      </c>
      <c r="G4404" s="13">
        <v>0</v>
      </c>
      <c r="H4404" s="14">
        <v>0</v>
      </c>
      <c r="I4404" s="14" t="e">
        <f>=Round(0.00000000,0)</f>
        <v>#VALUE!</v>
      </c>
      <c r="J4404" s="14" t="e">
        <f>=Round(0.00000000,0)</f>
        <v>#VALUE!</v>
      </c>
    </row>
    <row r="4405">
      <c r="A4405" s="11" t="s">
        <v>54</v>
      </c>
      <c r="B4405" s="12">
        <v>1363.0394</v>
      </c>
      <c r="C4405" s="12">
        <v>0</v>
      </c>
      <c r="D4405" s="13">
        <v>0</v>
      </c>
      <c r="E4405" s="12">
        <v>0</v>
      </c>
      <c r="F4405" s="14">
        <v>0</v>
      </c>
      <c r="G4405" s="13">
        <v>0</v>
      </c>
      <c r="H4405" s="14">
        <v>0</v>
      </c>
      <c r="I4405" s="14" t="e">
        <f>=Round(0.00000000,0)</f>
        <v>#VALUE!</v>
      </c>
      <c r="J4405" s="14" t="e">
        <f>=Round(0.00000000,0)</f>
        <v>#VALUE!</v>
      </c>
    </row>
    <row r="4406">
      <c r="A4406" s="11" t="s">
        <v>55</v>
      </c>
      <c r="B4406" s="12">
        <v>1363.274</v>
      </c>
      <c r="C4406" s="12">
        <v>0</v>
      </c>
      <c r="D4406" s="13">
        <v>0</v>
      </c>
      <c r="E4406" s="12">
        <v>0</v>
      </c>
      <c r="F4406" s="14">
        <v>0</v>
      </c>
      <c r="G4406" s="13">
        <v>0</v>
      </c>
      <c r="H4406" s="14">
        <v>0</v>
      </c>
      <c r="I4406" s="14" t="e">
        <f>=Round(0.00000000,0)</f>
        <v>#VALUE!</v>
      </c>
      <c r="J4406" s="14" t="e">
        <f>=Round(0.00000000,0)</f>
        <v>#VALUE!</v>
      </c>
    </row>
    <row r="4407" ht="-1">
      <c r="A4407" s="15"/>
      <c r="B4407" s="16" t="s">
        <v>56</v>
      </c>
      <c r="C4407" s="15"/>
      <c r="D4407" s="15"/>
      <c r="E4407" s="15"/>
      <c r="F4407" s="15"/>
      <c r="G4407" s="15"/>
      <c r="H4407" s="15"/>
      <c r="I4407" s="17" t="e">
        <f>=Round(SUM(I4381:I4406),0)</f>
        <v>#VALUE!</v>
      </c>
      <c r="J4407" s="17" t="e">
        <f>=Round(SUM(J4381:J4406),0)</f>
        <v>#VALUE!</v>
      </c>
    </row>
    <row r="4408">
      <c r="A4408" s="1" t="s">
        <v>0</v>
      </c>
      <c r="B4408" s="1"/>
      <c r="C4408" s="1"/>
      <c r="D4408" s="1"/>
    </row>
    <row r="4409">
      <c r="A4409" s="0" t="s">
        <v>1</v>
      </c>
      <c r="C4409" s="0" t="s">
        <v>144</v>
      </c>
      <c r="H4409" s="2" t="s">
        <v>3</v>
      </c>
    </row>
    <row r="4410">
      <c r="A4410" s="0" t="s">
        <v>4</v>
      </c>
      <c r="C4410" s="0" t="s">
        <v>171</v>
      </c>
      <c r="H4410" s="3" t="s">
        <v>6</v>
      </c>
    </row>
    <row r="4411">
      <c r="A4411" s="0" t="s">
        <v>7</v>
      </c>
      <c r="C4411" s="4" t="s">
        <v>146</v>
      </c>
      <c r="H4411" s="2" t="s">
        <v>9</v>
      </c>
    </row>
    <row r="4412">
      <c r="A4412" s="0" t="s">
        <v>10</v>
      </c>
      <c r="C4412" s="4" t="s">
        <v>11</v>
      </c>
      <c r="H4412" s="2" t="s">
        <v>12</v>
      </c>
    </row>
    <row r="4413">
      <c r="A4413" s="0" t="s">
        <v>13</v>
      </c>
      <c r="C4413" s="0" t="s">
        <v>14</v>
      </c>
    </row>
    <row r="4414">
      <c r="A4414" s="0" t="s">
        <v>15</v>
      </c>
      <c r="C4414" s="0" t="s">
        <v>16</v>
      </c>
    </row>
    <row r="4415">
      <c r="A4415" s="0" t="s">
        <v>17</v>
      </c>
      <c r="C4415" s="0" t="s">
        <v>18</v>
      </c>
    </row>
    <row r="4418">
      <c r="A4418" s="5" t="s">
        <v>19</v>
      </c>
      <c r="B4418" s="5" t="s">
        <v>20</v>
      </c>
      <c r="C4418" s="7" t="s">
        <v>21</v>
      </c>
      <c r="D4418" s="9"/>
      <c r="E4418" s="7" t="s">
        <v>22</v>
      </c>
      <c r="F4418" s="9"/>
      <c r="G4418" s="5" t="s">
        <v>23</v>
      </c>
      <c r="H4418" s="5" t="s">
        <v>24</v>
      </c>
      <c r="I4418" s="5" t="s">
        <v>147</v>
      </c>
      <c r="J4418" s="5" t="s">
        <v>26</v>
      </c>
    </row>
    <row r="4419">
      <c r="A4419" s="6"/>
      <c r="B4419" s="6"/>
      <c r="C4419" s="8" t="s">
        <v>27</v>
      </c>
      <c r="D4419" s="8" t="s">
        <v>28</v>
      </c>
      <c r="E4419" s="8" t="s">
        <v>27</v>
      </c>
      <c r="F4419" s="8" t="s">
        <v>28</v>
      </c>
      <c r="G4419" s="6"/>
      <c r="H4419" s="6"/>
      <c r="I4419" s="10" t="s">
        <v>29</v>
      </c>
      <c r="J4419" s="6"/>
    </row>
    <row r="4420">
      <c r="A4420" s="11" t="s">
        <v>30</v>
      </c>
      <c r="B4420" s="12">
        <v>1357.4104</v>
      </c>
      <c r="C4420" s="12">
        <v>0</v>
      </c>
      <c r="D4420" s="13">
        <v>0</v>
      </c>
      <c r="E4420" s="12">
        <v>0</v>
      </c>
      <c r="F4420" s="14">
        <v>0</v>
      </c>
      <c r="G4420" s="13">
        <v>14560427.5967</v>
      </c>
      <c r="H4420" s="14">
        <v>19764475848.207584</v>
      </c>
      <c r="I4420" s="14" t="e">
        <f>=Round(296855.27870000,0)</f>
        <v>#VALUE!</v>
      </c>
      <c r="J4420" s="14" t="e">
        <f>=Round(0.00000000,0)</f>
        <v>#VALUE!</v>
      </c>
    </row>
    <row r="4421">
      <c r="A4421" s="11" t="s">
        <v>31</v>
      </c>
      <c r="B4421" s="12">
        <v>1357.6428</v>
      </c>
      <c r="C4421" s="12">
        <v>0</v>
      </c>
      <c r="D4421" s="13">
        <v>0</v>
      </c>
      <c r="E4421" s="12">
        <v>0</v>
      </c>
      <c r="F4421" s="14">
        <v>0</v>
      </c>
      <c r="G4421" s="13">
        <v>14560427.5967</v>
      </c>
      <c r="H4421" s="14">
        <v>19767859691.581059</v>
      </c>
      <c r="I4421" s="14" t="e">
        <f>=Round(297007.15070000,0)</f>
        <v>#VALUE!</v>
      </c>
      <c r="J4421" s="14" t="e">
        <f>=Round(0.00000000,0)</f>
        <v>#VALUE!</v>
      </c>
    </row>
    <row r="4422">
      <c r="A4422" s="11" t="s">
        <v>32</v>
      </c>
      <c r="B4422" s="12">
        <v>1357.8735</v>
      </c>
      <c r="C4422" s="12">
        <v>0</v>
      </c>
      <c r="D4422" s="13">
        <v>0</v>
      </c>
      <c r="E4422" s="12">
        <v>0</v>
      </c>
      <c r="F4422" s="14">
        <v>0</v>
      </c>
      <c r="G4422" s="13">
        <v>14560427.5967</v>
      </c>
      <c r="H4422" s="14">
        <v>19771218782.227615</v>
      </c>
      <c r="I4422" s="14" t="e">
        <f>=Round(297058.00080000,0)</f>
        <v>#VALUE!</v>
      </c>
      <c r="J4422" s="14" t="e">
        <f>=Round(0.00000000,0)</f>
        <v>#VALUE!</v>
      </c>
    </row>
    <row r="4423">
      <c r="A4423" s="11" t="s">
        <v>33</v>
      </c>
      <c r="B4423" s="12">
        <v>1358.1079</v>
      </c>
      <c r="C4423" s="12">
        <v>0</v>
      </c>
      <c r="D4423" s="13">
        <v>0</v>
      </c>
      <c r="E4423" s="12">
        <v>0</v>
      </c>
      <c r="F4423" s="14">
        <v>0</v>
      </c>
      <c r="G4423" s="13">
        <v>14560427.5967</v>
      </c>
      <c r="H4423" s="14">
        <v>19774631746.456284</v>
      </c>
      <c r="I4423" s="14" t="e">
        <f>=Round(297108.47900000,0)</f>
        <v>#VALUE!</v>
      </c>
      <c r="J4423" s="14" t="e">
        <f>=Round(0.00000000,0)</f>
        <v>#VALUE!</v>
      </c>
    </row>
    <row r="4424">
      <c r="A4424" s="11" t="s">
        <v>34</v>
      </c>
      <c r="B4424" s="12">
        <v>1358.3402</v>
      </c>
      <c r="C4424" s="12">
        <v>0</v>
      </c>
      <c r="D4424" s="13">
        <v>0</v>
      </c>
      <c r="E4424" s="12">
        <v>0</v>
      </c>
      <c r="F4424" s="14">
        <v>0</v>
      </c>
      <c r="G4424" s="13">
        <v>14560427.5967</v>
      </c>
      <c r="H4424" s="14">
        <v>19778014133.786995</v>
      </c>
      <c r="I4424" s="14" t="e">
        <f>=Round(297159.76670000,0)</f>
        <v>#VALUE!</v>
      </c>
      <c r="J4424" s="14" t="e">
        <f>=Round(0.00000000,0)</f>
        <v>#VALUE!</v>
      </c>
    </row>
    <row r="4425">
      <c r="A4425" s="11" t="s">
        <v>35</v>
      </c>
      <c r="B4425" s="12">
        <v>1358.3402</v>
      </c>
      <c r="C4425" s="12">
        <v>0</v>
      </c>
      <c r="D4425" s="13">
        <v>0</v>
      </c>
      <c r="E4425" s="12">
        <v>0</v>
      </c>
      <c r="F4425" s="14">
        <v>0</v>
      </c>
      <c r="G4425" s="13">
        <v>14560427.5967</v>
      </c>
      <c r="H4425" s="14">
        <v>19778014133.786995</v>
      </c>
      <c r="I4425" s="14" t="e">
        <f>=Round(297210.59490000,0)</f>
        <v>#VALUE!</v>
      </c>
      <c r="J4425" s="14" t="e">
        <f>=Round(0.00000000,0)</f>
        <v>#VALUE!</v>
      </c>
    </row>
    <row r="4426">
      <c r="A4426" s="11" t="s">
        <v>36</v>
      </c>
      <c r="B4426" s="12">
        <v>1358.3402</v>
      </c>
      <c r="C4426" s="12">
        <v>0</v>
      </c>
      <c r="D4426" s="13">
        <v>0</v>
      </c>
      <c r="E4426" s="12">
        <v>0</v>
      </c>
      <c r="F4426" s="14">
        <v>0</v>
      </c>
      <c r="G4426" s="13">
        <v>14560427.5967</v>
      </c>
      <c r="H4426" s="14">
        <v>19778014133.786995</v>
      </c>
      <c r="I4426" s="14" t="e">
        <f>=Round(297210.59490000,0)</f>
        <v>#VALUE!</v>
      </c>
      <c r="J4426" s="14" t="e">
        <f>=Round(0.00000000,0)</f>
        <v>#VALUE!</v>
      </c>
    </row>
    <row r="4427">
      <c r="A4427" s="11" t="s">
        <v>37</v>
      </c>
      <c r="B4427" s="12">
        <v>1359.0395</v>
      </c>
      <c r="C4427" s="12">
        <v>0</v>
      </c>
      <c r="D4427" s="13">
        <v>0</v>
      </c>
      <c r="E4427" s="12">
        <v>0</v>
      </c>
      <c r="F4427" s="14">
        <v>0</v>
      </c>
      <c r="G4427" s="13">
        <v>14560427.5967</v>
      </c>
      <c r="H4427" s="14">
        <v>19788196240.805367</v>
      </c>
      <c r="I4427" s="14" t="e">
        <f>=Round(297210.59490000,0)</f>
        <v>#VALUE!</v>
      </c>
      <c r="J4427" s="14" t="e">
        <f>=Round(0.00000000,0)</f>
        <v>#VALUE!</v>
      </c>
    </row>
    <row r="4428">
      <c r="A4428" s="11" t="s">
        <v>38</v>
      </c>
      <c r="B4428" s="12">
        <v>1359.2726</v>
      </c>
      <c r="C4428" s="12">
        <v>0</v>
      </c>
      <c r="D4428" s="13">
        <v>0</v>
      </c>
      <c r="E4428" s="12">
        <v>0</v>
      </c>
      <c r="F4428" s="14">
        <v>0</v>
      </c>
      <c r="G4428" s="13">
        <v>14560427.5967</v>
      </c>
      <c r="H4428" s="14">
        <v>19791590276.478161</v>
      </c>
      <c r="I4428" s="14" t="e">
        <f>=Round(297363.60470000,0)</f>
        <v>#VALUE!</v>
      </c>
      <c r="J4428" s="14" t="e">
        <f>=Round(0.00000000,0)</f>
        <v>#VALUE!</v>
      </c>
    </row>
    <row r="4429">
      <c r="A4429" s="11" t="s">
        <v>39</v>
      </c>
      <c r="B4429" s="12">
        <v>1359.5048</v>
      </c>
      <c r="C4429" s="12">
        <v>0</v>
      </c>
      <c r="D4429" s="13">
        <v>0</v>
      </c>
      <c r="E4429" s="12">
        <v>0</v>
      </c>
      <c r="F4429" s="14">
        <v>0</v>
      </c>
      <c r="G4429" s="13">
        <v>14560427.5967</v>
      </c>
      <c r="H4429" s="14">
        <v>19794971207.766113</v>
      </c>
      <c r="I4429" s="14" t="e">
        <f>=Round(297414.60800000,0)</f>
        <v>#VALUE!</v>
      </c>
      <c r="J4429" s="14" t="e">
        <f>=Round(0.00000000,0)</f>
        <v>#VALUE!</v>
      </c>
    </row>
    <row r="4430">
      <c r="A4430" s="11" t="s">
        <v>40</v>
      </c>
      <c r="B4430" s="12">
        <v>1359.7365</v>
      </c>
      <c r="C4430" s="12">
        <v>0</v>
      </c>
      <c r="D4430" s="13">
        <v>0</v>
      </c>
      <c r="E4430" s="12">
        <v>0</v>
      </c>
      <c r="F4430" s="14">
        <v>0</v>
      </c>
      <c r="G4430" s="13">
        <v>14560427.5967</v>
      </c>
      <c r="H4430" s="14">
        <v>19798344858.840271</v>
      </c>
      <c r="I4430" s="14" t="e">
        <f>=Round(297465.41430000,0)</f>
        <v>#VALUE!</v>
      </c>
      <c r="J4430" s="14" t="e">
        <f>=Round(0.00000000,0)</f>
        <v>#VALUE!</v>
      </c>
    </row>
    <row r="4431">
      <c r="A4431" s="11" t="s">
        <v>41</v>
      </c>
      <c r="B4431" s="12">
        <v>1359.979</v>
      </c>
      <c r="C4431" s="12">
        <v>0</v>
      </c>
      <c r="D4431" s="13">
        <v>0</v>
      </c>
      <c r="E4431" s="12">
        <v>0</v>
      </c>
      <c r="F4431" s="14">
        <v>0</v>
      </c>
      <c r="G4431" s="13">
        <v>14560427.5967</v>
      </c>
      <c r="H4431" s="14">
        <v>19801875762.532467</v>
      </c>
      <c r="I4431" s="14" t="e">
        <f>=Round(297516.11130000,0)</f>
        <v>#VALUE!</v>
      </c>
      <c r="J4431" s="14" t="e">
        <f>=Round(0.00000000,0)</f>
        <v>#VALUE!</v>
      </c>
    </row>
    <row r="4432">
      <c r="A4432" s="11" t="s">
        <v>42</v>
      </c>
      <c r="B4432" s="12">
        <v>1359.979</v>
      </c>
      <c r="C4432" s="12">
        <v>0</v>
      </c>
      <c r="D4432" s="13">
        <v>0</v>
      </c>
      <c r="E4432" s="12">
        <v>0</v>
      </c>
      <c r="F4432" s="14">
        <v>0</v>
      </c>
      <c r="G4432" s="13">
        <v>14560427.5967</v>
      </c>
      <c r="H4432" s="14">
        <v>19801875762.532467</v>
      </c>
      <c r="I4432" s="14" t="e">
        <f>=Round(297569.17130000,0)</f>
        <v>#VALUE!</v>
      </c>
      <c r="J4432" s="14" t="e">
        <f>=Round(0.00000000,0)</f>
        <v>#VALUE!</v>
      </c>
    </row>
    <row r="4433">
      <c r="A4433" s="11" t="s">
        <v>43</v>
      </c>
      <c r="B4433" s="12">
        <v>1359.979</v>
      </c>
      <c r="C4433" s="12">
        <v>0</v>
      </c>
      <c r="D4433" s="13">
        <v>0</v>
      </c>
      <c r="E4433" s="12">
        <v>0</v>
      </c>
      <c r="F4433" s="14">
        <v>0</v>
      </c>
      <c r="G4433" s="13">
        <v>14560427.5967</v>
      </c>
      <c r="H4433" s="14">
        <v>19801875762.532467</v>
      </c>
      <c r="I4433" s="14" t="e">
        <f>=Round(297569.17130000,0)</f>
        <v>#VALUE!</v>
      </c>
      <c r="J4433" s="14" t="e">
        <f>=Round(0.00000000,0)</f>
        <v>#VALUE!</v>
      </c>
    </row>
    <row r="4434">
      <c r="A4434" s="11" t="s">
        <v>44</v>
      </c>
      <c r="B4434" s="12">
        <v>1360.6758</v>
      </c>
      <c r="C4434" s="12">
        <v>0</v>
      </c>
      <c r="D4434" s="13">
        <v>0</v>
      </c>
      <c r="E4434" s="12">
        <v>0</v>
      </c>
      <c r="F4434" s="14">
        <v>0</v>
      </c>
      <c r="G4434" s="13">
        <v>14560427.5967</v>
      </c>
      <c r="H4434" s="14">
        <v>19812021468.48185</v>
      </c>
      <c r="I4434" s="14" t="e">
        <f>=Round(297569.17130000,0)</f>
        <v>#VALUE!</v>
      </c>
      <c r="J4434" s="14" t="e">
        <f>=Round(0.00000000,0)</f>
        <v>#VALUE!</v>
      </c>
    </row>
    <row r="4435">
      <c r="A4435" s="11" t="s">
        <v>45</v>
      </c>
      <c r="B4435" s="12">
        <v>1360.9062</v>
      </c>
      <c r="C4435" s="12">
        <v>0</v>
      </c>
      <c r="D4435" s="13">
        <v>0</v>
      </c>
      <c r="E4435" s="12">
        <v>0</v>
      </c>
      <c r="F4435" s="14">
        <v>0</v>
      </c>
      <c r="G4435" s="13">
        <v>14560427.5967</v>
      </c>
      <c r="H4435" s="14">
        <v>19815376191.00013</v>
      </c>
      <c r="I4435" s="14" t="e">
        <f>=Round(297721.63410000,0)</f>
        <v>#VALUE!</v>
      </c>
      <c r="J4435" s="14" t="e">
        <f>=Round(0.00000000,0)</f>
        <v>#VALUE!</v>
      </c>
    </row>
    <row r="4436">
      <c r="A4436" s="11" t="s">
        <v>46</v>
      </c>
      <c r="B4436" s="12">
        <v>1361.137</v>
      </c>
      <c r="C4436" s="12">
        <v>0</v>
      </c>
      <c r="D4436" s="13">
        <v>0</v>
      </c>
      <c r="E4436" s="12">
        <v>0</v>
      </c>
      <c r="F4436" s="14">
        <v>0</v>
      </c>
      <c r="G4436" s="13">
        <v>14560427.5967</v>
      </c>
      <c r="H4436" s="14">
        <v>19818736737.689449</v>
      </c>
      <c r="I4436" s="14" t="e">
        <f>=Round(297772.04660000,0)</f>
        <v>#VALUE!</v>
      </c>
      <c r="J4436" s="14" t="e">
        <f>=Round(0.00000000,0)</f>
        <v>#VALUE!</v>
      </c>
    </row>
    <row r="4437">
      <c r="A4437" s="11" t="s">
        <v>47</v>
      </c>
      <c r="B4437" s="12">
        <v>1361.367</v>
      </c>
      <c r="C4437" s="12">
        <v>0</v>
      </c>
      <c r="D4437" s="13">
        <v>0</v>
      </c>
      <c r="E4437" s="12">
        <v>0</v>
      </c>
      <c r="F4437" s="14">
        <v>0</v>
      </c>
      <c r="G4437" s="13">
        <v>14560427.5967</v>
      </c>
      <c r="H4437" s="14">
        <v>19822085636.03669</v>
      </c>
      <c r="I4437" s="14" t="e">
        <f>=Round(297822.54660000,0)</f>
        <v>#VALUE!</v>
      </c>
      <c r="J4437" s="14" t="e">
        <f>=Round(0.00000000,0)</f>
        <v>#VALUE!</v>
      </c>
    </row>
    <row r="4438">
      <c r="A4438" s="11" t="s">
        <v>48</v>
      </c>
      <c r="B4438" s="12">
        <v>1361.6195</v>
      </c>
      <c r="C4438" s="12">
        <v>0</v>
      </c>
      <c r="D4438" s="13">
        <v>0</v>
      </c>
      <c r="E4438" s="12">
        <v>0</v>
      </c>
      <c r="F4438" s="14">
        <v>0</v>
      </c>
      <c r="G4438" s="13">
        <v>14560427.5967</v>
      </c>
      <c r="H4438" s="14">
        <v>19825762144.004856</v>
      </c>
      <c r="I4438" s="14" t="e">
        <f>=Round(297872.87160000,0)</f>
        <v>#VALUE!</v>
      </c>
      <c r="J4438" s="14" t="e">
        <f>=Round(0.00000000,0)</f>
        <v>#VALUE!</v>
      </c>
    </row>
    <row r="4439">
      <c r="A4439" s="11" t="s">
        <v>49</v>
      </c>
      <c r="B4439" s="12">
        <v>1361.6195</v>
      </c>
      <c r="C4439" s="12">
        <v>0</v>
      </c>
      <c r="D4439" s="13">
        <v>0</v>
      </c>
      <c r="E4439" s="12">
        <v>0</v>
      </c>
      <c r="F4439" s="14">
        <v>0</v>
      </c>
      <c r="G4439" s="13">
        <v>14560427.5967</v>
      </c>
      <c r="H4439" s="14">
        <v>19825762144.004856</v>
      </c>
      <c r="I4439" s="14" t="e">
        <f>=Round(297928.11970000,0)</f>
        <v>#VALUE!</v>
      </c>
      <c r="J4439" s="14" t="e">
        <f>=Round(0.00000000,0)</f>
        <v>#VALUE!</v>
      </c>
    </row>
    <row r="4440">
      <c r="A4440" s="11" t="s">
        <v>50</v>
      </c>
      <c r="B4440" s="12">
        <v>1361.6195</v>
      </c>
      <c r="C4440" s="12">
        <v>0</v>
      </c>
      <c r="D4440" s="13">
        <v>0</v>
      </c>
      <c r="E4440" s="12">
        <v>0</v>
      </c>
      <c r="F4440" s="14">
        <v>0</v>
      </c>
      <c r="G4440" s="13">
        <v>14560427.5967</v>
      </c>
      <c r="H4440" s="14">
        <v>19825762144.004856</v>
      </c>
      <c r="I4440" s="14" t="e">
        <f>=Round(297928.11970000,0)</f>
        <v>#VALUE!</v>
      </c>
      <c r="J4440" s="14" t="e">
        <f>=Round(0.00000000,0)</f>
        <v>#VALUE!</v>
      </c>
    </row>
    <row r="4441">
      <c r="A4441" s="11" t="s">
        <v>51</v>
      </c>
      <c r="B4441" s="12">
        <v>1362.3425</v>
      </c>
      <c r="C4441" s="12">
        <v>0</v>
      </c>
      <c r="D4441" s="13">
        <v>0</v>
      </c>
      <c r="E4441" s="12">
        <v>0</v>
      </c>
      <c r="F4441" s="14">
        <v>0</v>
      </c>
      <c r="G4441" s="13">
        <v>14560427.5967</v>
      </c>
      <c r="H4441" s="14">
        <v>19836289333.157272</v>
      </c>
      <c r="I4441" s="14" t="e">
        <f>=Round(297928.11970000,0)</f>
        <v>#VALUE!</v>
      </c>
      <c r="J4441" s="14" t="e">
        <f>=Round(0.00000000,0)</f>
        <v>#VALUE!</v>
      </c>
    </row>
    <row r="4442">
      <c r="A4442" s="11" t="s">
        <v>52</v>
      </c>
      <c r="B4442" s="12">
        <v>1362.5746</v>
      </c>
      <c r="C4442" s="12">
        <v>0</v>
      </c>
      <c r="D4442" s="13">
        <v>0</v>
      </c>
      <c r="E4442" s="12">
        <v>0</v>
      </c>
      <c r="F4442" s="14">
        <v>0</v>
      </c>
      <c r="G4442" s="13">
        <v>14560427.5967</v>
      </c>
      <c r="H4442" s="14">
        <v>19839668808.402466</v>
      </c>
      <c r="I4442" s="14" t="e">
        <f>=Round(298086.31510000,0)</f>
        <v>#VALUE!</v>
      </c>
      <c r="J4442" s="14" t="e">
        <f>=Round(0.00000000,0)</f>
        <v>#VALUE!</v>
      </c>
    </row>
    <row r="4443">
      <c r="A4443" s="11" t="s">
        <v>53</v>
      </c>
      <c r="B4443" s="12">
        <v>1362.8067</v>
      </c>
      <c r="C4443" s="12">
        <v>0</v>
      </c>
      <c r="D4443" s="13">
        <v>0</v>
      </c>
      <c r="E4443" s="12">
        <v>0</v>
      </c>
      <c r="F4443" s="14">
        <v>0</v>
      </c>
      <c r="G4443" s="13">
        <v>14560427.5967</v>
      </c>
      <c r="H4443" s="14">
        <v>19843048283.647655</v>
      </c>
      <c r="I4443" s="14" t="e">
        <f>=Round(298137.09960000,0)</f>
        <v>#VALUE!</v>
      </c>
      <c r="J4443" s="14" t="e">
        <f>=Round(0.00000000,0)</f>
        <v>#VALUE!</v>
      </c>
    </row>
    <row r="4444">
      <c r="A4444" s="11" t="s">
        <v>54</v>
      </c>
      <c r="B4444" s="12">
        <v>1363.0394</v>
      </c>
      <c r="C4444" s="12">
        <v>0</v>
      </c>
      <c r="D4444" s="13">
        <v>0</v>
      </c>
      <c r="E4444" s="12">
        <v>2200963.5231</v>
      </c>
      <c r="F4444" s="14">
        <v>2999999999.95</v>
      </c>
      <c r="G4444" s="13">
        <v>14560427.5967</v>
      </c>
      <c r="H4444" s="14">
        <v>19846436495.149406</v>
      </c>
      <c r="I4444" s="14" t="e">
        <f>=Round(298187.88400000,0)</f>
        <v>#VALUE!</v>
      </c>
      <c r="J4444" s="14" t="e">
        <f>=Round(0.00000000,0)</f>
        <v>#VALUE!</v>
      </c>
    </row>
    <row r="4445">
      <c r="A4445" s="11" t="s">
        <v>55</v>
      </c>
      <c r="B4445" s="12">
        <v>1363.274</v>
      </c>
      <c r="C4445" s="12">
        <v>0</v>
      </c>
      <c r="D4445" s="13">
        <v>0</v>
      </c>
      <c r="E4445" s="12">
        <v>0</v>
      </c>
      <c r="F4445" s="14">
        <v>0</v>
      </c>
      <c r="G4445" s="13">
        <v>12359464.0736</v>
      </c>
      <c r="H4445" s="14">
        <v>16849336025.472965</v>
      </c>
      <c r="I4445" s="14" t="e">
        <f>=Round(298238.79980000,0)</f>
        <v>#VALUE!</v>
      </c>
      <c r="J4445" s="14" t="e">
        <f>=Round(0.00000000,0)</f>
        <v>#VALUE!</v>
      </c>
    </row>
    <row r="4446" ht="-1">
      <c r="A4446" s="15"/>
      <c r="B4446" s="16" t="s">
        <v>56</v>
      </c>
      <c r="C4446" s="15"/>
      <c r="D4446" s="15"/>
      <c r="E4446" s="15"/>
      <c r="F4446" s="15"/>
      <c r="G4446" s="15"/>
      <c r="H4446" s="15"/>
      <c r="I4446" s="17" t="e">
        <f>=Round(SUM(I4420:I4445),0)</f>
        <v>#VALUE!</v>
      </c>
      <c r="J4446" s="17" t="e">
        <f>=Round(SUM(J4420:J4445),0)</f>
        <v>#VALUE!</v>
      </c>
    </row>
    <row r="4447">
      <c r="A4447" s="1" t="s">
        <v>0</v>
      </c>
      <c r="B4447" s="1"/>
      <c r="C4447" s="1"/>
      <c r="D4447" s="1"/>
    </row>
    <row r="4448">
      <c r="A4448" s="0" t="s">
        <v>1</v>
      </c>
      <c r="C4448" s="0" t="s">
        <v>144</v>
      </c>
      <c r="H4448" s="2" t="s">
        <v>3</v>
      </c>
    </row>
    <row r="4449">
      <c r="A4449" s="0" t="s">
        <v>4</v>
      </c>
      <c r="C4449" s="0" t="s">
        <v>172</v>
      </c>
      <c r="H4449" s="3" t="s">
        <v>6</v>
      </c>
    </row>
    <row r="4450">
      <c r="A4450" s="0" t="s">
        <v>7</v>
      </c>
      <c r="C4450" s="4" t="s">
        <v>146</v>
      </c>
      <c r="H4450" s="2" t="s">
        <v>9</v>
      </c>
    </row>
    <row r="4451">
      <c r="A4451" s="0" t="s">
        <v>10</v>
      </c>
      <c r="C4451" s="4" t="s">
        <v>11</v>
      </c>
      <c r="H4451" s="2" t="s">
        <v>12</v>
      </c>
    </row>
    <row r="4452">
      <c r="A4452" s="0" t="s">
        <v>13</v>
      </c>
      <c r="C4452" s="0" t="s">
        <v>14</v>
      </c>
    </row>
    <row r="4453">
      <c r="A4453" s="0" t="s">
        <v>15</v>
      </c>
      <c r="C4453" s="0" t="s">
        <v>16</v>
      </c>
    </row>
    <row r="4454">
      <c r="A4454" s="0" t="s">
        <v>17</v>
      </c>
      <c r="C4454" s="0" t="s">
        <v>18</v>
      </c>
    </row>
    <row r="4457">
      <c r="A4457" s="5" t="s">
        <v>19</v>
      </c>
      <c r="B4457" s="5" t="s">
        <v>20</v>
      </c>
      <c r="C4457" s="7" t="s">
        <v>21</v>
      </c>
      <c r="D4457" s="9"/>
      <c r="E4457" s="7" t="s">
        <v>22</v>
      </c>
      <c r="F4457" s="9"/>
      <c r="G4457" s="5" t="s">
        <v>23</v>
      </c>
      <c r="H4457" s="5" t="s">
        <v>24</v>
      </c>
      <c r="I4457" s="5" t="s">
        <v>147</v>
      </c>
      <c r="J4457" s="5" t="s">
        <v>26</v>
      </c>
    </row>
    <row r="4458">
      <c r="A4458" s="6"/>
      <c r="B4458" s="6"/>
      <c r="C4458" s="8" t="s">
        <v>27</v>
      </c>
      <c r="D4458" s="8" t="s">
        <v>28</v>
      </c>
      <c r="E4458" s="8" t="s">
        <v>27</v>
      </c>
      <c r="F4458" s="8" t="s">
        <v>28</v>
      </c>
      <c r="G4458" s="6"/>
      <c r="H4458" s="6"/>
      <c r="I4458" s="10" t="s">
        <v>29</v>
      </c>
      <c r="J4458" s="6"/>
    </row>
    <row r="4459">
      <c r="A4459" s="11" t="s">
        <v>30</v>
      </c>
      <c r="B4459" s="12">
        <v>1357.4104</v>
      </c>
      <c r="C4459" s="12">
        <v>0</v>
      </c>
      <c r="D4459" s="13">
        <v>0</v>
      </c>
      <c r="E4459" s="12">
        <v>0</v>
      </c>
      <c r="F4459" s="14">
        <v>0</v>
      </c>
      <c r="G4459" s="13">
        <v>9953816.9299</v>
      </c>
      <c r="H4459" s="14">
        <v>13511414620.342333</v>
      </c>
      <c r="I4459" s="14" t="e">
        <f>=Round(202936.56070000,0)</f>
        <v>#VALUE!</v>
      </c>
      <c r="J4459" s="14" t="e">
        <f>=Round(0.00000000,0)</f>
        <v>#VALUE!</v>
      </c>
    </row>
    <row r="4460">
      <c r="A4460" s="11" t="s">
        <v>31</v>
      </c>
      <c r="B4460" s="12">
        <v>1357.6428</v>
      </c>
      <c r="C4460" s="12">
        <v>0</v>
      </c>
      <c r="D4460" s="13">
        <v>0</v>
      </c>
      <c r="E4460" s="12">
        <v>0</v>
      </c>
      <c r="F4460" s="14">
        <v>0</v>
      </c>
      <c r="G4460" s="13">
        <v>9953816.9299</v>
      </c>
      <c r="H4460" s="14">
        <v>13513727887.396839</v>
      </c>
      <c r="I4460" s="14" t="e">
        <f>=Round(203040.38360000,0)</f>
        <v>#VALUE!</v>
      </c>
      <c r="J4460" s="14" t="e">
        <f>=Round(0.00000000,0)</f>
        <v>#VALUE!</v>
      </c>
    </row>
    <row r="4461">
      <c r="A4461" s="11" t="s">
        <v>32</v>
      </c>
      <c r="B4461" s="12">
        <v>1357.8735</v>
      </c>
      <c r="C4461" s="12">
        <v>0</v>
      </c>
      <c r="D4461" s="13">
        <v>0</v>
      </c>
      <c r="E4461" s="12">
        <v>0</v>
      </c>
      <c r="F4461" s="14">
        <v>0</v>
      </c>
      <c r="G4461" s="13">
        <v>9953816.9299</v>
      </c>
      <c r="H4461" s="14">
        <v>13516024232.962568</v>
      </c>
      <c r="I4461" s="14" t="e">
        <f>=Round(203075.14580000,0)</f>
        <v>#VALUE!</v>
      </c>
      <c r="J4461" s="14" t="e">
        <f>=Round(0.00000000,0)</f>
        <v>#VALUE!</v>
      </c>
    </row>
    <row r="4462">
      <c r="A4462" s="11" t="s">
        <v>33</v>
      </c>
      <c r="B4462" s="12">
        <v>1358.1079</v>
      </c>
      <c r="C4462" s="12">
        <v>0</v>
      </c>
      <c r="D4462" s="13">
        <v>0</v>
      </c>
      <c r="E4462" s="12">
        <v>0</v>
      </c>
      <c r="F4462" s="14">
        <v>0</v>
      </c>
      <c r="G4462" s="13">
        <v>9953816.9299</v>
      </c>
      <c r="H4462" s="14">
        <v>13518357407.650936</v>
      </c>
      <c r="I4462" s="14" t="e">
        <f>=Round(203109.65380000,0)</f>
        <v>#VALUE!</v>
      </c>
      <c r="J4462" s="14" t="e">
        <f>=Round(0.00000000,0)</f>
        <v>#VALUE!</v>
      </c>
    </row>
    <row r="4463">
      <c r="A4463" s="11" t="s">
        <v>34</v>
      </c>
      <c r="B4463" s="12">
        <v>1358.3402</v>
      </c>
      <c r="C4463" s="12">
        <v>0</v>
      </c>
      <c r="D4463" s="13">
        <v>0</v>
      </c>
      <c r="E4463" s="12">
        <v>0</v>
      </c>
      <c r="F4463" s="14">
        <v>0</v>
      </c>
      <c r="G4463" s="13">
        <v>9953816.9299</v>
      </c>
      <c r="H4463" s="14">
        <v>13520669679.323751</v>
      </c>
      <c r="I4463" s="14" t="e">
        <f>=Round(203144.71510000,0)</f>
        <v>#VALUE!</v>
      </c>
      <c r="J4463" s="14" t="e">
        <f>=Round(0.00000000,0)</f>
        <v>#VALUE!</v>
      </c>
    </row>
    <row r="4464">
      <c r="A4464" s="11" t="s">
        <v>35</v>
      </c>
      <c r="B4464" s="12">
        <v>1358.3402</v>
      </c>
      <c r="C4464" s="12">
        <v>0</v>
      </c>
      <c r="D4464" s="13">
        <v>0</v>
      </c>
      <c r="E4464" s="12">
        <v>0</v>
      </c>
      <c r="F4464" s="14">
        <v>0</v>
      </c>
      <c r="G4464" s="13">
        <v>9953816.9299</v>
      </c>
      <c r="H4464" s="14">
        <v>13520669679.323751</v>
      </c>
      <c r="I4464" s="14" t="e">
        <f>=Round(203179.46240000,0)</f>
        <v>#VALUE!</v>
      </c>
      <c r="J4464" s="14" t="e">
        <f>=Round(0.00000000,0)</f>
        <v>#VALUE!</v>
      </c>
    </row>
    <row r="4465">
      <c r="A4465" s="11" t="s">
        <v>36</v>
      </c>
      <c r="B4465" s="12">
        <v>1358.3402</v>
      </c>
      <c r="C4465" s="12">
        <v>0</v>
      </c>
      <c r="D4465" s="13">
        <v>0</v>
      </c>
      <c r="E4465" s="12">
        <v>0</v>
      </c>
      <c r="F4465" s="14">
        <v>0</v>
      </c>
      <c r="G4465" s="13">
        <v>9953816.9299</v>
      </c>
      <c r="H4465" s="14">
        <v>13520669679.323751</v>
      </c>
      <c r="I4465" s="14" t="e">
        <f>=Round(203179.46240000,0)</f>
        <v>#VALUE!</v>
      </c>
      <c r="J4465" s="14" t="e">
        <f>=Round(0.00000000,0)</f>
        <v>#VALUE!</v>
      </c>
    </row>
    <row r="4466">
      <c r="A4466" s="11" t="s">
        <v>37</v>
      </c>
      <c r="B4466" s="12">
        <v>1359.0395</v>
      </c>
      <c r="C4466" s="12">
        <v>0</v>
      </c>
      <c r="D4466" s="13">
        <v>0</v>
      </c>
      <c r="E4466" s="12">
        <v>0</v>
      </c>
      <c r="F4466" s="14">
        <v>0</v>
      </c>
      <c r="G4466" s="13">
        <v>9953816.9299</v>
      </c>
      <c r="H4466" s="14">
        <v>13527630383.502832</v>
      </c>
      <c r="I4466" s="14" t="e">
        <f>=Round(203179.46240000,0)</f>
        <v>#VALUE!</v>
      </c>
      <c r="J4466" s="14" t="e">
        <f>=Round(0.00000000,0)</f>
        <v>#VALUE!</v>
      </c>
    </row>
    <row r="4467">
      <c r="A4467" s="11" t="s">
        <v>38</v>
      </c>
      <c r="B4467" s="12">
        <v>1359.2726</v>
      </c>
      <c r="C4467" s="12">
        <v>0</v>
      </c>
      <c r="D4467" s="13">
        <v>0</v>
      </c>
      <c r="E4467" s="12">
        <v>0</v>
      </c>
      <c r="F4467" s="14">
        <v>0</v>
      </c>
      <c r="G4467" s="13">
        <v>9953816.9299</v>
      </c>
      <c r="H4467" s="14">
        <v>13529950618.229193</v>
      </c>
      <c r="I4467" s="14" t="e">
        <f>=Round(203284.06310000,0)</f>
        <v>#VALUE!</v>
      </c>
      <c r="J4467" s="14" t="e">
        <f>=Round(0.00000000,0)</f>
        <v>#VALUE!</v>
      </c>
    </row>
    <row r="4468">
      <c r="A4468" s="11" t="s">
        <v>39</v>
      </c>
      <c r="B4468" s="12">
        <v>1359.5048</v>
      </c>
      <c r="C4468" s="12">
        <v>0</v>
      </c>
      <c r="D4468" s="13">
        <v>0</v>
      </c>
      <c r="E4468" s="12">
        <v>0</v>
      </c>
      <c r="F4468" s="14">
        <v>0</v>
      </c>
      <c r="G4468" s="13">
        <v>9953816.9299</v>
      </c>
      <c r="H4468" s="14">
        <v>13532261894.520313</v>
      </c>
      <c r="I4468" s="14" t="e">
        <f>=Round(203318.93010000,0)</f>
        <v>#VALUE!</v>
      </c>
      <c r="J4468" s="14" t="e">
        <f>=Round(0.00000000,0)</f>
        <v>#VALUE!</v>
      </c>
    </row>
    <row r="4469">
      <c r="A4469" s="11" t="s">
        <v>40</v>
      </c>
      <c r="B4469" s="12">
        <v>1359.7365</v>
      </c>
      <c r="C4469" s="12">
        <v>0</v>
      </c>
      <c r="D4469" s="13">
        <v>0</v>
      </c>
      <c r="E4469" s="12">
        <v>0</v>
      </c>
      <c r="F4469" s="14">
        <v>0</v>
      </c>
      <c r="G4469" s="13">
        <v>9953816.9299</v>
      </c>
      <c r="H4469" s="14">
        <v>13534568193.902971</v>
      </c>
      <c r="I4469" s="14" t="e">
        <f>=Round(203353.66230000,0)</f>
        <v>#VALUE!</v>
      </c>
      <c r="J4469" s="14" t="e">
        <f>=Round(0.00000000,0)</f>
        <v>#VALUE!</v>
      </c>
    </row>
    <row r="4470">
      <c r="A4470" s="11" t="s">
        <v>41</v>
      </c>
      <c r="B4470" s="12">
        <v>1359.979</v>
      </c>
      <c r="C4470" s="12">
        <v>0</v>
      </c>
      <c r="D4470" s="13">
        <v>0</v>
      </c>
      <c r="E4470" s="12">
        <v>0</v>
      </c>
      <c r="F4470" s="14">
        <v>0</v>
      </c>
      <c r="G4470" s="13">
        <v>9953816.9299</v>
      </c>
      <c r="H4470" s="14">
        <v>13536981994.508472</v>
      </c>
      <c r="I4470" s="14" t="e">
        <f>=Round(203388.31990000,0)</f>
        <v>#VALUE!</v>
      </c>
      <c r="J4470" s="14" t="e">
        <f>=Round(0.00000000,0)</f>
        <v>#VALUE!</v>
      </c>
    </row>
    <row r="4471">
      <c r="A4471" s="11" t="s">
        <v>42</v>
      </c>
      <c r="B4471" s="12">
        <v>1359.979</v>
      </c>
      <c r="C4471" s="12">
        <v>0</v>
      </c>
      <c r="D4471" s="13">
        <v>0</v>
      </c>
      <c r="E4471" s="12">
        <v>0</v>
      </c>
      <c r="F4471" s="14">
        <v>0</v>
      </c>
      <c r="G4471" s="13">
        <v>9953816.9299</v>
      </c>
      <c r="H4471" s="14">
        <v>13536981994.508472</v>
      </c>
      <c r="I4471" s="14" t="e">
        <f>=Round(203424.59280000,0)</f>
        <v>#VALUE!</v>
      </c>
      <c r="J4471" s="14" t="e">
        <f>=Round(0.00000000,0)</f>
        <v>#VALUE!</v>
      </c>
    </row>
    <row r="4472">
      <c r="A4472" s="11" t="s">
        <v>43</v>
      </c>
      <c r="B4472" s="12">
        <v>1359.979</v>
      </c>
      <c r="C4472" s="12">
        <v>0</v>
      </c>
      <c r="D4472" s="13">
        <v>0</v>
      </c>
      <c r="E4472" s="12">
        <v>0</v>
      </c>
      <c r="F4472" s="14">
        <v>0</v>
      </c>
      <c r="G4472" s="13">
        <v>9953816.9299</v>
      </c>
      <c r="H4472" s="14">
        <v>13536981994.508472</v>
      </c>
      <c r="I4472" s="14" t="e">
        <f>=Round(203424.59280000,0)</f>
        <v>#VALUE!</v>
      </c>
      <c r="J4472" s="14" t="e">
        <f>=Round(0.00000000,0)</f>
        <v>#VALUE!</v>
      </c>
    </row>
    <row r="4473">
      <c r="A4473" s="11" t="s">
        <v>44</v>
      </c>
      <c r="B4473" s="12">
        <v>1360.6758</v>
      </c>
      <c r="C4473" s="12">
        <v>0</v>
      </c>
      <c r="D4473" s="13">
        <v>0</v>
      </c>
      <c r="E4473" s="12">
        <v>0</v>
      </c>
      <c r="F4473" s="14">
        <v>0</v>
      </c>
      <c r="G4473" s="13">
        <v>9953816.9299</v>
      </c>
      <c r="H4473" s="14">
        <v>13543917814.145226</v>
      </c>
      <c r="I4473" s="14" t="e">
        <f>=Round(203424.59280000,0)</f>
        <v>#VALUE!</v>
      </c>
      <c r="J4473" s="14" t="e">
        <f>=Round(0.00000000,0)</f>
        <v>#VALUE!</v>
      </c>
    </row>
    <row r="4474">
      <c r="A4474" s="11" t="s">
        <v>45</v>
      </c>
      <c r="B4474" s="12">
        <v>1360.9062</v>
      </c>
      <c r="C4474" s="12">
        <v>0</v>
      </c>
      <c r="D4474" s="13">
        <v>0</v>
      </c>
      <c r="E4474" s="12">
        <v>0</v>
      </c>
      <c r="F4474" s="14">
        <v>0</v>
      </c>
      <c r="G4474" s="13">
        <v>9953816.9299</v>
      </c>
      <c r="H4474" s="14">
        <v>13546211173.565876</v>
      </c>
      <c r="I4474" s="14" t="e">
        <f>=Round(203528.81960000,0)</f>
        <v>#VALUE!</v>
      </c>
      <c r="J4474" s="14" t="e">
        <f>=Round(0.00000000,0)</f>
        <v>#VALUE!</v>
      </c>
    </row>
    <row r="4475">
      <c r="A4475" s="11" t="s">
        <v>46</v>
      </c>
      <c r="B4475" s="12">
        <v>1361.137</v>
      </c>
      <c r="C4475" s="12">
        <v>0</v>
      </c>
      <c r="D4475" s="13">
        <v>0</v>
      </c>
      <c r="E4475" s="12">
        <v>0</v>
      </c>
      <c r="F4475" s="14">
        <v>0</v>
      </c>
      <c r="G4475" s="13">
        <v>9953816.9299</v>
      </c>
      <c r="H4475" s="14">
        <v>13548508514.513296</v>
      </c>
      <c r="I4475" s="14" t="e">
        <f>=Round(203563.28270000,0)</f>
        <v>#VALUE!</v>
      </c>
      <c r="J4475" s="14" t="e">
        <f>=Round(0.00000000,0)</f>
        <v>#VALUE!</v>
      </c>
    </row>
    <row r="4476">
      <c r="A4476" s="11" t="s">
        <v>47</v>
      </c>
      <c r="B4476" s="12">
        <v>1361.367</v>
      </c>
      <c r="C4476" s="12">
        <v>0</v>
      </c>
      <c r="D4476" s="13">
        <v>0</v>
      </c>
      <c r="E4476" s="12">
        <v>0</v>
      </c>
      <c r="F4476" s="14">
        <v>0</v>
      </c>
      <c r="G4476" s="13">
        <v>9953816.9299</v>
      </c>
      <c r="H4476" s="14">
        <v>13550797892.407171</v>
      </c>
      <c r="I4476" s="14" t="e">
        <f>=Round(203597.80550000,0)</f>
        <v>#VALUE!</v>
      </c>
      <c r="J4476" s="14" t="e">
        <f>=Round(0.00000000,0)</f>
        <v>#VALUE!</v>
      </c>
    </row>
    <row r="4477">
      <c r="A4477" s="11" t="s">
        <v>48</v>
      </c>
      <c r="B4477" s="12">
        <v>1361.6195</v>
      </c>
      <c r="C4477" s="12">
        <v>0</v>
      </c>
      <c r="D4477" s="13">
        <v>0</v>
      </c>
      <c r="E4477" s="12">
        <v>0</v>
      </c>
      <c r="F4477" s="14">
        <v>0</v>
      </c>
      <c r="G4477" s="13">
        <v>9953816.9299</v>
      </c>
      <c r="H4477" s="14">
        <v>13553311231.181973</v>
      </c>
      <c r="I4477" s="14" t="e">
        <f>=Round(203632.20880000,0)</f>
        <v>#VALUE!</v>
      </c>
      <c r="J4477" s="14" t="e">
        <f>=Round(0.00000000,0)</f>
        <v>#VALUE!</v>
      </c>
    </row>
    <row r="4478">
      <c r="A4478" s="11" t="s">
        <v>49</v>
      </c>
      <c r="B4478" s="12">
        <v>1361.6195</v>
      </c>
      <c r="C4478" s="12">
        <v>0</v>
      </c>
      <c r="D4478" s="13">
        <v>0</v>
      </c>
      <c r="E4478" s="12">
        <v>0</v>
      </c>
      <c r="F4478" s="14">
        <v>0</v>
      </c>
      <c r="G4478" s="13">
        <v>9953816.9299</v>
      </c>
      <c r="H4478" s="14">
        <v>13553311231.181973</v>
      </c>
      <c r="I4478" s="14" t="e">
        <f>=Round(203669.97750000,0)</f>
        <v>#VALUE!</v>
      </c>
      <c r="J4478" s="14" t="e">
        <f>=Round(0.00000000,0)</f>
        <v>#VALUE!</v>
      </c>
    </row>
    <row r="4479">
      <c r="A4479" s="11" t="s">
        <v>50</v>
      </c>
      <c r="B4479" s="12">
        <v>1361.6195</v>
      </c>
      <c r="C4479" s="12">
        <v>0</v>
      </c>
      <c r="D4479" s="13">
        <v>0</v>
      </c>
      <c r="E4479" s="12">
        <v>0</v>
      </c>
      <c r="F4479" s="14">
        <v>0</v>
      </c>
      <c r="G4479" s="13">
        <v>9953816.9299</v>
      </c>
      <c r="H4479" s="14">
        <v>13553311231.181973</v>
      </c>
      <c r="I4479" s="14" t="e">
        <f>=Round(203669.97750000,0)</f>
        <v>#VALUE!</v>
      </c>
      <c r="J4479" s="14" t="e">
        <f>=Round(0.00000000,0)</f>
        <v>#VALUE!</v>
      </c>
    </row>
    <row r="4480">
      <c r="A4480" s="11" t="s">
        <v>51</v>
      </c>
      <c r="B4480" s="12">
        <v>1362.3425</v>
      </c>
      <c r="C4480" s="12">
        <v>0</v>
      </c>
      <c r="D4480" s="13">
        <v>0</v>
      </c>
      <c r="E4480" s="12">
        <v>0</v>
      </c>
      <c r="F4480" s="14">
        <v>0</v>
      </c>
      <c r="G4480" s="13">
        <v>9953816.9299</v>
      </c>
      <c r="H4480" s="14">
        <v>13560507840.822292</v>
      </c>
      <c r="I4480" s="14" t="e">
        <f>=Round(203669.97750000,0)</f>
        <v>#VALUE!</v>
      </c>
      <c r="J4480" s="14" t="e">
        <f>=Round(0.00000000,0)</f>
        <v>#VALUE!</v>
      </c>
    </row>
    <row r="4481">
      <c r="A4481" s="11" t="s">
        <v>52</v>
      </c>
      <c r="B4481" s="12">
        <v>1362.5746</v>
      </c>
      <c r="C4481" s="12">
        <v>0</v>
      </c>
      <c r="D4481" s="13">
        <v>0</v>
      </c>
      <c r="E4481" s="12">
        <v>0</v>
      </c>
      <c r="F4481" s="14">
        <v>0</v>
      </c>
      <c r="G4481" s="13">
        <v>9953816.9299</v>
      </c>
      <c r="H4481" s="14">
        <v>13562818121.73172</v>
      </c>
      <c r="I4481" s="14" t="e">
        <f>=Round(203778.12330000,0)</f>
        <v>#VALUE!</v>
      </c>
      <c r="J4481" s="14" t="e">
        <f>=Round(0.00000000,0)</f>
        <v>#VALUE!</v>
      </c>
    </row>
    <row r="4482">
      <c r="A4482" s="11" t="s">
        <v>53</v>
      </c>
      <c r="B4482" s="12">
        <v>1362.8067</v>
      </c>
      <c r="C4482" s="12">
        <v>0</v>
      </c>
      <c r="D4482" s="13">
        <v>0</v>
      </c>
      <c r="E4482" s="12">
        <v>0</v>
      </c>
      <c r="F4482" s="14">
        <v>0</v>
      </c>
      <c r="G4482" s="13">
        <v>9953816.9299</v>
      </c>
      <c r="H4482" s="14">
        <v>13565128402.64115</v>
      </c>
      <c r="I4482" s="14" t="e">
        <f>=Round(203812.84060000,0)</f>
        <v>#VALUE!</v>
      </c>
      <c r="J4482" s="14" t="e">
        <f>=Round(0.00000000,0)</f>
        <v>#VALUE!</v>
      </c>
    </row>
    <row r="4483">
      <c r="A4483" s="11" t="s">
        <v>54</v>
      </c>
      <c r="B4483" s="12">
        <v>1363.0394</v>
      </c>
      <c r="C4483" s="12">
        <v>0</v>
      </c>
      <c r="D4483" s="13">
        <v>0</v>
      </c>
      <c r="E4483" s="12">
        <v>0</v>
      </c>
      <c r="F4483" s="14">
        <v>0</v>
      </c>
      <c r="G4483" s="13">
        <v>9953816.9299</v>
      </c>
      <c r="H4483" s="14">
        <v>13567444655.840738</v>
      </c>
      <c r="I4483" s="14" t="e">
        <f>=Round(203847.55800000,0)</f>
        <v>#VALUE!</v>
      </c>
      <c r="J4483" s="14" t="e">
        <f>=Round(0.00000000,0)</f>
        <v>#VALUE!</v>
      </c>
    </row>
    <row r="4484">
      <c r="A4484" s="11" t="s">
        <v>55</v>
      </c>
      <c r="B4484" s="12">
        <v>1363.274</v>
      </c>
      <c r="C4484" s="12">
        <v>0</v>
      </c>
      <c r="D4484" s="13">
        <v>0</v>
      </c>
      <c r="E4484" s="12">
        <v>0</v>
      </c>
      <c r="F4484" s="14">
        <v>0</v>
      </c>
      <c r="G4484" s="13">
        <v>9953816.9299</v>
      </c>
      <c r="H4484" s="14">
        <v>13569779821.292492</v>
      </c>
      <c r="I4484" s="14" t="e">
        <f>=Round(203882.36500000,0)</f>
        <v>#VALUE!</v>
      </c>
      <c r="J4484" s="14" t="e">
        <f>=Round(0.00000000,0)</f>
        <v>#VALUE!</v>
      </c>
    </row>
    <row r="4485" ht="-1">
      <c r="A4485" s="15"/>
      <c r="B4485" s="16" t="s">
        <v>56</v>
      </c>
      <c r="C4485" s="15"/>
      <c r="D4485" s="15"/>
      <c r="E4485" s="15"/>
      <c r="F4485" s="15"/>
      <c r="G4485" s="15"/>
      <c r="H4485" s="15"/>
      <c r="I4485" s="17" t="e">
        <f>=Round(SUM(I4459:I4484),0)</f>
        <v>#VALUE!</v>
      </c>
      <c r="J4485" s="17" t="e">
        <f>=Round(SUM(J4459:J4484),0)</f>
        <v>#VALUE!</v>
      </c>
    </row>
    <row r="4486">
      <c r="A4486" s="1" t="s">
        <v>0</v>
      </c>
      <c r="B4486" s="1"/>
      <c r="C4486" s="1"/>
      <c r="D4486" s="1"/>
    </row>
    <row r="4487">
      <c r="A4487" s="0" t="s">
        <v>1</v>
      </c>
      <c r="C4487" s="0" t="s">
        <v>144</v>
      </c>
      <c r="H4487" s="2" t="s">
        <v>3</v>
      </c>
    </row>
    <row r="4488">
      <c r="A4488" s="0" t="s">
        <v>4</v>
      </c>
      <c r="C4488" s="0" t="s">
        <v>173</v>
      </c>
      <c r="H4488" s="3" t="s">
        <v>6</v>
      </c>
    </row>
    <row r="4489">
      <c r="A4489" s="0" t="s">
        <v>7</v>
      </c>
      <c r="C4489" s="4" t="s">
        <v>146</v>
      </c>
      <c r="H4489" s="2" t="s">
        <v>9</v>
      </c>
    </row>
    <row r="4490">
      <c r="A4490" s="0" t="s">
        <v>10</v>
      </c>
      <c r="C4490" s="4" t="s">
        <v>11</v>
      </c>
      <c r="H4490" s="2" t="s">
        <v>12</v>
      </c>
    </row>
    <row r="4491">
      <c r="A4491" s="0" t="s">
        <v>13</v>
      </c>
      <c r="C4491" s="0" t="s">
        <v>14</v>
      </c>
    </row>
    <row r="4492">
      <c r="A4492" s="0" t="s">
        <v>15</v>
      </c>
      <c r="C4492" s="0" t="s">
        <v>16</v>
      </c>
    </row>
    <row r="4493">
      <c r="A4493" s="0" t="s">
        <v>17</v>
      </c>
      <c r="C4493" s="0" t="s">
        <v>18</v>
      </c>
    </row>
    <row r="4496">
      <c r="A4496" s="5" t="s">
        <v>19</v>
      </c>
      <c r="B4496" s="5" t="s">
        <v>20</v>
      </c>
      <c r="C4496" s="7" t="s">
        <v>21</v>
      </c>
      <c r="D4496" s="9"/>
      <c r="E4496" s="7" t="s">
        <v>22</v>
      </c>
      <c r="F4496" s="9"/>
      <c r="G4496" s="5" t="s">
        <v>23</v>
      </c>
      <c r="H4496" s="5" t="s">
        <v>24</v>
      </c>
      <c r="I4496" s="5" t="s">
        <v>147</v>
      </c>
      <c r="J4496" s="5" t="s">
        <v>26</v>
      </c>
    </row>
    <row r="4497">
      <c r="A4497" s="6"/>
      <c r="B4497" s="6"/>
      <c r="C4497" s="8" t="s">
        <v>27</v>
      </c>
      <c r="D4497" s="8" t="s">
        <v>28</v>
      </c>
      <c r="E4497" s="8" t="s">
        <v>27</v>
      </c>
      <c r="F4497" s="8" t="s">
        <v>28</v>
      </c>
      <c r="G4497" s="6"/>
      <c r="H4497" s="6"/>
      <c r="I4497" s="10" t="s">
        <v>29</v>
      </c>
      <c r="J4497" s="6"/>
    </row>
    <row r="4498">
      <c r="A4498" s="11" t="s">
        <v>30</v>
      </c>
      <c r="B4498" s="12">
        <v>1357.4104</v>
      </c>
      <c r="C4498" s="12">
        <v>0</v>
      </c>
      <c r="D4498" s="13">
        <v>0</v>
      </c>
      <c r="E4498" s="12">
        <v>0</v>
      </c>
      <c r="F4498" s="14">
        <v>0</v>
      </c>
      <c r="G4498" s="13">
        <v>304358.1346</v>
      </c>
      <c r="H4498" s="14">
        <v>413138897.23064</v>
      </c>
      <c r="I4498" s="14" t="e">
        <f>=Round(6205.19680000,0)</f>
        <v>#VALUE!</v>
      </c>
      <c r="J4498" s="14" t="e">
        <f>=Round(0.00000000,0)</f>
        <v>#VALUE!</v>
      </c>
    </row>
    <row r="4499">
      <c r="A4499" s="11" t="s">
        <v>31</v>
      </c>
      <c r="B4499" s="12">
        <v>1357.6428</v>
      </c>
      <c r="C4499" s="12">
        <v>0</v>
      </c>
      <c r="D4499" s="13">
        <v>0</v>
      </c>
      <c r="E4499" s="12">
        <v>0</v>
      </c>
      <c r="F4499" s="14">
        <v>0</v>
      </c>
      <c r="G4499" s="13">
        <v>304358.1346</v>
      </c>
      <c r="H4499" s="14">
        <v>413209630.061121</v>
      </c>
      <c r="I4499" s="14" t="e">
        <f>=Round(6208.37140000,0)</f>
        <v>#VALUE!</v>
      </c>
      <c r="J4499" s="14" t="e">
        <f>=Round(0.00000000,0)</f>
        <v>#VALUE!</v>
      </c>
    </row>
    <row r="4500">
      <c r="A4500" s="11" t="s">
        <v>32</v>
      </c>
      <c r="B4500" s="12">
        <v>1357.8735</v>
      </c>
      <c r="C4500" s="12">
        <v>0</v>
      </c>
      <c r="D4500" s="13">
        <v>0</v>
      </c>
      <c r="E4500" s="12">
        <v>0</v>
      </c>
      <c r="F4500" s="14">
        <v>0</v>
      </c>
      <c r="G4500" s="13">
        <v>304358.1346</v>
      </c>
      <c r="H4500" s="14">
        <v>413279845.482773</v>
      </c>
      <c r="I4500" s="14" t="e">
        <f>=Round(6209.43430000,0)</f>
        <v>#VALUE!</v>
      </c>
      <c r="J4500" s="14" t="e">
        <f>=Round(0.00000000,0)</f>
        <v>#VALUE!</v>
      </c>
    </row>
    <row r="4501">
      <c r="A4501" s="11" t="s">
        <v>33</v>
      </c>
      <c r="B4501" s="12">
        <v>1358.1079</v>
      </c>
      <c r="C4501" s="12">
        <v>0</v>
      </c>
      <c r="D4501" s="13">
        <v>0</v>
      </c>
      <c r="E4501" s="12">
        <v>0</v>
      </c>
      <c r="F4501" s="14">
        <v>0</v>
      </c>
      <c r="G4501" s="13">
        <v>304358.1346</v>
      </c>
      <c r="H4501" s="14">
        <v>413351187.029523</v>
      </c>
      <c r="I4501" s="14" t="e">
        <f>=Round(6210.48950000,0)</f>
        <v>#VALUE!</v>
      </c>
      <c r="J4501" s="14" t="e">
        <f>=Round(0.00000000,0)</f>
        <v>#VALUE!</v>
      </c>
    </row>
    <row r="4502">
      <c r="A4502" s="11" t="s">
        <v>34</v>
      </c>
      <c r="B4502" s="12">
        <v>1358.3402</v>
      </c>
      <c r="C4502" s="12">
        <v>0</v>
      </c>
      <c r="D4502" s="13">
        <v>0</v>
      </c>
      <c r="E4502" s="12">
        <v>0</v>
      </c>
      <c r="F4502" s="14">
        <v>0</v>
      </c>
      <c r="G4502" s="13">
        <v>304358.1346</v>
      </c>
      <c r="H4502" s="14">
        <v>413421889.424191</v>
      </c>
      <c r="I4502" s="14" t="e">
        <f>=Round(6211.56160000,0)</f>
        <v>#VALUE!</v>
      </c>
      <c r="J4502" s="14" t="e">
        <f>=Round(0.00000000,0)</f>
        <v>#VALUE!</v>
      </c>
    </row>
    <row r="4503">
      <c r="A4503" s="11" t="s">
        <v>35</v>
      </c>
      <c r="B4503" s="12">
        <v>1358.3402</v>
      </c>
      <c r="C4503" s="12">
        <v>0</v>
      </c>
      <c r="D4503" s="13">
        <v>0</v>
      </c>
      <c r="E4503" s="12">
        <v>0</v>
      </c>
      <c r="F4503" s="14">
        <v>0</v>
      </c>
      <c r="G4503" s="13">
        <v>304358.1346</v>
      </c>
      <c r="H4503" s="14">
        <v>413421889.424191</v>
      </c>
      <c r="I4503" s="14" t="e">
        <f>=Round(6212.62400000,0)</f>
        <v>#VALUE!</v>
      </c>
      <c r="J4503" s="14" t="e">
        <f>=Round(0.00000000,0)</f>
        <v>#VALUE!</v>
      </c>
    </row>
    <row r="4504">
      <c r="A4504" s="11" t="s">
        <v>36</v>
      </c>
      <c r="B4504" s="12">
        <v>1358.3402</v>
      </c>
      <c r="C4504" s="12">
        <v>0</v>
      </c>
      <c r="D4504" s="13">
        <v>0</v>
      </c>
      <c r="E4504" s="12">
        <v>0</v>
      </c>
      <c r="F4504" s="14">
        <v>0</v>
      </c>
      <c r="G4504" s="13">
        <v>304358.1346</v>
      </c>
      <c r="H4504" s="14">
        <v>413421889.424191</v>
      </c>
      <c r="I4504" s="14" t="e">
        <f>=Round(6212.62400000,0)</f>
        <v>#VALUE!</v>
      </c>
      <c r="J4504" s="14" t="e">
        <f>=Round(0.00000000,0)</f>
        <v>#VALUE!</v>
      </c>
    </row>
    <row r="4505">
      <c r="A4505" s="11" t="s">
        <v>37</v>
      </c>
      <c r="B4505" s="12">
        <v>1359.0395</v>
      </c>
      <c r="C4505" s="12">
        <v>0</v>
      </c>
      <c r="D4505" s="13">
        <v>0</v>
      </c>
      <c r="E4505" s="12">
        <v>0</v>
      </c>
      <c r="F4505" s="14">
        <v>0</v>
      </c>
      <c r="G4505" s="13">
        <v>304358.1346</v>
      </c>
      <c r="H4505" s="14">
        <v>413634727.067717</v>
      </c>
      <c r="I4505" s="14" t="e">
        <f>=Round(6212.62400000,0)</f>
        <v>#VALUE!</v>
      </c>
      <c r="J4505" s="14" t="e">
        <f>=Round(0.00000000,0)</f>
        <v>#VALUE!</v>
      </c>
    </row>
    <row r="4506">
      <c r="A4506" s="11" t="s">
        <v>38</v>
      </c>
      <c r="B4506" s="12">
        <v>1359.2726</v>
      </c>
      <c r="C4506" s="12">
        <v>0</v>
      </c>
      <c r="D4506" s="13">
        <v>0</v>
      </c>
      <c r="E4506" s="12">
        <v>0</v>
      </c>
      <c r="F4506" s="14">
        <v>0</v>
      </c>
      <c r="G4506" s="13">
        <v>304358.1346</v>
      </c>
      <c r="H4506" s="14">
        <v>413705672.948892</v>
      </c>
      <c r="I4506" s="14" t="e">
        <f>=Round(6215.82240000,0)</f>
        <v>#VALUE!</v>
      </c>
      <c r="J4506" s="14" t="e">
        <f>=Round(0.00000000,0)</f>
        <v>#VALUE!</v>
      </c>
    </row>
    <row r="4507">
      <c r="A4507" s="11" t="s">
        <v>39</v>
      </c>
      <c r="B4507" s="12">
        <v>1359.5048</v>
      </c>
      <c r="C4507" s="12">
        <v>0</v>
      </c>
      <c r="D4507" s="13">
        <v>0</v>
      </c>
      <c r="E4507" s="12">
        <v>0</v>
      </c>
      <c r="F4507" s="14">
        <v>0</v>
      </c>
      <c r="G4507" s="13">
        <v>304358.1346</v>
      </c>
      <c r="H4507" s="14">
        <v>413776344.907746</v>
      </c>
      <c r="I4507" s="14" t="e">
        <f>=Round(6216.88850000,0)</f>
        <v>#VALUE!</v>
      </c>
      <c r="J4507" s="14" t="e">
        <f>=Round(0.00000000,0)</f>
        <v>#VALUE!</v>
      </c>
    </row>
    <row r="4508">
      <c r="A4508" s="11" t="s">
        <v>40</v>
      </c>
      <c r="B4508" s="12">
        <v>1359.7365</v>
      </c>
      <c r="C4508" s="12">
        <v>0</v>
      </c>
      <c r="D4508" s="13">
        <v>0</v>
      </c>
      <c r="E4508" s="12">
        <v>0</v>
      </c>
      <c r="F4508" s="14">
        <v>0</v>
      </c>
      <c r="G4508" s="13">
        <v>304358.1346</v>
      </c>
      <c r="H4508" s="14">
        <v>413846864.687533</v>
      </c>
      <c r="I4508" s="14" t="e">
        <f>=Round(6217.95050000,0)</f>
        <v>#VALUE!</v>
      </c>
      <c r="J4508" s="14" t="e">
        <f>=Round(0.00000000,0)</f>
        <v>#VALUE!</v>
      </c>
    </row>
    <row r="4509">
      <c r="A4509" s="11" t="s">
        <v>41</v>
      </c>
      <c r="B4509" s="12">
        <v>1359.979</v>
      </c>
      <c r="C4509" s="12">
        <v>0</v>
      </c>
      <c r="D4509" s="13">
        <v>0</v>
      </c>
      <c r="E4509" s="12">
        <v>0</v>
      </c>
      <c r="F4509" s="14">
        <v>0</v>
      </c>
      <c r="G4509" s="13">
        <v>304358.1346</v>
      </c>
      <c r="H4509" s="14">
        <v>413920671.535173</v>
      </c>
      <c r="I4509" s="14" t="e">
        <f>=Round(6219.01030000,0)</f>
        <v>#VALUE!</v>
      </c>
      <c r="J4509" s="14" t="e">
        <f>=Round(0.00000000,0)</f>
        <v>#VALUE!</v>
      </c>
    </row>
    <row r="4510">
      <c r="A4510" s="11" t="s">
        <v>42</v>
      </c>
      <c r="B4510" s="12">
        <v>1359.979</v>
      </c>
      <c r="C4510" s="12">
        <v>0</v>
      </c>
      <c r="D4510" s="13">
        <v>0</v>
      </c>
      <c r="E4510" s="12">
        <v>0</v>
      </c>
      <c r="F4510" s="14">
        <v>0</v>
      </c>
      <c r="G4510" s="13">
        <v>304358.1346</v>
      </c>
      <c r="H4510" s="14">
        <v>413920671.535173</v>
      </c>
      <c r="I4510" s="14" t="e">
        <f>=Round(6220.11940000,0)</f>
        <v>#VALUE!</v>
      </c>
      <c r="J4510" s="14" t="e">
        <f>=Round(0.00000000,0)</f>
        <v>#VALUE!</v>
      </c>
    </row>
    <row r="4511">
      <c r="A4511" s="11" t="s">
        <v>43</v>
      </c>
      <c r="B4511" s="12">
        <v>1359.979</v>
      </c>
      <c r="C4511" s="12">
        <v>0</v>
      </c>
      <c r="D4511" s="13">
        <v>0</v>
      </c>
      <c r="E4511" s="12">
        <v>0</v>
      </c>
      <c r="F4511" s="14">
        <v>0</v>
      </c>
      <c r="G4511" s="13">
        <v>304358.1346</v>
      </c>
      <c r="H4511" s="14">
        <v>413920671.535173</v>
      </c>
      <c r="I4511" s="14" t="e">
        <f>=Round(6220.11940000,0)</f>
        <v>#VALUE!</v>
      </c>
      <c r="J4511" s="14" t="e">
        <f>=Round(0.00000000,0)</f>
        <v>#VALUE!</v>
      </c>
    </row>
    <row r="4512">
      <c r="A4512" s="11" t="s">
        <v>44</v>
      </c>
      <c r="B4512" s="12">
        <v>1360.6758</v>
      </c>
      <c r="C4512" s="12">
        <v>0</v>
      </c>
      <c r="D4512" s="13">
        <v>0</v>
      </c>
      <c r="E4512" s="12">
        <v>0</v>
      </c>
      <c r="F4512" s="14">
        <v>0</v>
      </c>
      <c r="G4512" s="13">
        <v>304358.1346</v>
      </c>
      <c r="H4512" s="14">
        <v>414132748.283363</v>
      </c>
      <c r="I4512" s="14" t="e">
        <f>=Round(6220.11940000,0)</f>
        <v>#VALUE!</v>
      </c>
      <c r="J4512" s="14" t="e">
        <f>=Round(0.00000000,0)</f>
        <v>#VALUE!</v>
      </c>
    </row>
    <row r="4513">
      <c r="A4513" s="11" t="s">
        <v>45</v>
      </c>
      <c r="B4513" s="12">
        <v>1360.9062</v>
      </c>
      <c r="C4513" s="12">
        <v>0</v>
      </c>
      <c r="D4513" s="13">
        <v>0</v>
      </c>
      <c r="E4513" s="12">
        <v>0</v>
      </c>
      <c r="F4513" s="14">
        <v>0</v>
      </c>
      <c r="G4513" s="13">
        <v>304358.1346</v>
      </c>
      <c r="H4513" s="14">
        <v>414202872.397575</v>
      </c>
      <c r="I4513" s="14" t="e">
        <f>=Round(6223.30630000,0)</f>
        <v>#VALUE!</v>
      </c>
      <c r="J4513" s="14" t="e">
        <f>=Round(0.00000000,0)</f>
        <v>#VALUE!</v>
      </c>
    </row>
    <row r="4514">
      <c r="A4514" s="11" t="s">
        <v>46</v>
      </c>
      <c r="B4514" s="12">
        <v>1361.137</v>
      </c>
      <c r="C4514" s="12">
        <v>0</v>
      </c>
      <c r="D4514" s="13">
        <v>0</v>
      </c>
      <c r="E4514" s="12">
        <v>0</v>
      </c>
      <c r="F4514" s="14">
        <v>0</v>
      </c>
      <c r="G4514" s="13">
        <v>304358.1346</v>
      </c>
      <c r="H4514" s="14">
        <v>414273118.25504</v>
      </c>
      <c r="I4514" s="14" t="e">
        <f>=Round(6224.36010000,0)</f>
        <v>#VALUE!</v>
      </c>
      <c r="J4514" s="14" t="e">
        <f>=Round(0.00000000,0)</f>
        <v>#VALUE!</v>
      </c>
    </row>
    <row r="4515">
      <c r="A4515" s="11" t="s">
        <v>47</v>
      </c>
      <c r="B4515" s="12">
        <v>1361.367</v>
      </c>
      <c r="C4515" s="12">
        <v>0</v>
      </c>
      <c r="D4515" s="13">
        <v>0</v>
      </c>
      <c r="E4515" s="12">
        <v>0</v>
      </c>
      <c r="F4515" s="14">
        <v>0</v>
      </c>
      <c r="G4515" s="13">
        <v>304358.1346</v>
      </c>
      <c r="H4515" s="14">
        <v>414343120.625998</v>
      </c>
      <c r="I4515" s="14" t="e">
        <f>=Round(6225.41570000,0)</f>
        <v>#VALUE!</v>
      </c>
      <c r="J4515" s="14" t="e">
        <f>=Round(0.00000000,0)</f>
        <v>#VALUE!</v>
      </c>
    </row>
    <row r="4516">
      <c r="A4516" s="11" t="s">
        <v>48</v>
      </c>
      <c r="B4516" s="12">
        <v>1361.6195</v>
      </c>
      <c r="C4516" s="12">
        <v>0</v>
      </c>
      <c r="D4516" s="13">
        <v>0</v>
      </c>
      <c r="E4516" s="12">
        <v>0</v>
      </c>
      <c r="F4516" s="14">
        <v>0</v>
      </c>
      <c r="G4516" s="13">
        <v>304358.1346</v>
      </c>
      <c r="H4516" s="14">
        <v>414419971.054985</v>
      </c>
      <c r="I4516" s="14" t="e">
        <f>=Round(6226.46770000,0)</f>
        <v>#VALUE!</v>
      </c>
      <c r="J4516" s="14" t="e">
        <f>=Round(0.00000000,0)</f>
        <v>#VALUE!</v>
      </c>
    </row>
    <row r="4517">
      <c r="A4517" s="11" t="s">
        <v>49</v>
      </c>
      <c r="B4517" s="12">
        <v>1361.6195</v>
      </c>
      <c r="C4517" s="12">
        <v>0</v>
      </c>
      <c r="D4517" s="13">
        <v>0</v>
      </c>
      <c r="E4517" s="12">
        <v>0</v>
      </c>
      <c r="F4517" s="14">
        <v>0</v>
      </c>
      <c r="G4517" s="13">
        <v>304358.1346</v>
      </c>
      <c r="H4517" s="14">
        <v>414419971.054985</v>
      </c>
      <c r="I4517" s="14" t="e">
        <f>=Round(6227.62250000,0)</f>
        <v>#VALUE!</v>
      </c>
      <c r="J4517" s="14" t="e">
        <f>=Round(0.00000000,0)</f>
        <v>#VALUE!</v>
      </c>
    </row>
    <row r="4518">
      <c r="A4518" s="11" t="s">
        <v>50</v>
      </c>
      <c r="B4518" s="12">
        <v>1361.6195</v>
      </c>
      <c r="C4518" s="12">
        <v>0</v>
      </c>
      <c r="D4518" s="13">
        <v>0</v>
      </c>
      <c r="E4518" s="12">
        <v>0</v>
      </c>
      <c r="F4518" s="14">
        <v>0</v>
      </c>
      <c r="G4518" s="13">
        <v>304358.1346</v>
      </c>
      <c r="H4518" s="14">
        <v>414419971.054985</v>
      </c>
      <c r="I4518" s="14" t="e">
        <f>=Round(6227.62250000,0)</f>
        <v>#VALUE!</v>
      </c>
      <c r="J4518" s="14" t="e">
        <f>=Round(0.00000000,0)</f>
        <v>#VALUE!</v>
      </c>
    </row>
    <row r="4519">
      <c r="A4519" s="11" t="s">
        <v>51</v>
      </c>
      <c r="B4519" s="12">
        <v>1362.3425</v>
      </c>
      <c r="C4519" s="12">
        <v>0</v>
      </c>
      <c r="D4519" s="13">
        <v>0</v>
      </c>
      <c r="E4519" s="12">
        <v>0</v>
      </c>
      <c r="F4519" s="14">
        <v>0</v>
      </c>
      <c r="G4519" s="13">
        <v>304358.1346</v>
      </c>
      <c r="H4519" s="14">
        <v>414640021.986301</v>
      </c>
      <c r="I4519" s="14" t="e">
        <f>=Round(6227.62250000,0)</f>
        <v>#VALUE!</v>
      </c>
      <c r="J4519" s="14" t="e">
        <f>=Round(0.00000000,0)</f>
        <v>#VALUE!</v>
      </c>
    </row>
    <row r="4520">
      <c r="A4520" s="11" t="s">
        <v>52</v>
      </c>
      <c r="B4520" s="12">
        <v>1362.5746</v>
      </c>
      <c r="C4520" s="12">
        <v>0</v>
      </c>
      <c r="D4520" s="13">
        <v>0</v>
      </c>
      <c r="E4520" s="12">
        <v>0</v>
      </c>
      <c r="F4520" s="14">
        <v>0</v>
      </c>
      <c r="G4520" s="13">
        <v>304358.1346</v>
      </c>
      <c r="H4520" s="14">
        <v>414710663.509341</v>
      </c>
      <c r="I4520" s="14" t="e">
        <f>=Round(6230.92930000,0)</f>
        <v>#VALUE!</v>
      </c>
      <c r="J4520" s="14" t="e">
        <f>=Round(0.00000000,0)</f>
        <v>#VALUE!</v>
      </c>
    </row>
    <row r="4521">
      <c r="A4521" s="11" t="s">
        <v>53</v>
      </c>
      <c r="B4521" s="12">
        <v>1362.8067</v>
      </c>
      <c r="C4521" s="12">
        <v>0</v>
      </c>
      <c r="D4521" s="13">
        <v>0</v>
      </c>
      <c r="E4521" s="12">
        <v>0</v>
      </c>
      <c r="F4521" s="14">
        <v>0</v>
      </c>
      <c r="G4521" s="13">
        <v>304358.1346</v>
      </c>
      <c r="H4521" s="14">
        <v>414781305.032382</v>
      </c>
      <c r="I4521" s="14" t="e">
        <f>=Round(6231.99080000,0)</f>
        <v>#VALUE!</v>
      </c>
      <c r="J4521" s="14" t="e">
        <f>=Round(0.00000000,0)</f>
        <v>#VALUE!</v>
      </c>
    </row>
    <row r="4522">
      <c r="A4522" s="11" t="s">
        <v>54</v>
      </c>
      <c r="B4522" s="12">
        <v>1363.0394</v>
      </c>
      <c r="C4522" s="12">
        <v>0</v>
      </c>
      <c r="D4522" s="13">
        <v>0</v>
      </c>
      <c r="E4522" s="12">
        <v>0</v>
      </c>
      <c r="F4522" s="14">
        <v>0</v>
      </c>
      <c r="G4522" s="13">
        <v>304358.1346</v>
      </c>
      <c r="H4522" s="14">
        <v>414852129.170303</v>
      </c>
      <c r="I4522" s="14" t="e">
        <f>=Round(6233.05240000,0)</f>
        <v>#VALUE!</v>
      </c>
      <c r="J4522" s="14" t="e">
        <f>=Round(0.00000000,0)</f>
        <v>#VALUE!</v>
      </c>
    </row>
    <row r="4523">
      <c r="A4523" s="11" t="s">
        <v>55</v>
      </c>
      <c r="B4523" s="12">
        <v>1363.274</v>
      </c>
      <c r="C4523" s="12">
        <v>0</v>
      </c>
      <c r="D4523" s="13">
        <v>0</v>
      </c>
      <c r="E4523" s="12">
        <v>0</v>
      </c>
      <c r="F4523" s="14">
        <v>0</v>
      </c>
      <c r="G4523" s="13">
        <v>304358.1346</v>
      </c>
      <c r="H4523" s="14">
        <v>414923531.58868</v>
      </c>
      <c r="I4523" s="14" t="e">
        <f>=Round(6234.11670000,0)</f>
        <v>#VALUE!</v>
      </c>
      <c r="J4523" s="14" t="e">
        <f>=Round(0.00000000,0)</f>
        <v>#VALUE!</v>
      </c>
    </row>
    <row r="4524" ht="-1">
      <c r="A4524" s="15"/>
      <c r="B4524" s="16" t="s">
        <v>56</v>
      </c>
      <c r="C4524" s="15"/>
      <c r="D4524" s="15"/>
      <c r="E4524" s="15"/>
      <c r="F4524" s="15"/>
      <c r="G4524" s="15"/>
      <c r="H4524" s="15"/>
      <c r="I4524" s="17" t="e">
        <f>=Round(SUM(I4498:I4523),0)</f>
        <v>#VALUE!</v>
      </c>
      <c r="J4524" s="17" t="e">
        <f>=Round(SUM(J4498:J4523),0)</f>
        <v>#VALUE!</v>
      </c>
    </row>
    <row r="4525">
      <c r="A4525" s="1" t="s">
        <v>0</v>
      </c>
      <c r="B4525" s="1"/>
      <c r="C4525" s="1"/>
      <c r="D4525" s="1"/>
    </row>
    <row r="4526">
      <c r="A4526" s="0" t="s">
        <v>1</v>
      </c>
      <c r="C4526" s="0" t="s">
        <v>144</v>
      </c>
      <c r="H4526" s="2" t="s">
        <v>3</v>
      </c>
    </row>
    <row r="4527">
      <c r="A4527" s="0" t="s">
        <v>4</v>
      </c>
      <c r="C4527" s="0" t="s">
        <v>174</v>
      </c>
      <c r="H4527" s="3" t="s">
        <v>6</v>
      </c>
    </row>
    <row r="4528">
      <c r="A4528" s="0" t="s">
        <v>7</v>
      </c>
      <c r="C4528" s="4" t="s">
        <v>146</v>
      </c>
      <c r="H4528" s="2" t="s">
        <v>9</v>
      </c>
    </row>
    <row r="4529">
      <c r="A4529" s="0" t="s">
        <v>10</v>
      </c>
      <c r="C4529" s="4" t="s">
        <v>11</v>
      </c>
      <c r="H4529" s="2" t="s">
        <v>12</v>
      </c>
    </row>
    <row r="4530">
      <c r="A4530" s="0" t="s">
        <v>13</v>
      </c>
      <c r="C4530" s="0" t="s">
        <v>14</v>
      </c>
    </row>
    <row r="4531">
      <c r="A4531" s="0" t="s">
        <v>15</v>
      </c>
      <c r="C4531" s="0" t="s">
        <v>16</v>
      </c>
    </row>
    <row r="4532">
      <c r="A4532" s="0" t="s">
        <v>17</v>
      </c>
      <c r="C4532" s="0" t="s">
        <v>18</v>
      </c>
    </row>
    <row r="4535">
      <c r="A4535" s="5" t="s">
        <v>19</v>
      </c>
      <c r="B4535" s="5" t="s">
        <v>20</v>
      </c>
      <c r="C4535" s="7" t="s">
        <v>21</v>
      </c>
      <c r="D4535" s="9"/>
      <c r="E4535" s="7" t="s">
        <v>22</v>
      </c>
      <c r="F4535" s="9"/>
      <c r="G4535" s="5" t="s">
        <v>23</v>
      </c>
      <c r="H4535" s="5" t="s">
        <v>24</v>
      </c>
      <c r="I4535" s="5" t="s">
        <v>147</v>
      </c>
      <c r="J4535" s="5" t="s">
        <v>26</v>
      </c>
    </row>
    <row r="4536">
      <c r="A4536" s="6"/>
      <c r="B4536" s="6"/>
      <c r="C4536" s="8" t="s">
        <v>27</v>
      </c>
      <c r="D4536" s="8" t="s">
        <v>28</v>
      </c>
      <c r="E4536" s="8" t="s">
        <v>27</v>
      </c>
      <c r="F4536" s="8" t="s">
        <v>28</v>
      </c>
      <c r="G4536" s="6"/>
      <c r="H4536" s="6"/>
      <c r="I4536" s="10" t="s">
        <v>29</v>
      </c>
      <c r="J4536" s="6"/>
    </row>
    <row r="4537">
      <c r="A4537" s="11" t="s">
        <v>30</v>
      </c>
      <c r="B4537" s="12">
        <v>1357.4104</v>
      </c>
      <c r="C4537" s="12">
        <v>0</v>
      </c>
      <c r="D4537" s="13">
        <v>0</v>
      </c>
      <c r="E4537" s="12">
        <v>0</v>
      </c>
      <c r="F4537" s="14">
        <v>0</v>
      </c>
      <c r="G4537" s="13">
        <v>782748.508</v>
      </c>
      <c r="H4537" s="14">
        <v>1062510965.343683</v>
      </c>
      <c r="I4537" s="14" t="e">
        <f>=Round(15958.53040000,0)</f>
        <v>#VALUE!</v>
      </c>
      <c r="J4537" s="14" t="e">
        <f>=Round(0.00000000,0)</f>
        <v>#VALUE!</v>
      </c>
    </row>
    <row r="4538">
      <c r="A4538" s="11" t="s">
        <v>31</v>
      </c>
      <c r="B4538" s="12">
        <v>1357.6428</v>
      </c>
      <c r="C4538" s="12">
        <v>0</v>
      </c>
      <c r="D4538" s="13">
        <v>0</v>
      </c>
      <c r="E4538" s="12">
        <v>0</v>
      </c>
      <c r="F4538" s="14">
        <v>0</v>
      </c>
      <c r="G4538" s="13">
        <v>782748.508</v>
      </c>
      <c r="H4538" s="14">
        <v>1062692876.096942</v>
      </c>
      <c r="I4538" s="14" t="e">
        <f>=Round(15966.69480000,0)</f>
        <v>#VALUE!</v>
      </c>
      <c r="J4538" s="14" t="e">
        <f>=Round(0.00000000,0)</f>
        <v>#VALUE!</v>
      </c>
    </row>
    <row r="4539">
      <c r="A4539" s="11" t="s">
        <v>32</v>
      </c>
      <c r="B4539" s="12">
        <v>1357.8735</v>
      </c>
      <c r="C4539" s="12">
        <v>0</v>
      </c>
      <c r="D4539" s="13">
        <v>0</v>
      </c>
      <c r="E4539" s="12">
        <v>0</v>
      </c>
      <c r="F4539" s="14">
        <v>0</v>
      </c>
      <c r="G4539" s="13">
        <v>782748.508</v>
      </c>
      <c r="H4539" s="14">
        <v>1062873456.177738</v>
      </c>
      <c r="I4539" s="14" t="e">
        <f>=Round(15969.42850000,0)</f>
        <v>#VALUE!</v>
      </c>
      <c r="J4539" s="14" t="e">
        <f>=Round(0.00000000,0)</f>
        <v>#VALUE!</v>
      </c>
    </row>
    <row r="4540">
      <c r="A4540" s="11" t="s">
        <v>33</v>
      </c>
      <c r="B4540" s="12">
        <v>1358.1079</v>
      </c>
      <c r="C4540" s="12">
        <v>0</v>
      </c>
      <c r="D4540" s="13">
        <v>0</v>
      </c>
      <c r="E4540" s="12">
        <v>0</v>
      </c>
      <c r="F4540" s="14">
        <v>0</v>
      </c>
      <c r="G4540" s="13">
        <v>782748.508</v>
      </c>
      <c r="H4540" s="14">
        <v>1063056932.428013</v>
      </c>
      <c r="I4540" s="14" t="e">
        <f>=Round(15972.14210000,0)</f>
        <v>#VALUE!</v>
      </c>
      <c r="J4540" s="14" t="e">
        <f>=Round(0.00000000,0)</f>
        <v>#VALUE!</v>
      </c>
    </row>
    <row r="4541">
      <c r="A4541" s="11" t="s">
        <v>34</v>
      </c>
      <c r="B4541" s="12">
        <v>1358.3402</v>
      </c>
      <c r="C4541" s="12">
        <v>0</v>
      </c>
      <c r="D4541" s="13">
        <v>0</v>
      </c>
      <c r="E4541" s="12">
        <v>0</v>
      </c>
      <c r="F4541" s="14">
        <v>0</v>
      </c>
      <c r="G4541" s="13">
        <v>782748.508</v>
      </c>
      <c r="H4541" s="14">
        <v>1063238764.906422</v>
      </c>
      <c r="I4541" s="14" t="e">
        <f>=Round(15974.89930000,0)</f>
        <v>#VALUE!</v>
      </c>
      <c r="J4541" s="14" t="e">
        <f>=Round(0.00000000,0)</f>
        <v>#VALUE!</v>
      </c>
    </row>
    <row r="4542">
      <c r="A4542" s="11" t="s">
        <v>35</v>
      </c>
      <c r="B4542" s="12">
        <v>1358.3402</v>
      </c>
      <c r="C4542" s="12">
        <v>0</v>
      </c>
      <c r="D4542" s="13">
        <v>0</v>
      </c>
      <c r="E4542" s="12">
        <v>0</v>
      </c>
      <c r="F4542" s="14">
        <v>0</v>
      </c>
      <c r="G4542" s="13">
        <v>782748.508</v>
      </c>
      <c r="H4542" s="14">
        <v>1063238764.906422</v>
      </c>
      <c r="I4542" s="14" t="e">
        <f>=Round(15977.63170000,0)</f>
        <v>#VALUE!</v>
      </c>
      <c r="J4542" s="14" t="e">
        <f>=Round(0.00000000,0)</f>
        <v>#VALUE!</v>
      </c>
    </row>
    <row r="4543">
      <c r="A4543" s="11" t="s">
        <v>36</v>
      </c>
      <c r="B4543" s="12">
        <v>1358.3402</v>
      </c>
      <c r="C4543" s="12">
        <v>0</v>
      </c>
      <c r="D4543" s="13">
        <v>0</v>
      </c>
      <c r="E4543" s="12">
        <v>0</v>
      </c>
      <c r="F4543" s="14">
        <v>0</v>
      </c>
      <c r="G4543" s="13">
        <v>782748.508</v>
      </c>
      <c r="H4543" s="14">
        <v>1063238764.906422</v>
      </c>
      <c r="I4543" s="14" t="e">
        <f>=Round(15977.63170000,0)</f>
        <v>#VALUE!</v>
      </c>
      <c r="J4543" s="14" t="e">
        <f>=Round(0.00000000,0)</f>
        <v>#VALUE!</v>
      </c>
    </row>
    <row r="4544">
      <c r="A4544" s="11" t="s">
        <v>37</v>
      </c>
      <c r="B4544" s="12">
        <v>1359.0395</v>
      </c>
      <c r="C4544" s="12">
        <v>0</v>
      </c>
      <c r="D4544" s="13">
        <v>0</v>
      </c>
      <c r="E4544" s="12">
        <v>0</v>
      </c>
      <c r="F4544" s="14">
        <v>0</v>
      </c>
      <c r="G4544" s="13">
        <v>782748.508</v>
      </c>
      <c r="H4544" s="14">
        <v>1063786140.938066</v>
      </c>
      <c r="I4544" s="14" t="e">
        <f>=Round(15977.63170000,0)</f>
        <v>#VALUE!</v>
      </c>
      <c r="J4544" s="14" t="e">
        <f>=Round(0.00000000,0)</f>
        <v>#VALUE!</v>
      </c>
    </row>
    <row r="4545">
      <c r="A4545" s="11" t="s">
        <v>38</v>
      </c>
      <c r="B4545" s="12">
        <v>1359.2726</v>
      </c>
      <c r="C4545" s="12">
        <v>0</v>
      </c>
      <c r="D4545" s="13">
        <v>0</v>
      </c>
      <c r="E4545" s="12">
        <v>0</v>
      </c>
      <c r="F4545" s="14">
        <v>0</v>
      </c>
      <c r="G4545" s="13">
        <v>782748.508</v>
      </c>
      <c r="H4545" s="14">
        <v>1063968599.615281</v>
      </c>
      <c r="I4545" s="14" t="e">
        <f>=Round(15985.85730000,0)</f>
        <v>#VALUE!</v>
      </c>
      <c r="J4545" s="14" t="e">
        <f>=Round(0.00000000,0)</f>
        <v>#VALUE!</v>
      </c>
    </row>
    <row r="4546">
      <c r="A4546" s="11" t="s">
        <v>39</v>
      </c>
      <c r="B4546" s="12">
        <v>1359.5048</v>
      </c>
      <c r="C4546" s="12">
        <v>0</v>
      </c>
      <c r="D4546" s="13">
        <v>0</v>
      </c>
      <c r="E4546" s="12">
        <v>0</v>
      </c>
      <c r="F4546" s="14">
        <v>0</v>
      </c>
      <c r="G4546" s="13">
        <v>782748.508</v>
      </c>
      <c r="H4546" s="14">
        <v>1064150353.818838</v>
      </c>
      <c r="I4546" s="14" t="e">
        <f>=Round(15988.59920000,0)</f>
        <v>#VALUE!</v>
      </c>
      <c r="J4546" s="14" t="e">
        <f>=Round(0.00000000,0)</f>
        <v>#VALUE!</v>
      </c>
    </row>
    <row r="4547">
      <c r="A4547" s="11" t="s">
        <v>40</v>
      </c>
      <c r="B4547" s="12">
        <v>1359.7365</v>
      </c>
      <c r="C4547" s="12">
        <v>0</v>
      </c>
      <c r="D4547" s="13">
        <v>0</v>
      </c>
      <c r="E4547" s="12">
        <v>0</v>
      </c>
      <c r="F4547" s="14">
        <v>0</v>
      </c>
      <c r="G4547" s="13">
        <v>782748.508</v>
      </c>
      <c r="H4547" s="14">
        <v>1064331716.648142</v>
      </c>
      <c r="I4547" s="14" t="e">
        <f>=Round(15991.33050000,0)</f>
        <v>#VALUE!</v>
      </c>
      <c r="J4547" s="14" t="e">
        <f>=Round(0.00000000,0)</f>
        <v>#VALUE!</v>
      </c>
    </row>
    <row r="4548">
      <c r="A4548" s="11" t="s">
        <v>41</v>
      </c>
      <c r="B4548" s="12">
        <v>1359.979</v>
      </c>
      <c r="C4548" s="12">
        <v>0</v>
      </c>
      <c r="D4548" s="13">
        <v>0</v>
      </c>
      <c r="E4548" s="12">
        <v>0</v>
      </c>
      <c r="F4548" s="14">
        <v>0</v>
      </c>
      <c r="G4548" s="13">
        <v>782748.508</v>
      </c>
      <c r="H4548" s="14">
        <v>1064521533.161332</v>
      </c>
      <c r="I4548" s="14" t="e">
        <f>=Round(15994.05590000,0)</f>
        <v>#VALUE!</v>
      </c>
      <c r="J4548" s="14" t="e">
        <f>=Round(0.00000000,0)</f>
        <v>#VALUE!</v>
      </c>
    </row>
    <row r="4549">
      <c r="A4549" s="11" t="s">
        <v>42</v>
      </c>
      <c r="B4549" s="12">
        <v>1359.979</v>
      </c>
      <c r="C4549" s="12">
        <v>0</v>
      </c>
      <c r="D4549" s="13">
        <v>0</v>
      </c>
      <c r="E4549" s="12">
        <v>0</v>
      </c>
      <c r="F4549" s="14">
        <v>0</v>
      </c>
      <c r="G4549" s="13">
        <v>782748.508</v>
      </c>
      <c r="H4549" s="14">
        <v>1064521533.161332</v>
      </c>
      <c r="I4549" s="14" t="e">
        <f>=Round(15996.90830000,0)</f>
        <v>#VALUE!</v>
      </c>
      <c r="J4549" s="14" t="e">
        <f>=Round(0.00000000,0)</f>
        <v>#VALUE!</v>
      </c>
    </row>
    <row r="4550">
      <c r="A4550" s="11" t="s">
        <v>43</v>
      </c>
      <c r="B4550" s="12">
        <v>1359.979</v>
      </c>
      <c r="C4550" s="12">
        <v>0</v>
      </c>
      <c r="D4550" s="13">
        <v>0</v>
      </c>
      <c r="E4550" s="12">
        <v>0</v>
      </c>
      <c r="F4550" s="14">
        <v>0</v>
      </c>
      <c r="G4550" s="13">
        <v>782748.508</v>
      </c>
      <c r="H4550" s="14">
        <v>1064521533.161332</v>
      </c>
      <c r="I4550" s="14" t="e">
        <f>=Round(15996.90830000,0)</f>
        <v>#VALUE!</v>
      </c>
      <c r="J4550" s="14" t="e">
        <f>=Round(0.00000000,0)</f>
        <v>#VALUE!</v>
      </c>
    </row>
    <row r="4551">
      <c r="A4551" s="11" t="s">
        <v>44</v>
      </c>
      <c r="B4551" s="12">
        <v>1360.6758</v>
      </c>
      <c r="C4551" s="12">
        <v>0</v>
      </c>
      <c r="D4551" s="13">
        <v>0</v>
      </c>
      <c r="E4551" s="12">
        <v>0</v>
      </c>
      <c r="F4551" s="14">
        <v>0</v>
      </c>
      <c r="G4551" s="13">
        <v>782748.508</v>
      </c>
      <c r="H4551" s="14">
        <v>1065066952.3217061</v>
      </c>
      <c r="I4551" s="14" t="e">
        <f>=Round(15996.90830000,0)</f>
        <v>#VALUE!</v>
      </c>
      <c r="J4551" s="14" t="e">
        <f>=Round(0.00000000,0)</f>
        <v>#VALUE!</v>
      </c>
    </row>
    <row r="4552">
      <c r="A4552" s="11" t="s">
        <v>45</v>
      </c>
      <c r="B4552" s="12">
        <v>1360.9062</v>
      </c>
      <c r="C4552" s="12">
        <v>0</v>
      </c>
      <c r="D4552" s="13">
        <v>0</v>
      </c>
      <c r="E4552" s="12">
        <v>0</v>
      </c>
      <c r="F4552" s="14">
        <v>0</v>
      </c>
      <c r="G4552" s="13">
        <v>782748.508</v>
      </c>
      <c r="H4552" s="14">
        <v>1065247297.57795</v>
      </c>
      <c r="I4552" s="14" t="e">
        <f>=Round(16005.10450000,0)</f>
        <v>#VALUE!</v>
      </c>
      <c r="J4552" s="14" t="e">
        <f>=Round(0.00000000,0)</f>
        <v>#VALUE!</v>
      </c>
    </row>
    <row r="4553">
      <c r="A4553" s="11" t="s">
        <v>46</v>
      </c>
      <c r="B4553" s="12">
        <v>1361.137</v>
      </c>
      <c r="C4553" s="12">
        <v>0</v>
      </c>
      <c r="D4553" s="13">
        <v>0</v>
      </c>
      <c r="E4553" s="12">
        <v>0</v>
      </c>
      <c r="F4553" s="14">
        <v>0</v>
      </c>
      <c r="G4553" s="13">
        <v>782748.508</v>
      </c>
      <c r="H4553" s="14">
        <v>1065427955.933596</v>
      </c>
      <c r="I4553" s="14" t="e">
        <f>=Round(16007.81460000,0)</f>
        <v>#VALUE!</v>
      </c>
      <c r="J4553" s="14" t="e">
        <f>=Round(0.00000000,0)</f>
        <v>#VALUE!</v>
      </c>
    </row>
    <row r="4554">
      <c r="A4554" s="11" t="s">
        <v>47</v>
      </c>
      <c r="B4554" s="12">
        <v>1361.367</v>
      </c>
      <c r="C4554" s="12">
        <v>0</v>
      </c>
      <c r="D4554" s="13">
        <v>0</v>
      </c>
      <c r="E4554" s="12">
        <v>0</v>
      </c>
      <c r="F4554" s="14">
        <v>0</v>
      </c>
      <c r="G4554" s="13">
        <v>782748.508</v>
      </c>
      <c r="H4554" s="14">
        <v>1065607988.090436</v>
      </c>
      <c r="I4554" s="14" t="e">
        <f>=Round(16010.52940000,0)</f>
        <v>#VALUE!</v>
      </c>
      <c r="J4554" s="14" t="e">
        <f>=Round(0.00000000,0)</f>
        <v>#VALUE!</v>
      </c>
    </row>
    <row r="4555">
      <c r="A4555" s="11" t="s">
        <v>48</v>
      </c>
      <c r="B4555" s="12">
        <v>1361.6195</v>
      </c>
      <c r="C4555" s="12">
        <v>0</v>
      </c>
      <c r="D4555" s="13">
        <v>0</v>
      </c>
      <c r="E4555" s="12">
        <v>0</v>
      </c>
      <c r="F4555" s="14">
        <v>0</v>
      </c>
      <c r="G4555" s="13">
        <v>782748.508</v>
      </c>
      <c r="H4555" s="14">
        <v>1065805632.088706</v>
      </c>
      <c r="I4555" s="14" t="e">
        <f>=Round(16013.23480000,0)</f>
        <v>#VALUE!</v>
      </c>
      <c r="J4555" s="14" t="e">
        <f>=Round(0.00000000,0)</f>
        <v>#VALUE!</v>
      </c>
    </row>
    <row r="4556">
      <c r="A4556" s="11" t="s">
        <v>49</v>
      </c>
      <c r="B4556" s="12">
        <v>1361.6195</v>
      </c>
      <c r="C4556" s="12">
        <v>0</v>
      </c>
      <c r="D4556" s="13">
        <v>0</v>
      </c>
      <c r="E4556" s="12">
        <v>0</v>
      </c>
      <c r="F4556" s="14">
        <v>0</v>
      </c>
      <c r="G4556" s="13">
        <v>782748.508</v>
      </c>
      <c r="H4556" s="14">
        <v>1065805632.088706</v>
      </c>
      <c r="I4556" s="14" t="e">
        <f>=Round(16016.20490000,0)</f>
        <v>#VALUE!</v>
      </c>
      <c r="J4556" s="14" t="e">
        <f>=Round(0.00000000,0)</f>
        <v>#VALUE!</v>
      </c>
    </row>
    <row r="4557">
      <c r="A4557" s="11" t="s">
        <v>50</v>
      </c>
      <c r="B4557" s="12">
        <v>1361.6195</v>
      </c>
      <c r="C4557" s="12">
        <v>0</v>
      </c>
      <c r="D4557" s="13">
        <v>0</v>
      </c>
      <c r="E4557" s="12">
        <v>0</v>
      </c>
      <c r="F4557" s="14">
        <v>0</v>
      </c>
      <c r="G4557" s="13">
        <v>782748.508</v>
      </c>
      <c r="H4557" s="14">
        <v>1065805632.088706</v>
      </c>
      <c r="I4557" s="14" t="e">
        <f>=Round(16016.20490000,0)</f>
        <v>#VALUE!</v>
      </c>
      <c r="J4557" s="14" t="e">
        <f>=Round(0.00000000,0)</f>
        <v>#VALUE!</v>
      </c>
    </row>
    <row r="4558">
      <c r="A4558" s="11" t="s">
        <v>51</v>
      </c>
      <c r="B4558" s="12">
        <v>1362.3425</v>
      </c>
      <c r="C4558" s="12">
        <v>0</v>
      </c>
      <c r="D4558" s="13">
        <v>0</v>
      </c>
      <c r="E4558" s="12">
        <v>0</v>
      </c>
      <c r="F4558" s="14">
        <v>0</v>
      </c>
      <c r="G4558" s="13">
        <v>782748.508</v>
      </c>
      <c r="H4558" s="14">
        <v>1066371559.25999</v>
      </c>
      <c r="I4558" s="14" t="e">
        <f>=Round(16016.20490000,0)</f>
        <v>#VALUE!</v>
      </c>
      <c r="J4558" s="14" t="e">
        <f>=Round(0.00000000,0)</f>
        <v>#VALUE!</v>
      </c>
    </row>
    <row r="4559">
      <c r="A4559" s="11" t="s">
        <v>52</v>
      </c>
      <c r="B4559" s="12">
        <v>1362.5746</v>
      </c>
      <c r="C4559" s="12">
        <v>0</v>
      </c>
      <c r="D4559" s="13">
        <v>0</v>
      </c>
      <c r="E4559" s="12">
        <v>0</v>
      </c>
      <c r="F4559" s="14">
        <v>0</v>
      </c>
      <c r="G4559" s="13">
        <v>782748.508</v>
      </c>
      <c r="H4559" s="14">
        <v>1066553235.188697</v>
      </c>
      <c r="I4559" s="14" t="e">
        <f>=Round(16024.70920000,0)</f>
        <v>#VALUE!</v>
      </c>
      <c r="J4559" s="14" t="e">
        <f>=Round(0.00000000,0)</f>
        <v>#VALUE!</v>
      </c>
    </row>
    <row r="4560">
      <c r="A4560" s="11" t="s">
        <v>53</v>
      </c>
      <c r="B4560" s="12">
        <v>1362.8067</v>
      </c>
      <c r="C4560" s="12">
        <v>0</v>
      </c>
      <c r="D4560" s="13">
        <v>0</v>
      </c>
      <c r="E4560" s="12">
        <v>0</v>
      </c>
      <c r="F4560" s="14">
        <v>0</v>
      </c>
      <c r="G4560" s="13">
        <v>782748.508</v>
      </c>
      <c r="H4560" s="14">
        <v>1066734911.117404</v>
      </c>
      <c r="I4560" s="14" t="e">
        <f>=Round(16027.43930000,0)</f>
        <v>#VALUE!</v>
      </c>
      <c r="J4560" s="14" t="e">
        <f>=Round(0.00000000,0)</f>
        <v>#VALUE!</v>
      </c>
    </row>
    <row r="4561">
      <c r="A4561" s="11" t="s">
        <v>54</v>
      </c>
      <c r="B4561" s="12">
        <v>1363.0394</v>
      </c>
      <c r="C4561" s="12">
        <v>0</v>
      </c>
      <c r="D4561" s="13">
        <v>0</v>
      </c>
      <c r="E4561" s="12">
        <v>0</v>
      </c>
      <c r="F4561" s="14">
        <v>0</v>
      </c>
      <c r="G4561" s="13">
        <v>782748.508</v>
      </c>
      <c r="H4561" s="14">
        <v>1066917056.695215</v>
      </c>
      <c r="I4561" s="14" t="e">
        <f>=Round(16030.16940000,0)</f>
        <v>#VALUE!</v>
      </c>
      <c r="J4561" s="14" t="e">
        <f>=Round(0.00000000,0)</f>
        <v>#VALUE!</v>
      </c>
    </row>
    <row r="4562">
      <c r="A4562" s="11" t="s">
        <v>55</v>
      </c>
      <c r="B4562" s="12">
        <v>1363.274</v>
      </c>
      <c r="C4562" s="12">
        <v>0</v>
      </c>
      <c r="D4562" s="13">
        <v>0</v>
      </c>
      <c r="E4562" s="12">
        <v>0</v>
      </c>
      <c r="F4562" s="14">
        <v>0</v>
      </c>
      <c r="G4562" s="13">
        <v>782748.508</v>
      </c>
      <c r="H4562" s="14">
        <v>1067100689.4951921</v>
      </c>
      <c r="I4562" s="14" t="e">
        <f>=Round(16032.90660000,0)</f>
        <v>#VALUE!</v>
      </c>
      <c r="J4562" s="14" t="e">
        <f>=Round(0.00000000,0)</f>
        <v>#VALUE!</v>
      </c>
    </row>
    <row r="4563" ht="-1">
      <c r="A4563" s="15"/>
      <c r="B4563" s="16" t="s">
        <v>56</v>
      </c>
      <c r="C4563" s="15"/>
      <c r="D4563" s="15"/>
      <c r="E4563" s="15"/>
      <c r="F4563" s="15"/>
      <c r="G4563" s="15"/>
      <c r="H4563" s="15"/>
      <c r="I4563" s="17" t="e">
        <f>=Round(SUM(I4537:I4562),0)</f>
        <v>#VALUE!</v>
      </c>
      <c r="J4563" s="17" t="e">
        <f>=Round(SUM(J4537:J4562),0)</f>
        <v>#VALUE!</v>
      </c>
    </row>
    <row r="4564">
      <c r="A4564" s="1" t="s">
        <v>0</v>
      </c>
      <c r="B4564" s="1"/>
      <c r="C4564" s="1"/>
      <c r="D4564" s="1"/>
    </row>
    <row r="4565">
      <c r="A4565" s="0" t="s">
        <v>1</v>
      </c>
      <c r="C4565" s="0" t="s">
        <v>144</v>
      </c>
      <c r="H4565" s="2" t="s">
        <v>3</v>
      </c>
    </row>
    <row r="4566">
      <c r="A4566" s="0" t="s">
        <v>4</v>
      </c>
      <c r="C4566" s="0" t="s">
        <v>175</v>
      </c>
      <c r="H4566" s="3" t="s">
        <v>6</v>
      </c>
    </row>
    <row r="4567">
      <c r="A4567" s="0" t="s">
        <v>7</v>
      </c>
      <c r="C4567" s="4" t="s">
        <v>146</v>
      </c>
      <c r="H4567" s="2" t="s">
        <v>9</v>
      </c>
    </row>
    <row r="4568">
      <c r="A4568" s="0" t="s">
        <v>10</v>
      </c>
      <c r="C4568" s="4" t="s">
        <v>11</v>
      </c>
      <c r="H4568" s="2" t="s">
        <v>12</v>
      </c>
    </row>
    <row r="4569">
      <c r="A4569" s="0" t="s">
        <v>13</v>
      </c>
      <c r="C4569" s="0" t="s">
        <v>14</v>
      </c>
    </row>
    <row r="4570">
      <c r="A4570" s="0" t="s">
        <v>15</v>
      </c>
      <c r="C4570" s="0" t="s">
        <v>16</v>
      </c>
    </row>
    <row r="4571">
      <c r="A4571" s="0" t="s">
        <v>17</v>
      </c>
      <c r="C4571" s="0" t="s">
        <v>18</v>
      </c>
    </row>
    <row r="4574">
      <c r="A4574" s="5" t="s">
        <v>19</v>
      </c>
      <c r="B4574" s="5" t="s">
        <v>20</v>
      </c>
      <c r="C4574" s="7" t="s">
        <v>21</v>
      </c>
      <c r="D4574" s="9"/>
      <c r="E4574" s="7" t="s">
        <v>22</v>
      </c>
      <c r="F4574" s="9"/>
      <c r="G4574" s="5" t="s">
        <v>23</v>
      </c>
      <c r="H4574" s="5" t="s">
        <v>24</v>
      </c>
      <c r="I4574" s="5" t="s">
        <v>147</v>
      </c>
      <c r="J4574" s="5" t="s">
        <v>26</v>
      </c>
    </row>
    <row r="4575">
      <c r="A4575" s="6"/>
      <c r="B4575" s="6"/>
      <c r="C4575" s="8" t="s">
        <v>27</v>
      </c>
      <c r="D4575" s="8" t="s">
        <v>28</v>
      </c>
      <c r="E4575" s="8" t="s">
        <v>27</v>
      </c>
      <c r="F4575" s="8" t="s">
        <v>28</v>
      </c>
      <c r="G4575" s="6"/>
      <c r="H4575" s="6"/>
      <c r="I4575" s="10" t="s">
        <v>29</v>
      </c>
      <c r="J4575" s="6"/>
    </row>
    <row r="4576">
      <c r="A4576" s="11" t="s">
        <v>30</v>
      </c>
      <c r="B4576" s="12">
        <v>1357.4104</v>
      </c>
      <c r="C4576" s="12">
        <v>0</v>
      </c>
      <c r="D4576" s="13">
        <v>0</v>
      </c>
      <c r="E4576" s="12">
        <v>0</v>
      </c>
      <c r="F4576" s="14">
        <v>0</v>
      </c>
      <c r="G4576" s="13">
        <v>400594.6427</v>
      </c>
      <c r="H4576" s="14">
        <v>543771334.185264</v>
      </c>
      <c r="I4576" s="14" t="e">
        <f>=Round(8167.24880000,0)</f>
        <v>#VALUE!</v>
      </c>
      <c r="J4576" s="14" t="e">
        <f>=Round(0.00000000,0)</f>
        <v>#VALUE!</v>
      </c>
    </row>
    <row r="4577">
      <c r="A4577" s="11" t="s">
        <v>31</v>
      </c>
      <c r="B4577" s="12">
        <v>1357.6428</v>
      </c>
      <c r="C4577" s="12">
        <v>0</v>
      </c>
      <c r="D4577" s="13">
        <v>0</v>
      </c>
      <c r="E4577" s="12">
        <v>0</v>
      </c>
      <c r="F4577" s="14">
        <v>0</v>
      </c>
      <c r="G4577" s="13">
        <v>400594.6427</v>
      </c>
      <c r="H4577" s="14">
        <v>543864432.380228</v>
      </c>
      <c r="I4577" s="14" t="e">
        <f>=Round(8171.42720000,0)</f>
        <v>#VALUE!</v>
      </c>
      <c r="J4577" s="14" t="e">
        <f>=Round(0.00000000,0)</f>
        <v>#VALUE!</v>
      </c>
    </row>
    <row r="4578">
      <c r="A4578" s="11" t="s">
        <v>32</v>
      </c>
      <c r="B4578" s="12">
        <v>1357.8735</v>
      </c>
      <c r="C4578" s="12">
        <v>0</v>
      </c>
      <c r="D4578" s="13">
        <v>0</v>
      </c>
      <c r="E4578" s="12">
        <v>0</v>
      </c>
      <c r="F4578" s="14">
        <v>0</v>
      </c>
      <c r="G4578" s="13">
        <v>400594.6427</v>
      </c>
      <c r="H4578" s="14">
        <v>543956849.564298</v>
      </c>
      <c r="I4578" s="14" t="e">
        <f>=Round(8172.82620000,0)</f>
        <v>#VALUE!</v>
      </c>
      <c r="J4578" s="14" t="e">
        <f>=Round(0.00000000,0)</f>
        <v>#VALUE!</v>
      </c>
    </row>
    <row r="4579">
      <c r="A4579" s="11" t="s">
        <v>33</v>
      </c>
      <c r="B4579" s="12">
        <v>1358.1079</v>
      </c>
      <c r="C4579" s="12">
        <v>0</v>
      </c>
      <c r="D4579" s="13">
        <v>0</v>
      </c>
      <c r="E4579" s="12">
        <v>0</v>
      </c>
      <c r="F4579" s="14">
        <v>0</v>
      </c>
      <c r="G4579" s="13">
        <v>400594.6427</v>
      </c>
      <c r="H4579" s="14">
        <v>544050748.948547</v>
      </c>
      <c r="I4579" s="14" t="e">
        <f>=Round(8174.21500000,0)</f>
        <v>#VALUE!</v>
      </c>
      <c r="J4579" s="14" t="e">
        <f>=Round(0.00000000,0)</f>
        <v>#VALUE!</v>
      </c>
    </row>
    <row r="4580">
      <c r="A4580" s="11" t="s">
        <v>34</v>
      </c>
      <c r="B4580" s="12">
        <v>1358.3402</v>
      </c>
      <c r="C4580" s="12">
        <v>0</v>
      </c>
      <c r="D4580" s="13">
        <v>0</v>
      </c>
      <c r="E4580" s="12">
        <v>0</v>
      </c>
      <c r="F4580" s="14">
        <v>0</v>
      </c>
      <c r="G4580" s="13">
        <v>400594.6427</v>
      </c>
      <c r="H4580" s="14">
        <v>544143807.084047</v>
      </c>
      <c r="I4580" s="14" t="e">
        <f>=Round(8175.62600000,0)</f>
        <v>#VALUE!</v>
      </c>
      <c r="J4580" s="14" t="e">
        <f>=Round(0.00000000,0)</f>
        <v>#VALUE!</v>
      </c>
    </row>
    <row r="4581">
      <c r="A4581" s="11" t="s">
        <v>35</v>
      </c>
      <c r="B4581" s="12">
        <v>1358.3402</v>
      </c>
      <c r="C4581" s="12">
        <v>0</v>
      </c>
      <c r="D4581" s="13">
        <v>0</v>
      </c>
      <c r="E4581" s="12">
        <v>0</v>
      </c>
      <c r="F4581" s="14">
        <v>0</v>
      </c>
      <c r="G4581" s="13">
        <v>400594.6427</v>
      </c>
      <c r="H4581" s="14">
        <v>544143807.084047</v>
      </c>
      <c r="I4581" s="14" t="e">
        <f>=Round(8177.02440000,0)</f>
        <v>#VALUE!</v>
      </c>
      <c r="J4581" s="14" t="e">
        <f>=Round(0.00000000,0)</f>
        <v>#VALUE!</v>
      </c>
    </row>
    <row r="4582">
      <c r="A4582" s="11" t="s">
        <v>36</v>
      </c>
      <c r="B4582" s="12">
        <v>1358.3402</v>
      </c>
      <c r="C4582" s="12">
        <v>0</v>
      </c>
      <c r="D4582" s="13">
        <v>0</v>
      </c>
      <c r="E4582" s="12">
        <v>0</v>
      </c>
      <c r="F4582" s="14">
        <v>0</v>
      </c>
      <c r="G4582" s="13">
        <v>400594.6427</v>
      </c>
      <c r="H4582" s="14">
        <v>544143807.084047</v>
      </c>
      <c r="I4582" s="14" t="e">
        <f>=Round(8177.02440000,0)</f>
        <v>#VALUE!</v>
      </c>
      <c r="J4582" s="14" t="e">
        <f>=Round(0.00000000,0)</f>
        <v>#VALUE!</v>
      </c>
    </row>
    <row r="4583">
      <c r="A4583" s="11" t="s">
        <v>37</v>
      </c>
      <c r="B4583" s="12">
        <v>1359.0395</v>
      </c>
      <c r="C4583" s="12">
        <v>0</v>
      </c>
      <c r="D4583" s="13">
        <v>0</v>
      </c>
      <c r="E4583" s="12">
        <v>0</v>
      </c>
      <c r="F4583" s="14">
        <v>0</v>
      </c>
      <c r="G4583" s="13">
        <v>400594.6427</v>
      </c>
      <c r="H4583" s="14">
        <v>544423942.917687</v>
      </c>
      <c r="I4583" s="14" t="e">
        <f>=Round(8177.02440000,0)</f>
        <v>#VALUE!</v>
      </c>
      <c r="J4583" s="14" t="e">
        <f>=Round(0.00000000,0)</f>
        <v>#VALUE!</v>
      </c>
    </row>
    <row r="4584">
      <c r="A4584" s="11" t="s">
        <v>38</v>
      </c>
      <c r="B4584" s="12">
        <v>1359.2726</v>
      </c>
      <c r="C4584" s="12">
        <v>0</v>
      </c>
      <c r="D4584" s="13">
        <v>0</v>
      </c>
      <c r="E4584" s="12">
        <v>0</v>
      </c>
      <c r="F4584" s="14">
        <v>0</v>
      </c>
      <c r="G4584" s="13">
        <v>400594.6427</v>
      </c>
      <c r="H4584" s="14">
        <v>544517321.5289</v>
      </c>
      <c r="I4584" s="14" t="e">
        <f>=Round(8181.23410000,0)</f>
        <v>#VALUE!</v>
      </c>
      <c r="J4584" s="14" t="e">
        <f>=Round(0.00000000,0)</f>
        <v>#VALUE!</v>
      </c>
    </row>
    <row r="4585">
      <c r="A4585" s="11" t="s">
        <v>39</v>
      </c>
      <c r="B4585" s="12">
        <v>1359.5048</v>
      </c>
      <c r="C4585" s="12">
        <v>0</v>
      </c>
      <c r="D4585" s="13">
        <v>0</v>
      </c>
      <c r="E4585" s="12">
        <v>0</v>
      </c>
      <c r="F4585" s="14">
        <v>0</v>
      </c>
      <c r="G4585" s="13">
        <v>400594.6427</v>
      </c>
      <c r="H4585" s="14">
        <v>544610339.604935</v>
      </c>
      <c r="I4585" s="14" t="e">
        <f>=Round(8182.63730000,0)</f>
        <v>#VALUE!</v>
      </c>
      <c r="J4585" s="14" t="e">
        <f>=Round(0.00000000,0)</f>
        <v>#VALUE!</v>
      </c>
    </row>
    <row r="4586">
      <c r="A4586" s="11" t="s">
        <v>40</v>
      </c>
      <c r="B4586" s="12">
        <v>1359.7365</v>
      </c>
      <c r="C4586" s="12">
        <v>0</v>
      </c>
      <c r="D4586" s="13">
        <v>0</v>
      </c>
      <c r="E4586" s="12">
        <v>0</v>
      </c>
      <c r="F4586" s="14">
        <v>0</v>
      </c>
      <c r="G4586" s="13">
        <v>400594.6427</v>
      </c>
      <c r="H4586" s="14">
        <v>544703157.383649</v>
      </c>
      <c r="I4586" s="14" t="e">
        <f>=Round(8184.03520000,0)</f>
        <v>#VALUE!</v>
      </c>
      <c r="J4586" s="14" t="e">
        <f>=Round(0.00000000,0)</f>
        <v>#VALUE!</v>
      </c>
    </row>
    <row r="4587">
      <c r="A4587" s="11" t="s">
        <v>41</v>
      </c>
      <c r="B4587" s="12">
        <v>1359.979</v>
      </c>
      <c r="C4587" s="12">
        <v>0</v>
      </c>
      <c r="D4587" s="13">
        <v>0</v>
      </c>
      <c r="E4587" s="12">
        <v>0</v>
      </c>
      <c r="F4587" s="14">
        <v>0</v>
      </c>
      <c r="G4587" s="13">
        <v>400594.6427</v>
      </c>
      <c r="H4587" s="14">
        <v>544800301.584503</v>
      </c>
      <c r="I4587" s="14" t="e">
        <f>=Round(8185.43000000,0)</f>
        <v>#VALUE!</v>
      </c>
      <c r="J4587" s="14" t="e">
        <f>=Round(0.00000000,0)</f>
        <v>#VALUE!</v>
      </c>
    </row>
    <row r="4588">
      <c r="A4588" s="11" t="s">
        <v>42</v>
      </c>
      <c r="B4588" s="12">
        <v>1359.979</v>
      </c>
      <c r="C4588" s="12">
        <v>0</v>
      </c>
      <c r="D4588" s="13">
        <v>0</v>
      </c>
      <c r="E4588" s="12">
        <v>0</v>
      </c>
      <c r="F4588" s="14">
        <v>0</v>
      </c>
      <c r="G4588" s="13">
        <v>400594.6427</v>
      </c>
      <c r="H4588" s="14">
        <v>544800301.584503</v>
      </c>
      <c r="I4588" s="14" t="e">
        <f>=Round(8186.88980000,0)</f>
        <v>#VALUE!</v>
      </c>
      <c r="J4588" s="14" t="e">
        <f>=Round(0.00000000,0)</f>
        <v>#VALUE!</v>
      </c>
    </row>
    <row r="4589">
      <c r="A4589" s="11" t="s">
        <v>43</v>
      </c>
      <c r="B4589" s="12">
        <v>1359.979</v>
      </c>
      <c r="C4589" s="12">
        <v>0</v>
      </c>
      <c r="D4589" s="13">
        <v>0</v>
      </c>
      <c r="E4589" s="12">
        <v>0</v>
      </c>
      <c r="F4589" s="14">
        <v>0</v>
      </c>
      <c r="G4589" s="13">
        <v>400594.6427</v>
      </c>
      <c r="H4589" s="14">
        <v>544800301.584503</v>
      </c>
      <c r="I4589" s="14" t="e">
        <f>=Round(8186.88980000,0)</f>
        <v>#VALUE!</v>
      </c>
      <c r="J4589" s="14" t="e">
        <f>=Round(0.00000000,0)</f>
        <v>#VALUE!</v>
      </c>
    </row>
    <row r="4590">
      <c r="A4590" s="11" t="s">
        <v>44</v>
      </c>
      <c r="B4590" s="12">
        <v>1360.6758</v>
      </c>
      <c r="C4590" s="12">
        <v>0</v>
      </c>
      <c r="D4590" s="13">
        <v>0</v>
      </c>
      <c r="E4590" s="12">
        <v>0</v>
      </c>
      <c r="F4590" s="14">
        <v>0</v>
      </c>
      <c r="G4590" s="13">
        <v>400594.6427</v>
      </c>
      <c r="H4590" s="14">
        <v>545079435.931537</v>
      </c>
      <c r="I4590" s="14" t="e">
        <f>=Round(8186.88980000,0)</f>
        <v>#VALUE!</v>
      </c>
      <c r="J4590" s="14" t="e">
        <f>=Round(0.00000000,0)</f>
        <v>#VALUE!</v>
      </c>
    </row>
    <row r="4591">
      <c r="A4591" s="11" t="s">
        <v>45</v>
      </c>
      <c r="B4591" s="12">
        <v>1360.9062</v>
      </c>
      <c r="C4591" s="12">
        <v>0</v>
      </c>
      <c r="D4591" s="13">
        <v>0</v>
      </c>
      <c r="E4591" s="12">
        <v>0</v>
      </c>
      <c r="F4591" s="14">
        <v>0</v>
      </c>
      <c r="G4591" s="13">
        <v>400594.6427</v>
      </c>
      <c r="H4591" s="14">
        <v>545171732.937215</v>
      </c>
      <c r="I4591" s="14" t="e">
        <f>=Round(8191.08440000,0)</f>
        <v>#VALUE!</v>
      </c>
      <c r="J4591" s="14" t="e">
        <f>=Round(0.00000000,0)</f>
        <v>#VALUE!</v>
      </c>
    </row>
    <row r="4592">
      <c r="A4592" s="11" t="s">
        <v>46</v>
      </c>
      <c r="B4592" s="12">
        <v>1361.137</v>
      </c>
      <c r="C4592" s="12">
        <v>0</v>
      </c>
      <c r="D4592" s="13">
        <v>0</v>
      </c>
      <c r="E4592" s="12">
        <v>0</v>
      </c>
      <c r="F4592" s="14">
        <v>0</v>
      </c>
      <c r="G4592" s="13">
        <v>400594.6427</v>
      </c>
      <c r="H4592" s="14">
        <v>545264190.18075</v>
      </c>
      <c r="I4592" s="14" t="e">
        <f>=Round(8192.47140000,0)</f>
        <v>#VALUE!</v>
      </c>
      <c r="J4592" s="14" t="e">
        <f>=Round(0.00000000,0)</f>
        <v>#VALUE!</v>
      </c>
    </row>
    <row r="4593">
      <c r="A4593" s="11" t="s">
        <v>47</v>
      </c>
      <c r="B4593" s="12">
        <v>1361.367</v>
      </c>
      <c r="C4593" s="12">
        <v>0</v>
      </c>
      <c r="D4593" s="13">
        <v>0</v>
      </c>
      <c r="E4593" s="12">
        <v>0</v>
      </c>
      <c r="F4593" s="14">
        <v>0</v>
      </c>
      <c r="G4593" s="13">
        <v>400594.6427</v>
      </c>
      <c r="H4593" s="14">
        <v>545356326.948571</v>
      </c>
      <c r="I4593" s="14" t="e">
        <f>=Round(8193.86080000,0)</f>
        <v>#VALUE!</v>
      </c>
      <c r="J4593" s="14" t="e">
        <f>=Round(0.00000000,0)</f>
        <v>#VALUE!</v>
      </c>
    </row>
    <row r="4594">
      <c r="A4594" s="11" t="s">
        <v>48</v>
      </c>
      <c r="B4594" s="12">
        <v>1361.6195</v>
      </c>
      <c r="C4594" s="12">
        <v>0</v>
      </c>
      <c r="D4594" s="13">
        <v>0</v>
      </c>
      <c r="E4594" s="12">
        <v>0</v>
      </c>
      <c r="F4594" s="14">
        <v>0</v>
      </c>
      <c r="G4594" s="13">
        <v>400594.6427</v>
      </c>
      <c r="H4594" s="14">
        <v>545457477.095853</v>
      </c>
      <c r="I4594" s="14" t="e">
        <f>=Round(8195.24540000,0)</f>
        <v>#VALUE!</v>
      </c>
      <c r="J4594" s="14" t="e">
        <f>=Round(0.00000000,0)</f>
        <v>#VALUE!</v>
      </c>
    </row>
    <row r="4595">
      <c r="A4595" s="11" t="s">
        <v>49</v>
      </c>
      <c r="B4595" s="12">
        <v>1361.6195</v>
      </c>
      <c r="C4595" s="12">
        <v>0</v>
      </c>
      <c r="D4595" s="13">
        <v>0</v>
      </c>
      <c r="E4595" s="12">
        <v>0</v>
      </c>
      <c r="F4595" s="14">
        <v>0</v>
      </c>
      <c r="G4595" s="13">
        <v>400594.6427</v>
      </c>
      <c r="H4595" s="14">
        <v>545457477.095853</v>
      </c>
      <c r="I4595" s="14" t="e">
        <f>=Round(8196.76540000,0)</f>
        <v>#VALUE!</v>
      </c>
      <c r="J4595" s="14" t="e">
        <f>=Round(0.00000000,0)</f>
        <v>#VALUE!</v>
      </c>
    </row>
    <row r="4596">
      <c r="A4596" s="11" t="s">
        <v>50</v>
      </c>
      <c r="B4596" s="12">
        <v>1361.6195</v>
      </c>
      <c r="C4596" s="12">
        <v>0</v>
      </c>
      <c r="D4596" s="13">
        <v>0</v>
      </c>
      <c r="E4596" s="12">
        <v>0</v>
      </c>
      <c r="F4596" s="14">
        <v>0</v>
      </c>
      <c r="G4596" s="13">
        <v>400594.6427</v>
      </c>
      <c r="H4596" s="14">
        <v>545457477.095853</v>
      </c>
      <c r="I4596" s="14" t="e">
        <f>=Round(8196.76540000,0)</f>
        <v>#VALUE!</v>
      </c>
      <c r="J4596" s="14" t="e">
        <f>=Round(0.00000000,0)</f>
        <v>#VALUE!</v>
      </c>
    </row>
    <row r="4597">
      <c r="A4597" s="11" t="s">
        <v>51</v>
      </c>
      <c r="B4597" s="12">
        <v>1362.3425</v>
      </c>
      <c r="C4597" s="12">
        <v>0</v>
      </c>
      <c r="D4597" s="13">
        <v>0</v>
      </c>
      <c r="E4597" s="12">
        <v>0</v>
      </c>
      <c r="F4597" s="14">
        <v>0</v>
      </c>
      <c r="G4597" s="13">
        <v>400594.6427</v>
      </c>
      <c r="H4597" s="14">
        <v>545747107.022525</v>
      </c>
      <c r="I4597" s="14" t="e">
        <f>=Round(8196.76540000,0)</f>
        <v>#VALUE!</v>
      </c>
      <c r="J4597" s="14" t="e">
        <f>=Round(0.00000000,0)</f>
        <v>#VALUE!</v>
      </c>
    </row>
    <row r="4598">
      <c r="A4598" s="11" t="s">
        <v>52</v>
      </c>
      <c r="B4598" s="12">
        <v>1362.5746</v>
      </c>
      <c r="C4598" s="12">
        <v>0</v>
      </c>
      <c r="D4598" s="13">
        <v>0</v>
      </c>
      <c r="E4598" s="12">
        <v>0</v>
      </c>
      <c r="F4598" s="14">
        <v>0</v>
      </c>
      <c r="G4598" s="13">
        <v>400594.6427</v>
      </c>
      <c r="H4598" s="14">
        <v>545840085.039095</v>
      </c>
      <c r="I4598" s="14" t="e">
        <f>=Round(8201.11770000,0)</f>
        <v>#VALUE!</v>
      </c>
      <c r="J4598" s="14" t="e">
        <f>=Round(0.00000000,0)</f>
        <v>#VALUE!</v>
      </c>
    </row>
    <row r="4599">
      <c r="A4599" s="11" t="s">
        <v>53</v>
      </c>
      <c r="B4599" s="12">
        <v>1362.8067</v>
      </c>
      <c r="C4599" s="12">
        <v>0</v>
      </c>
      <c r="D4599" s="13">
        <v>0</v>
      </c>
      <c r="E4599" s="12">
        <v>0</v>
      </c>
      <c r="F4599" s="14">
        <v>0</v>
      </c>
      <c r="G4599" s="13">
        <v>400594.6427</v>
      </c>
      <c r="H4599" s="14">
        <v>545933063.055666</v>
      </c>
      <c r="I4599" s="14" t="e">
        <f>=Round(8202.51490000,0)</f>
        <v>#VALUE!</v>
      </c>
      <c r="J4599" s="14" t="e">
        <f>=Round(0.00000000,0)</f>
        <v>#VALUE!</v>
      </c>
    </row>
    <row r="4600">
      <c r="A4600" s="11" t="s">
        <v>54</v>
      </c>
      <c r="B4600" s="12">
        <v>1363.0394</v>
      </c>
      <c r="C4600" s="12">
        <v>0</v>
      </c>
      <c r="D4600" s="13">
        <v>0</v>
      </c>
      <c r="E4600" s="12">
        <v>0</v>
      </c>
      <c r="F4600" s="14">
        <v>0</v>
      </c>
      <c r="G4600" s="13">
        <v>400594.6427</v>
      </c>
      <c r="H4600" s="14">
        <v>546026281.429022</v>
      </c>
      <c r="I4600" s="14" t="e">
        <f>=Round(8203.91210000,0)</f>
        <v>#VALUE!</v>
      </c>
      <c r="J4600" s="14" t="e">
        <f>=Round(0.00000000,0)</f>
        <v>#VALUE!</v>
      </c>
    </row>
    <row r="4601">
      <c r="A4601" s="11" t="s">
        <v>55</v>
      </c>
      <c r="B4601" s="12">
        <v>1363.274</v>
      </c>
      <c r="C4601" s="12">
        <v>0</v>
      </c>
      <c r="D4601" s="13">
        <v>0</v>
      </c>
      <c r="E4601" s="12">
        <v>0</v>
      </c>
      <c r="F4601" s="14">
        <v>0</v>
      </c>
      <c r="G4601" s="13">
        <v>400594.6427</v>
      </c>
      <c r="H4601" s="14">
        <v>546120260.9322</v>
      </c>
      <c r="I4601" s="14" t="e">
        <f>=Round(8205.31300000,0)</f>
        <v>#VALUE!</v>
      </c>
      <c r="J4601" s="14" t="e">
        <f>=Round(0.00000000,0)</f>
        <v>#VALUE!</v>
      </c>
    </row>
    <row r="4602" ht="-1">
      <c r="A4602" s="15"/>
      <c r="B4602" s="16" t="s">
        <v>56</v>
      </c>
      <c r="C4602" s="15"/>
      <c r="D4602" s="15"/>
      <c r="E4602" s="15"/>
      <c r="F4602" s="15"/>
      <c r="G4602" s="15"/>
      <c r="H4602" s="15"/>
      <c r="I4602" s="17" t="e">
        <f>=Round(SUM(I4576:I4601),0)</f>
        <v>#VALUE!</v>
      </c>
      <c r="J4602" s="17" t="e">
        <f>=Round(SUM(J4576:J4601),0)</f>
        <v>#VALUE!</v>
      </c>
    </row>
    <row r="4603">
      <c r="A4603" s="1" t="s">
        <v>0</v>
      </c>
      <c r="B4603" s="1"/>
      <c r="C4603" s="1"/>
      <c r="D4603" s="1"/>
    </row>
    <row r="4604">
      <c r="A4604" s="0" t="s">
        <v>1</v>
      </c>
      <c r="C4604" s="0" t="s">
        <v>144</v>
      </c>
      <c r="H4604" s="2" t="s">
        <v>3</v>
      </c>
    </row>
    <row r="4605">
      <c r="A4605" s="0" t="s">
        <v>4</v>
      </c>
      <c r="C4605" s="0" t="s">
        <v>109</v>
      </c>
      <c r="H4605" s="3" t="s">
        <v>6</v>
      </c>
    </row>
    <row r="4606">
      <c r="A4606" s="0" t="s">
        <v>7</v>
      </c>
      <c r="C4606" s="4" t="s">
        <v>146</v>
      </c>
      <c r="H4606" s="2" t="s">
        <v>9</v>
      </c>
    </row>
    <row r="4607">
      <c r="A4607" s="0" t="s">
        <v>10</v>
      </c>
      <c r="C4607" s="4" t="s">
        <v>11</v>
      </c>
      <c r="H4607" s="2" t="s">
        <v>12</v>
      </c>
    </row>
    <row r="4608">
      <c r="A4608" s="0" t="s">
        <v>13</v>
      </c>
      <c r="C4608" s="0" t="s">
        <v>14</v>
      </c>
    </row>
    <row r="4609">
      <c r="A4609" s="0" t="s">
        <v>15</v>
      </c>
      <c r="C4609" s="0" t="s">
        <v>16</v>
      </c>
    </row>
    <row r="4610">
      <c r="A4610" s="0" t="s">
        <v>17</v>
      </c>
      <c r="C4610" s="0" t="s">
        <v>18</v>
      </c>
    </row>
    <row r="4613">
      <c r="A4613" s="5" t="s">
        <v>19</v>
      </c>
      <c r="B4613" s="5" t="s">
        <v>20</v>
      </c>
      <c r="C4613" s="7" t="s">
        <v>21</v>
      </c>
      <c r="D4613" s="9"/>
      <c r="E4613" s="7" t="s">
        <v>22</v>
      </c>
      <c r="F4613" s="9"/>
      <c r="G4613" s="5" t="s">
        <v>23</v>
      </c>
      <c r="H4613" s="5" t="s">
        <v>24</v>
      </c>
      <c r="I4613" s="5" t="s">
        <v>147</v>
      </c>
      <c r="J4613" s="5" t="s">
        <v>26</v>
      </c>
    </row>
    <row r="4614">
      <c r="A4614" s="6"/>
      <c r="B4614" s="6"/>
      <c r="C4614" s="8" t="s">
        <v>27</v>
      </c>
      <c r="D4614" s="8" t="s">
        <v>28</v>
      </c>
      <c r="E4614" s="8" t="s">
        <v>27</v>
      </c>
      <c r="F4614" s="8" t="s">
        <v>28</v>
      </c>
      <c r="G4614" s="6"/>
      <c r="H4614" s="6"/>
      <c r="I4614" s="10" t="s">
        <v>29</v>
      </c>
      <c r="J4614" s="6"/>
    </row>
    <row r="4615">
      <c r="A4615" s="11" t="s">
        <v>30</v>
      </c>
      <c r="B4615" s="12">
        <v>1357.4104</v>
      </c>
      <c r="C4615" s="12">
        <v>0</v>
      </c>
      <c r="D4615" s="13">
        <v>0</v>
      </c>
      <c r="E4615" s="12">
        <v>0</v>
      </c>
      <c r="F4615" s="14">
        <v>0</v>
      </c>
      <c r="G4615" s="13">
        <v>33251203.5738</v>
      </c>
      <c r="H4615" s="14">
        <v>45135529543.593285</v>
      </c>
      <c r="I4615" s="14" t="e">
        <f>=Round(677919.32880000,0)</f>
        <v>#VALUE!</v>
      </c>
      <c r="J4615" s="14" t="e">
        <f>=Round(0.00000000,0)</f>
        <v>#VALUE!</v>
      </c>
    </row>
    <row r="4616">
      <c r="A4616" s="11" t="s">
        <v>31</v>
      </c>
      <c r="B4616" s="12">
        <v>1357.6428</v>
      </c>
      <c r="C4616" s="12">
        <v>0</v>
      </c>
      <c r="D4616" s="13">
        <v>0</v>
      </c>
      <c r="E4616" s="12">
        <v>0</v>
      </c>
      <c r="F4616" s="14">
        <v>0</v>
      </c>
      <c r="G4616" s="13">
        <v>33251203.5738</v>
      </c>
      <c r="H4616" s="14">
        <v>45143257123.303841</v>
      </c>
      <c r="I4616" s="14" t="e">
        <f>=Round(678266.15430000,0)</f>
        <v>#VALUE!</v>
      </c>
      <c r="J4616" s="14" t="e">
        <f>=Round(0.00000000,0)</f>
        <v>#VALUE!</v>
      </c>
    </row>
    <row r="4617">
      <c r="A4617" s="11" t="s">
        <v>32</v>
      </c>
      <c r="B4617" s="12">
        <v>1357.8735</v>
      </c>
      <c r="C4617" s="12">
        <v>0</v>
      </c>
      <c r="D4617" s="13">
        <v>0</v>
      </c>
      <c r="E4617" s="12">
        <v>0</v>
      </c>
      <c r="F4617" s="14">
        <v>0</v>
      </c>
      <c r="G4617" s="13">
        <v>33251203.5738</v>
      </c>
      <c r="H4617" s="14">
        <v>45150928175.968315</v>
      </c>
      <c r="I4617" s="14" t="e">
        <f>=Round(678382.27920000,0)</f>
        <v>#VALUE!</v>
      </c>
      <c r="J4617" s="14" t="e">
        <f>=Round(0.00000000,0)</f>
        <v>#VALUE!</v>
      </c>
    </row>
    <row r="4618">
      <c r="A4618" s="11" t="s">
        <v>33</v>
      </c>
      <c r="B4618" s="12">
        <v>1358.1079</v>
      </c>
      <c r="C4618" s="12">
        <v>0</v>
      </c>
      <c r="D4618" s="13">
        <v>0</v>
      </c>
      <c r="E4618" s="12">
        <v>0</v>
      </c>
      <c r="F4618" s="14">
        <v>0</v>
      </c>
      <c r="G4618" s="13">
        <v>33251203.5738</v>
      </c>
      <c r="H4618" s="14">
        <v>45158722258.086014</v>
      </c>
      <c r="I4618" s="14" t="e">
        <f>=Round(678497.55460000,0)</f>
        <v>#VALUE!</v>
      </c>
      <c r="J4618" s="14" t="e">
        <f>=Round(0.00000000,0)</f>
        <v>#VALUE!</v>
      </c>
    </row>
    <row r="4619">
      <c r="A4619" s="11" t="s">
        <v>34</v>
      </c>
      <c r="B4619" s="12">
        <v>1358.3402</v>
      </c>
      <c r="C4619" s="12">
        <v>0</v>
      </c>
      <c r="D4619" s="13">
        <v>0</v>
      </c>
      <c r="E4619" s="12">
        <v>0</v>
      </c>
      <c r="F4619" s="14">
        <v>0</v>
      </c>
      <c r="G4619" s="13">
        <v>33251203.5738</v>
      </c>
      <c r="H4619" s="14">
        <v>45166446512.676208</v>
      </c>
      <c r="I4619" s="14" t="e">
        <f>=Round(678614.67870000,0)</f>
        <v>#VALUE!</v>
      </c>
      <c r="J4619" s="14" t="e">
        <f>=Round(0.00000000,0)</f>
        <v>#VALUE!</v>
      </c>
    </row>
    <row r="4620">
      <c r="A4620" s="11" t="s">
        <v>35</v>
      </c>
      <c r="B4620" s="12">
        <v>1358.3402</v>
      </c>
      <c r="C4620" s="12">
        <v>0</v>
      </c>
      <c r="D4620" s="13">
        <v>0</v>
      </c>
      <c r="E4620" s="12">
        <v>0</v>
      </c>
      <c r="F4620" s="14">
        <v>0</v>
      </c>
      <c r="G4620" s="13">
        <v>33251203.5738</v>
      </c>
      <c r="H4620" s="14">
        <v>45166446512.676208</v>
      </c>
      <c r="I4620" s="14" t="e">
        <f>=Round(678730.75360000,0)</f>
        <v>#VALUE!</v>
      </c>
      <c r="J4620" s="14" t="e">
        <f>=Round(0.00000000,0)</f>
        <v>#VALUE!</v>
      </c>
    </row>
    <row r="4621">
      <c r="A4621" s="11" t="s">
        <v>36</v>
      </c>
      <c r="B4621" s="12">
        <v>1358.3402</v>
      </c>
      <c r="C4621" s="12">
        <v>0</v>
      </c>
      <c r="D4621" s="13">
        <v>0</v>
      </c>
      <c r="E4621" s="12">
        <v>0</v>
      </c>
      <c r="F4621" s="14">
        <v>0</v>
      </c>
      <c r="G4621" s="13">
        <v>33251203.5738</v>
      </c>
      <c r="H4621" s="14">
        <v>45166446512.676208</v>
      </c>
      <c r="I4621" s="14" t="e">
        <f>=Round(678730.75360000,0)</f>
        <v>#VALUE!</v>
      </c>
      <c r="J4621" s="14" t="e">
        <f>=Round(0.00000000,0)</f>
        <v>#VALUE!</v>
      </c>
    </row>
    <row r="4622">
      <c r="A4622" s="11" t="s">
        <v>37</v>
      </c>
      <c r="B4622" s="12">
        <v>1359.0395</v>
      </c>
      <c r="C4622" s="12">
        <v>0</v>
      </c>
      <c r="D4622" s="13">
        <v>0</v>
      </c>
      <c r="E4622" s="12">
        <v>0</v>
      </c>
      <c r="F4622" s="14">
        <v>0</v>
      </c>
      <c r="G4622" s="13">
        <v>33251203.5738</v>
      </c>
      <c r="H4622" s="14">
        <v>45189699079.335365</v>
      </c>
      <c r="I4622" s="14" t="e">
        <f>=Round(678730.75360000,0)</f>
        <v>#VALUE!</v>
      </c>
      <c r="J4622" s="14" t="e">
        <f>=Round(0.00000000,0)</f>
        <v>#VALUE!</v>
      </c>
    </row>
    <row r="4623">
      <c r="A4623" s="11" t="s">
        <v>38</v>
      </c>
      <c r="B4623" s="12">
        <v>1359.2726</v>
      </c>
      <c r="C4623" s="12">
        <v>0</v>
      </c>
      <c r="D4623" s="13">
        <v>0</v>
      </c>
      <c r="E4623" s="12">
        <v>0</v>
      </c>
      <c r="F4623" s="14">
        <v>0</v>
      </c>
      <c r="G4623" s="13">
        <v>33251203.5738</v>
      </c>
      <c r="H4623" s="14">
        <v>45197449934.888412</v>
      </c>
      <c r="I4623" s="14" t="e">
        <f>=Round(679080.17740000,0)</f>
        <v>#VALUE!</v>
      </c>
      <c r="J4623" s="14" t="e">
        <f>=Round(0.00000000,0)</f>
        <v>#VALUE!</v>
      </c>
    </row>
    <row r="4624">
      <c r="A4624" s="11" t="s">
        <v>39</v>
      </c>
      <c r="B4624" s="12">
        <v>1359.5048</v>
      </c>
      <c r="C4624" s="12">
        <v>0</v>
      </c>
      <c r="D4624" s="13">
        <v>0</v>
      </c>
      <c r="E4624" s="12">
        <v>0</v>
      </c>
      <c r="F4624" s="14">
        <v>0</v>
      </c>
      <c r="G4624" s="13">
        <v>33251203.5738</v>
      </c>
      <c r="H4624" s="14">
        <v>45205170864.358253</v>
      </c>
      <c r="I4624" s="14" t="e">
        <f>=Round(679196.65200000,0)</f>
        <v>#VALUE!</v>
      </c>
      <c r="J4624" s="14" t="e">
        <f>=Round(0.00000000,0)</f>
        <v>#VALUE!</v>
      </c>
    </row>
    <row r="4625">
      <c r="A4625" s="11" t="s">
        <v>40</v>
      </c>
      <c r="B4625" s="12">
        <v>1359.7365</v>
      </c>
      <c r="C4625" s="12">
        <v>0</v>
      </c>
      <c r="D4625" s="13">
        <v>0</v>
      </c>
      <c r="E4625" s="12">
        <v>0</v>
      </c>
      <c r="F4625" s="14">
        <v>0</v>
      </c>
      <c r="G4625" s="13">
        <v>33251203.5738</v>
      </c>
      <c r="H4625" s="14">
        <v>45212875168.2263</v>
      </c>
      <c r="I4625" s="14" t="e">
        <f>=Round(679312.67690000,0)</f>
        <v>#VALUE!</v>
      </c>
      <c r="J4625" s="14" t="e">
        <f>=Round(0.00000000,0)</f>
        <v>#VALUE!</v>
      </c>
    </row>
    <row r="4626">
      <c r="A4626" s="11" t="s">
        <v>41</v>
      </c>
      <c r="B4626" s="12">
        <v>1359.979</v>
      </c>
      <c r="C4626" s="12">
        <v>0</v>
      </c>
      <c r="D4626" s="13">
        <v>0</v>
      </c>
      <c r="E4626" s="12">
        <v>0</v>
      </c>
      <c r="F4626" s="14">
        <v>0</v>
      </c>
      <c r="G4626" s="13">
        <v>33251203.5738</v>
      </c>
      <c r="H4626" s="14">
        <v>45220938585.092949</v>
      </c>
      <c r="I4626" s="14" t="e">
        <f>=Round(679428.45200000,0)</f>
        <v>#VALUE!</v>
      </c>
      <c r="J4626" s="14" t="e">
        <f>=Round(0.00000000,0)</f>
        <v>#VALUE!</v>
      </c>
    </row>
    <row r="4627">
      <c r="A4627" s="11" t="s">
        <v>42</v>
      </c>
      <c r="B4627" s="12">
        <v>1359.979</v>
      </c>
      <c r="C4627" s="12">
        <v>0</v>
      </c>
      <c r="D4627" s="13">
        <v>0</v>
      </c>
      <c r="E4627" s="12">
        <v>0</v>
      </c>
      <c r="F4627" s="14">
        <v>0</v>
      </c>
      <c r="G4627" s="13">
        <v>33251203.5738</v>
      </c>
      <c r="H4627" s="14">
        <v>45220938585.092949</v>
      </c>
      <c r="I4627" s="14" t="e">
        <f>=Round(679549.62350000,0)</f>
        <v>#VALUE!</v>
      </c>
      <c r="J4627" s="14" t="e">
        <f>=Round(0.00000000,0)</f>
        <v>#VALUE!</v>
      </c>
    </row>
    <row r="4628">
      <c r="A4628" s="11" t="s">
        <v>43</v>
      </c>
      <c r="B4628" s="12">
        <v>1359.979</v>
      </c>
      <c r="C4628" s="12">
        <v>0</v>
      </c>
      <c r="D4628" s="13">
        <v>0</v>
      </c>
      <c r="E4628" s="12">
        <v>0</v>
      </c>
      <c r="F4628" s="14">
        <v>0</v>
      </c>
      <c r="G4628" s="13">
        <v>33251203.5738</v>
      </c>
      <c r="H4628" s="14">
        <v>45220938585.092949</v>
      </c>
      <c r="I4628" s="14" t="e">
        <f>=Round(679549.62350000,0)</f>
        <v>#VALUE!</v>
      </c>
      <c r="J4628" s="14" t="e">
        <f>=Round(0.00000000,0)</f>
        <v>#VALUE!</v>
      </c>
    </row>
    <row r="4629">
      <c r="A4629" s="11" t="s">
        <v>44</v>
      </c>
      <c r="B4629" s="12">
        <v>1360.6758</v>
      </c>
      <c r="C4629" s="12">
        <v>0</v>
      </c>
      <c r="D4629" s="13">
        <v>0</v>
      </c>
      <c r="E4629" s="12">
        <v>0</v>
      </c>
      <c r="F4629" s="14">
        <v>0</v>
      </c>
      <c r="G4629" s="13">
        <v>33251203.5738</v>
      </c>
      <c r="H4629" s="14">
        <v>45244108023.743179</v>
      </c>
      <c r="I4629" s="14" t="e">
        <f>=Round(679549.62350000,0)</f>
        <v>#VALUE!</v>
      </c>
      <c r="J4629" s="14" t="e">
        <f>=Round(0.00000000,0)</f>
        <v>#VALUE!</v>
      </c>
    </row>
    <row r="4630">
      <c r="A4630" s="11" t="s">
        <v>45</v>
      </c>
      <c r="B4630" s="12">
        <v>1360.9062</v>
      </c>
      <c r="C4630" s="12">
        <v>0</v>
      </c>
      <c r="D4630" s="13">
        <v>0</v>
      </c>
      <c r="E4630" s="12">
        <v>0</v>
      </c>
      <c r="F4630" s="14">
        <v>0</v>
      </c>
      <c r="G4630" s="13">
        <v>33251203.5738</v>
      </c>
      <c r="H4630" s="14">
        <v>45251769101.046577</v>
      </c>
      <c r="I4630" s="14" t="e">
        <f>=Round(679897.79820000,0)</f>
        <v>#VALUE!</v>
      </c>
      <c r="J4630" s="14" t="e">
        <f>=Round(0.00000000,0)</f>
        <v>#VALUE!</v>
      </c>
    </row>
    <row r="4631">
      <c r="A4631" s="11" t="s">
        <v>46</v>
      </c>
      <c r="B4631" s="12">
        <v>1361.137</v>
      </c>
      <c r="C4631" s="12">
        <v>0</v>
      </c>
      <c r="D4631" s="13">
        <v>0</v>
      </c>
      <c r="E4631" s="12">
        <v>0</v>
      </c>
      <c r="F4631" s="14">
        <v>0</v>
      </c>
      <c r="G4631" s="13">
        <v>33251203.5738</v>
      </c>
      <c r="H4631" s="14">
        <v>45259443478.831406</v>
      </c>
      <c r="I4631" s="14" t="e">
        <f>=Round(680012.92360000,0)</f>
        <v>#VALUE!</v>
      </c>
      <c r="J4631" s="14" t="e">
        <f>=Round(0.00000000,0)</f>
        <v>#VALUE!</v>
      </c>
    </row>
    <row r="4632">
      <c r="A4632" s="11" t="s">
        <v>47</v>
      </c>
      <c r="B4632" s="12">
        <v>1361.367</v>
      </c>
      <c r="C4632" s="12">
        <v>0</v>
      </c>
      <c r="D4632" s="13">
        <v>0</v>
      </c>
      <c r="E4632" s="12">
        <v>0</v>
      </c>
      <c r="F4632" s="14">
        <v>0</v>
      </c>
      <c r="G4632" s="13">
        <v>33251203.5738</v>
      </c>
      <c r="H4632" s="14">
        <v>45267091255.653381</v>
      </c>
      <c r="I4632" s="14" t="e">
        <f>=Round(680128.24900000,0)</f>
        <v>#VALUE!</v>
      </c>
      <c r="J4632" s="14" t="e">
        <f>=Round(0.00000000,0)</f>
        <v>#VALUE!</v>
      </c>
    </row>
    <row r="4633">
      <c r="A4633" s="11" t="s">
        <v>48</v>
      </c>
      <c r="B4633" s="12">
        <v>1361.6195</v>
      </c>
      <c r="C4633" s="12">
        <v>0</v>
      </c>
      <c r="D4633" s="13">
        <v>0</v>
      </c>
      <c r="E4633" s="12">
        <v>0</v>
      </c>
      <c r="F4633" s="14">
        <v>0</v>
      </c>
      <c r="G4633" s="13">
        <v>33251203.5738</v>
      </c>
      <c r="H4633" s="14">
        <v>45275487184.555771</v>
      </c>
      <c r="I4633" s="14" t="e">
        <f>=Round(680243.17460000,0)</f>
        <v>#VALUE!</v>
      </c>
      <c r="J4633" s="14" t="e">
        <f>=Round(0.00000000,0)</f>
        <v>#VALUE!</v>
      </c>
    </row>
    <row r="4634">
      <c r="A4634" s="11" t="s">
        <v>49</v>
      </c>
      <c r="B4634" s="12">
        <v>1361.6195</v>
      </c>
      <c r="C4634" s="12">
        <v>0</v>
      </c>
      <c r="D4634" s="13">
        <v>0</v>
      </c>
      <c r="E4634" s="12">
        <v>0</v>
      </c>
      <c r="F4634" s="14">
        <v>0</v>
      </c>
      <c r="G4634" s="13">
        <v>33251203.5738</v>
      </c>
      <c r="H4634" s="14">
        <v>45275487184.555771</v>
      </c>
      <c r="I4634" s="14" t="e">
        <f>=Round(680369.34290000,0)</f>
        <v>#VALUE!</v>
      </c>
      <c r="J4634" s="14" t="e">
        <f>=Round(0.00000000,0)</f>
        <v>#VALUE!</v>
      </c>
    </row>
    <row r="4635">
      <c r="A4635" s="11" t="s">
        <v>50</v>
      </c>
      <c r="B4635" s="12">
        <v>1361.6195</v>
      </c>
      <c r="C4635" s="12">
        <v>0</v>
      </c>
      <c r="D4635" s="13">
        <v>0</v>
      </c>
      <c r="E4635" s="12">
        <v>0</v>
      </c>
      <c r="F4635" s="14">
        <v>0</v>
      </c>
      <c r="G4635" s="13">
        <v>33251203.5738</v>
      </c>
      <c r="H4635" s="14">
        <v>45275487184.555771</v>
      </c>
      <c r="I4635" s="14" t="e">
        <f>=Round(680369.34290000,0)</f>
        <v>#VALUE!</v>
      </c>
      <c r="J4635" s="14" t="e">
        <f>=Round(0.00000000,0)</f>
        <v>#VALUE!</v>
      </c>
    </row>
    <row r="4636">
      <c r="A4636" s="11" t="s">
        <v>51</v>
      </c>
      <c r="B4636" s="12">
        <v>1362.3425</v>
      </c>
      <c r="C4636" s="12">
        <v>0</v>
      </c>
      <c r="D4636" s="13">
        <v>0</v>
      </c>
      <c r="E4636" s="12">
        <v>0</v>
      </c>
      <c r="F4636" s="14">
        <v>0</v>
      </c>
      <c r="G4636" s="13">
        <v>33251203.5738</v>
      </c>
      <c r="H4636" s="14">
        <v>45299527804.739624</v>
      </c>
      <c r="I4636" s="14" t="e">
        <f>=Round(680369.34290000,0)</f>
        <v>#VALUE!</v>
      </c>
      <c r="J4636" s="14" t="e">
        <f>=Round(0.00000000,0)</f>
        <v>#VALUE!</v>
      </c>
    </row>
    <row r="4637">
      <c r="A4637" s="11" t="s">
        <v>52</v>
      </c>
      <c r="B4637" s="12">
        <v>1362.5746</v>
      </c>
      <c r="C4637" s="12">
        <v>0</v>
      </c>
      <c r="D4637" s="13">
        <v>0</v>
      </c>
      <c r="E4637" s="12">
        <v>0</v>
      </c>
      <c r="F4637" s="14">
        <v>0</v>
      </c>
      <c r="G4637" s="13">
        <v>33251203.5738</v>
      </c>
      <c r="H4637" s="14">
        <v>45307245409.0891</v>
      </c>
      <c r="I4637" s="14" t="e">
        <f>=Round(680730.60910000,0)</f>
        <v>#VALUE!</v>
      </c>
      <c r="J4637" s="14" t="e">
        <f>=Round(0.00000000,0)</f>
        <v>#VALUE!</v>
      </c>
    </row>
    <row r="4638">
      <c r="A4638" s="11" t="s">
        <v>53</v>
      </c>
      <c r="B4638" s="12">
        <v>1362.8067</v>
      </c>
      <c r="C4638" s="12">
        <v>0</v>
      </c>
      <c r="D4638" s="13">
        <v>0</v>
      </c>
      <c r="E4638" s="12">
        <v>0</v>
      </c>
      <c r="F4638" s="14">
        <v>0</v>
      </c>
      <c r="G4638" s="13">
        <v>33251203.5738</v>
      </c>
      <c r="H4638" s="14">
        <v>45314963013.438583</v>
      </c>
      <c r="I4638" s="14" t="e">
        <f>=Round(680846.58400000,0)</f>
        <v>#VALUE!</v>
      </c>
      <c r="J4638" s="14" t="e">
        <f>=Round(0.00000000,0)</f>
        <v>#VALUE!</v>
      </c>
    </row>
    <row r="4639">
      <c r="A4639" s="11" t="s">
        <v>54</v>
      </c>
      <c r="B4639" s="12">
        <v>1363.0394</v>
      </c>
      <c r="C4639" s="12">
        <v>0</v>
      </c>
      <c r="D4639" s="13">
        <v>0</v>
      </c>
      <c r="E4639" s="12">
        <v>0</v>
      </c>
      <c r="F4639" s="14">
        <v>0</v>
      </c>
      <c r="G4639" s="13">
        <v>33251203.5738</v>
      </c>
      <c r="H4639" s="14">
        <v>45322700568.510208</v>
      </c>
      <c r="I4639" s="14" t="e">
        <f>=Round(680962.55890000,0)</f>
        <v>#VALUE!</v>
      </c>
      <c r="J4639" s="14" t="e">
        <f>=Round(0.00000000,0)</f>
        <v>#VALUE!</v>
      </c>
    </row>
    <row r="4640">
      <c r="A4640" s="11" t="s">
        <v>55</v>
      </c>
      <c r="B4640" s="12">
        <v>1363.274</v>
      </c>
      <c r="C4640" s="12">
        <v>0</v>
      </c>
      <c r="D4640" s="13">
        <v>0</v>
      </c>
      <c r="E4640" s="12">
        <v>0</v>
      </c>
      <c r="F4640" s="14">
        <v>0</v>
      </c>
      <c r="G4640" s="13">
        <v>33251203.5738</v>
      </c>
      <c r="H4640" s="14">
        <v>45330501300.868622</v>
      </c>
      <c r="I4640" s="14" t="e">
        <f>=Round(681078.83370000,0)</f>
        <v>#VALUE!</v>
      </c>
      <c r="J4640" s="14" t="e">
        <f>=Round(0.00000000,0)</f>
        <v>#VALUE!</v>
      </c>
    </row>
    <row r="4641" ht="-1">
      <c r="A4641" s="15"/>
      <c r="B4641" s="16" t="s">
        <v>56</v>
      </c>
      <c r="C4641" s="15"/>
      <c r="D4641" s="15"/>
      <c r="E4641" s="15"/>
      <c r="F4641" s="15"/>
      <c r="G4641" s="15"/>
      <c r="H4641" s="15"/>
      <c r="I4641" s="17" t="e">
        <f>=Round(SUM(I4615:I4640),0)</f>
        <v>#VALUE!</v>
      </c>
      <c r="J4641" s="17" t="e">
        <f>=Round(SUM(J4615:J4640),0)</f>
        <v>#VALUE!</v>
      </c>
    </row>
    <row r="4642">
      <c r="A4642" s="1" t="s">
        <v>0</v>
      </c>
      <c r="B4642" s="1"/>
      <c r="C4642" s="1"/>
      <c r="D4642" s="1"/>
    </row>
    <row r="4643">
      <c r="A4643" s="0" t="s">
        <v>1</v>
      </c>
      <c r="C4643" s="0" t="s">
        <v>144</v>
      </c>
      <c r="H4643" s="2" t="s">
        <v>3</v>
      </c>
    </row>
    <row r="4644">
      <c r="A4644" s="0" t="s">
        <v>4</v>
      </c>
      <c r="C4644" s="0" t="s">
        <v>176</v>
      </c>
      <c r="H4644" s="3" t="s">
        <v>6</v>
      </c>
    </row>
    <row r="4645">
      <c r="A4645" s="0" t="s">
        <v>7</v>
      </c>
      <c r="C4645" s="4" t="s">
        <v>146</v>
      </c>
      <c r="H4645" s="2" t="s">
        <v>9</v>
      </c>
    </row>
    <row r="4646">
      <c r="A4646" s="0" t="s">
        <v>10</v>
      </c>
      <c r="C4646" s="4" t="s">
        <v>11</v>
      </c>
      <c r="H4646" s="2" t="s">
        <v>12</v>
      </c>
    </row>
    <row r="4647">
      <c r="A4647" s="0" t="s">
        <v>13</v>
      </c>
      <c r="C4647" s="0" t="s">
        <v>14</v>
      </c>
    </row>
    <row r="4648">
      <c r="A4648" s="0" t="s">
        <v>15</v>
      </c>
      <c r="C4648" s="0" t="s">
        <v>16</v>
      </c>
    </row>
    <row r="4649">
      <c r="A4649" s="0" t="s">
        <v>17</v>
      </c>
      <c r="C4649" s="0" t="s">
        <v>18</v>
      </c>
    </row>
    <row r="4652">
      <c r="A4652" s="5" t="s">
        <v>19</v>
      </c>
      <c r="B4652" s="5" t="s">
        <v>20</v>
      </c>
      <c r="C4652" s="7" t="s">
        <v>21</v>
      </c>
      <c r="D4652" s="9"/>
      <c r="E4652" s="7" t="s">
        <v>22</v>
      </c>
      <c r="F4652" s="9"/>
      <c r="G4652" s="5" t="s">
        <v>23</v>
      </c>
      <c r="H4652" s="5" t="s">
        <v>24</v>
      </c>
      <c r="I4652" s="5" t="s">
        <v>147</v>
      </c>
      <c r="J4652" s="5" t="s">
        <v>26</v>
      </c>
    </row>
    <row r="4653">
      <c r="A4653" s="6"/>
      <c r="B4653" s="6"/>
      <c r="C4653" s="8" t="s">
        <v>27</v>
      </c>
      <c r="D4653" s="8" t="s">
        <v>28</v>
      </c>
      <c r="E4653" s="8" t="s">
        <v>27</v>
      </c>
      <c r="F4653" s="8" t="s">
        <v>28</v>
      </c>
      <c r="G4653" s="6"/>
      <c r="H4653" s="6"/>
      <c r="I4653" s="10" t="s">
        <v>29</v>
      </c>
      <c r="J4653" s="6"/>
    </row>
    <row r="4654">
      <c r="A4654" s="11" t="s">
        <v>30</v>
      </c>
      <c r="B4654" s="12">
        <v>1357.4104</v>
      </c>
      <c r="C4654" s="12">
        <v>0</v>
      </c>
      <c r="D4654" s="13">
        <v>0</v>
      </c>
      <c r="E4654" s="12">
        <v>0</v>
      </c>
      <c r="F4654" s="14">
        <v>0</v>
      </c>
      <c r="G4654" s="13">
        <v>37018527.7732</v>
      </c>
      <c r="H4654" s="14">
        <v>50249334592.030518</v>
      </c>
      <c r="I4654" s="14" t="e">
        <f>=Round(754726.83110000,0)</f>
        <v>#VALUE!</v>
      </c>
      <c r="J4654" s="14" t="e">
        <f>=Round(0.00000000,0)</f>
        <v>#VALUE!</v>
      </c>
    </row>
    <row r="4655">
      <c r="A4655" s="11" t="s">
        <v>31</v>
      </c>
      <c r="B4655" s="12">
        <v>1357.6428</v>
      </c>
      <c r="C4655" s="12">
        <v>0</v>
      </c>
      <c r="D4655" s="13">
        <v>0</v>
      </c>
      <c r="E4655" s="12">
        <v>0</v>
      </c>
      <c r="F4655" s="14">
        <v>0</v>
      </c>
      <c r="G4655" s="13">
        <v>37018527.7732</v>
      </c>
      <c r="H4655" s="14">
        <v>50257937697.885017</v>
      </c>
      <c r="I4655" s="14" t="e">
        <f>=Round(755112.95150000,0)</f>
        <v>#VALUE!</v>
      </c>
      <c r="J4655" s="14" t="e">
        <f>=Round(0.00000000,0)</f>
        <v>#VALUE!</v>
      </c>
    </row>
    <row r="4656">
      <c r="A4656" s="11" t="s">
        <v>32</v>
      </c>
      <c r="B4656" s="12">
        <v>1357.8735</v>
      </c>
      <c r="C4656" s="12">
        <v>0</v>
      </c>
      <c r="D4656" s="13">
        <v>0</v>
      </c>
      <c r="E4656" s="12">
        <v>0</v>
      </c>
      <c r="F4656" s="14">
        <v>0</v>
      </c>
      <c r="G4656" s="13">
        <v>37018527.7732</v>
      </c>
      <c r="H4656" s="14">
        <v>50266477872.242287</v>
      </c>
      <c r="I4656" s="14" t="e">
        <f>=Round(755242.23320000,0)</f>
        <v>#VALUE!</v>
      </c>
      <c r="J4656" s="14" t="e">
        <f>=Round(0.00000000,0)</f>
        <v>#VALUE!</v>
      </c>
    </row>
    <row r="4657">
      <c r="A4657" s="11" t="s">
        <v>33</v>
      </c>
      <c r="B4657" s="12">
        <v>1358.1079</v>
      </c>
      <c r="C4657" s="12">
        <v>0</v>
      </c>
      <c r="D4657" s="13">
        <v>0</v>
      </c>
      <c r="E4657" s="12">
        <v>0</v>
      </c>
      <c r="F4657" s="14">
        <v>0</v>
      </c>
      <c r="G4657" s="13">
        <v>37018527.7732</v>
      </c>
      <c r="H4657" s="14">
        <v>50275155015.152328</v>
      </c>
      <c r="I4657" s="14" t="e">
        <f>=Round(755370.56910000,0)</f>
        <v>#VALUE!</v>
      </c>
      <c r="J4657" s="14" t="e">
        <f>=Round(0.00000000,0)</f>
        <v>#VALUE!</v>
      </c>
    </row>
    <row r="4658">
      <c r="A4658" s="11" t="s">
        <v>34</v>
      </c>
      <c r="B4658" s="12">
        <v>1358.3402</v>
      </c>
      <c r="C4658" s="12">
        <v>0</v>
      </c>
      <c r="D4658" s="13">
        <v>0</v>
      </c>
      <c r="E4658" s="12">
        <v>0</v>
      </c>
      <c r="F4658" s="14">
        <v>0</v>
      </c>
      <c r="G4658" s="13">
        <v>37018527.7732</v>
      </c>
      <c r="H4658" s="14">
        <v>50283754419.154037</v>
      </c>
      <c r="I4658" s="14" t="e">
        <f>=Round(755500.96330000,0)</f>
        <v>#VALUE!</v>
      </c>
      <c r="J4658" s="14" t="e">
        <f>=Round(0.00000000,0)</f>
        <v>#VALUE!</v>
      </c>
    </row>
    <row r="4659">
      <c r="A4659" s="11" t="s">
        <v>35</v>
      </c>
      <c r="B4659" s="12">
        <v>1358.3402</v>
      </c>
      <c r="C4659" s="12">
        <v>0</v>
      </c>
      <c r="D4659" s="13">
        <v>0</v>
      </c>
      <c r="E4659" s="12">
        <v>0</v>
      </c>
      <c r="F4659" s="14">
        <v>0</v>
      </c>
      <c r="G4659" s="13">
        <v>37018527.7732</v>
      </c>
      <c r="H4659" s="14">
        <v>50283754419.154037</v>
      </c>
      <c r="I4659" s="14" t="e">
        <f>=Round(755630.18940000,0)</f>
        <v>#VALUE!</v>
      </c>
      <c r="J4659" s="14" t="e">
        <f>=Round(0.00000000,0)</f>
        <v>#VALUE!</v>
      </c>
    </row>
    <row r="4660">
      <c r="A4660" s="11" t="s">
        <v>36</v>
      </c>
      <c r="B4660" s="12">
        <v>1358.3402</v>
      </c>
      <c r="C4660" s="12">
        <v>0</v>
      </c>
      <c r="D4660" s="13">
        <v>0</v>
      </c>
      <c r="E4660" s="12">
        <v>0</v>
      </c>
      <c r="F4660" s="14">
        <v>0</v>
      </c>
      <c r="G4660" s="13">
        <v>37018527.7732</v>
      </c>
      <c r="H4660" s="14">
        <v>50283754419.154037</v>
      </c>
      <c r="I4660" s="14" t="e">
        <f>=Round(755630.18940000,0)</f>
        <v>#VALUE!</v>
      </c>
      <c r="J4660" s="14" t="e">
        <f>=Round(0.00000000,0)</f>
        <v>#VALUE!</v>
      </c>
    </row>
    <row r="4661">
      <c r="A4661" s="11" t="s">
        <v>37</v>
      </c>
      <c r="B4661" s="12">
        <v>1359.0395</v>
      </c>
      <c r="C4661" s="12">
        <v>0</v>
      </c>
      <c r="D4661" s="13">
        <v>0</v>
      </c>
      <c r="E4661" s="12">
        <v>0</v>
      </c>
      <c r="F4661" s="14">
        <v>0</v>
      </c>
      <c r="G4661" s="13">
        <v>37018527.7732</v>
      </c>
      <c r="H4661" s="14">
        <v>50309641475.625839</v>
      </c>
      <c r="I4661" s="14" t="e">
        <f>=Round(755630.18940000,0)</f>
        <v>#VALUE!</v>
      </c>
      <c r="J4661" s="14" t="e">
        <f>=Round(0.00000000,0)</f>
        <v>#VALUE!</v>
      </c>
    </row>
    <row r="4662">
      <c r="A4662" s="11" t="s">
        <v>38</v>
      </c>
      <c r="B4662" s="12">
        <v>1359.2726</v>
      </c>
      <c r="C4662" s="12">
        <v>0</v>
      </c>
      <c r="D4662" s="13">
        <v>0</v>
      </c>
      <c r="E4662" s="12">
        <v>0</v>
      </c>
      <c r="F4662" s="14">
        <v>0</v>
      </c>
      <c r="G4662" s="13">
        <v>37018527.7732</v>
      </c>
      <c r="H4662" s="14">
        <v>50318270494.449776</v>
      </c>
      <c r="I4662" s="14" t="e">
        <f>=Round(756019.20250000,0)</f>
        <v>#VALUE!</v>
      </c>
      <c r="J4662" s="14" t="e">
        <f>=Round(0.00000000,0)</f>
        <v>#VALUE!</v>
      </c>
    </row>
    <row r="4663">
      <c r="A4663" s="11" t="s">
        <v>39</v>
      </c>
      <c r="B4663" s="12">
        <v>1359.5048</v>
      </c>
      <c r="C4663" s="12">
        <v>0</v>
      </c>
      <c r="D4663" s="13">
        <v>0</v>
      </c>
      <c r="E4663" s="12">
        <v>0</v>
      </c>
      <c r="F4663" s="14">
        <v>0</v>
      </c>
      <c r="G4663" s="13">
        <v>37018527.7732</v>
      </c>
      <c r="H4663" s="14">
        <v>50326866196.598709</v>
      </c>
      <c r="I4663" s="14" t="e">
        <f>=Round(756148.87360000,0)</f>
        <v>#VALUE!</v>
      </c>
      <c r="J4663" s="14" t="e">
        <f>=Round(0.00000000,0)</f>
        <v>#VALUE!</v>
      </c>
    </row>
    <row r="4664">
      <c r="A4664" s="11" t="s">
        <v>40</v>
      </c>
      <c r="B4664" s="12">
        <v>1359.7365</v>
      </c>
      <c r="C4664" s="12">
        <v>0</v>
      </c>
      <c r="D4664" s="13">
        <v>0</v>
      </c>
      <c r="E4664" s="12">
        <v>0</v>
      </c>
      <c r="F4664" s="14">
        <v>0</v>
      </c>
      <c r="G4664" s="13">
        <v>37018527.7732</v>
      </c>
      <c r="H4664" s="14">
        <v>50335443389.483757</v>
      </c>
      <c r="I4664" s="14" t="e">
        <f>=Round(756278.04390000,0)</f>
        <v>#VALUE!</v>
      </c>
      <c r="J4664" s="14" t="e">
        <f>=Round(0.00000000,0)</f>
        <v>#VALUE!</v>
      </c>
    </row>
    <row r="4665">
      <c r="A4665" s="11" t="s">
        <v>41</v>
      </c>
      <c r="B4665" s="12">
        <v>1359.979</v>
      </c>
      <c r="C4665" s="12">
        <v>0</v>
      </c>
      <c r="D4665" s="13">
        <v>0</v>
      </c>
      <c r="E4665" s="12">
        <v>0</v>
      </c>
      <c r="F4665" s="14">
        <v>0</v>
      </c>
      <c r="G4665" s="13">
        <v>37018527.7732</v>
      </c>
      <c r="H4665" s="14">
        <v>50344420382.468758</v>
      </c>
      <c r="I4665" s="14" t="e">
        <f>=Round(756406.93620000,0)</f>
        <v>#VALUE!</v>
      </c>
      <c r="J4665" s="14" t="e">
        <f>=Round(0.00000000,0)</f>
        <v>#VALUE!</v>
      </c>
    </row>
    <row r="4666">
      <c r="A4666" s="11" t="s">
        <v>42</v>
      </c>
      <c r="B4666" s="12">
        <v>1359.979</v>
      </c>
      <c r="C4666" s="12">
        <v>0</v>
      </c>
      <c r="D4666" s="13">
        <v>0</v>
      </c>
      <c r="E4666" s="12">
        <v>0</v>
      </c>
      <c r="F4666" s="14">
        <v>0</v>
      </c>
      <c r="G4666" s="13">
        <v>37018527.7732</v>
      </c>
      <c r="H4666" s="14">
        <v>50344420382.468758</v>
      </c>
      <c r="I4666" s="14" t="e">
        <f>=Round(756541.83630000,0)</f>
        <v>#VALUE!</v>
      </c>
      <c r="J4666" s="14" t="e">
        <f>=Round(0.00000000,0)</f>
        <v>#VALUE!</v>
      </c>
    </row>
    <row r="4667">
      <c r="A4667" s="11" t="s">
        <v>43</v>
      </c>
      <c r="B4667" s="12">
        <v>1359.979</v>
      </c>
      <c r="C4667" s="12">
        <v>0</v>
      </c>
      <c r="D4667" s="13">
        <v>0</v>
      </c>
      <c r="E4667" s="12">
        <v>0</v>
      </c>
      <c r="F4667" s="14">
        <v>0</v>
      </c>
      <c r="G4667" s="13">
        <v>37018527.7732</v>
      </c>
      <c r="H4667" s="14">
        <v>50344420382.468758</v>
      </c>
      <c r="I4667" s="14" t="e">
        <f>=Round(756541.83630000,0)</f>
        <v>#VALUE!</v>
      </c>
      <c r="J4667" s="14" t="e">
        <f>=Round(0.00000000,0)</f>
        <v>#VALUE!</v>
      </c>
    </row>
    <row r="4668">
      <c r="A4668" s="11" t="s">
        <v>44</v>
      </c>
      <c r="B4668" s="12">
        <v>1360.6758</v>
      </c>
      <c r="C4668" s="12">
        <v>0</v>
      </c>
      <c r="D4668" s="13">
        <v>0</v>
      </c>
      <c r="E4668" s="12">
        <v>0</v>
      </c>
      <c r="F4668" s="14">
        <v>0</v>
      </c>
      <c r="G4668" s="13">
        <v>37018527.7732</v>
      </c>
      <c r="H4668" s="14">
        <v>50370214892.621124</v>
      </c>
      <c r="I4668" s="14" t="e">
        <f>=Round(756541.83630000,0)</f>
        <v>#VALUE!</v>
      </c>
      <c r="J4668" s="14" t="e">
        <f>=Round(0.00000000,0)</f>
        <v>#VALUE!</v>
      </c>
    </row>
    <row r="4669">
      <c r="A4669" s="11" t="s">
        <v>45</v>
      </c>
      <c r="B4669" s="12">
        <v>1360.9062</v>
      </c>
      <c r="C4669" s="12">
        <v>0</v>
      </c>
      <c r="D4669" s="13">
        <v>0</v>
      </c>
      <c r="E4669" s="12">
        <v>0</v>
      </c>
      <c r="F4669" s="14">
        <v>0</v>
      </c>
      <c r="G4669" s="13">
        <v>37018527.7732</v>
      </c>
      <c r="H4669" s="14">
        <v>50378743961.420074</v>
      </c>
      <c r="I4669" s="14" t="e">
        <f>=Round(756929.45880000,0)</f>
        <v>#VALUE!</v>
      </c>
      <c r="J4669" s="14" t="e">
        <f>=Round(0.00000000,0)</f>
        <v>#VALUE!</v>
      </c>
    </row>
    <row r="4670">
      <c r="A4670" s="11" t="s">
        <v>46</v>
      </c>
      <c r="B4670" s="12">
        <v>1361.137</v>
      </c>
      <c r="C4670" s="12">
        <v>0</v>
      </c>
      <c r="D4670" s="13">
        <v>0</v>
      </c>
      <c r="E4670" s="12">
        <v>0</v>
      </c>
      <c r="F4670" s="14">
        <v>0</v>
      </c>
      <c r="G4670" s="13">
        <v>37018527.7732</v>
      </c>
      <c r="H4670" s="14">
        <v>50387287837.630127</v>
      </c>
      <c r="I4670" s="14" t="e">
        <f>=Round(757057.62780000,0)</f>
        <v>#VALUE!</v>
      </c>
      <c r="J4670" s="14" t="e">
        <f>=Round(0.00000000,0)</f>
        <v>#VALUE!</v>
      </c>
    </row>
    <row r="4671">
      <c r="A4671" s="11" t="s">
        <v>47</v>
      </c>
      <c r="B4671" s="12">
        <v>1361.367</v>
      </c>
      <c r="C4671" s="12">
        <v>0</v>
      </c>
      <c r="D4671" s="13">
        <v>0</v>
      </c>
      <c r="E4671" s="12">
        <v>0</v>
      </c>
      <c r="F4671" s="14">
        <v>0</v>
      </c>
      <c r="G4671" s="13">
        <v>37018527.7732</v>
      </c>
      <c r="H4671" s="14">
        <v>50395802099.017967</v>
      </c>
      <c r="I4671" s="14" t="e">
        <f>=Round(757186.01940000,0)</f>
        <v>#VALUE!</v>
      </c>
      <c r="J4671" s="14" t="e">
        <f>=Round(0.00000000,0)</f>
        <v>#VALUE!</v>
      </c>
    </row>
    <row r="4672">
      <c r="A4672" s="11" t="s">
        <v>48</v>
      </c>
      <c r="B4672" s="12">
        <v>1361.6195</v>
      </c>
      <c r="C4672" s="12">
        <v>0</v>
      </c>
      <c r="D4672" s="13">
        <v>0</v>
      </c>
      <c r="E4672" s="12">
        <v>0</v>
      </c>
      <c r="F4672" s="14">
        <v>0</v>
      </c>
      <c r="G4672" s="13">
        <v>37018527.7732</v>
      </c>
      <c r="H4672" s="14">
        <v>50405149277.280693</v>
      </c>
      <c r="I4672" s="14" t="e">
        <f>=Round(757313.96600000,0)</f>
        <v>#VALUE!</v>
      </c>
      <c r="J4672" s="14" t="e">
        <f>=Round(0.00000000,0)</f>
        <v>#VALUE!</v>
      </c>
    </row>
    <row r="4673">
      <c r="A4673" s="11" t="s">
        <v>49</v>
      </c>
      <c r="B4673" s="12">
        <v>1361.6195</v>
      </c>
      <c r="C4673" s="12">
        <v>0</v>
      </c>
      <c r="D4673" s="13">
        <v>0</v>
      </c>
      <c r="E4673" s="12">
        <v>0</v>
      </c>
      <c r="F4673" s="14">
        <v>0</v>
      </c>
      <c r="G4673" s="13">
        <v>37018527.7732</v>
      </c>
      <c r="H4673" s="14">
        <v>50405149277.280693</v>
      </c>
      <c r="I4673" s="14" t="e">
        <f>=Round(757454.42900000,0)</f>
        <v>#VALUE!</v>
      </c>
      <c r="J4673" s="14" t="e">
        <f>=Round(0.00000000,0)</f>
        <v>#VALUE!</v>
      </c>
    </row>
    <row r="4674">
      <c r="A4674" s="11" t="s">
        <v>50</v>
      </c>
      <c r="B4674" s="12">
        <v>1361.6195</v>
      </c>
      <c r="C4674" s="12">
        <v>0</v>
      </c>
      <c r="D4674" s="13">
        <v>0</v>
      </c>
      <c r="E4674" s="12">
        <v>0</v>
      </c>
      <c r="F4674" s="14">
        <v>0</v>
      </c>
      <c r="G4674" s="13">
        <v>37018527.7732</v>
      </c>
      <c r="H4674" s="14">
        <v>50405149277.280693</v>
      </c>
      <c r="I4674" s="14" t="e">
        <f>=Round(757454.42900000,0)</f>
        <v>#VALUE!</v>
      </c>
      <c r="J4674" s="14" t="e">
        <f>=Round(0.00000000,0)</f>
        <v>#VALUE!</v>
      </c>
    </row>
    <row r="4675">
      <c r="A4675" s="11" t="s">
        <v>51</v>
      </c>
      <c r="B4675" s="12">
        <v>1362.3425</v>
      </c>
      <c r="C4675" s="12">
        <v>0</v>
      </c>
      <c r="D4675" s="13">
        <v>0</v>
      </c>
      <c r="E4675" s="12">
        <v>0</v>
      </c>
      <c r="F4675" s="14">
        <v>0</v>
      </c>
      <c r="G4675" s="13">
        <v>37018527.7732</v>
      </c>
      <c r="H4675" s="14">
        <v>50431913672.860718</v>
      </c>
      <c r="I4675" s="14" t="e">
        <f>=Round(757454.42900000,0)</f>
        <v>#VALUE!</v>
      </c>
      <c r="J4675" s="14" t="e">
        <f>=Round(0.00000000,0)</f>
        <v>#VALUE!</v>
      </c>
    </row>
    <row r="4676">
      <c r="A4676" s="11" t="s">
        <v>52</v>
      </c>
      <c r="B4676" s="12">
        <v>1362.5746</v>
      </c>
      <c r="C4676" s="12">
        <v>0</v>
      </c>
      <c r="D4676" s="13">
        <v>0</v>
      </c>
      <c r="E4676" s="12">
        <v>0</v>
      </c>
      <c r="F4676" s="14">
        <v>0</v>
      </c>
      <c r="G4676" s="13">
        <v>37018527.7732</v>
      </c>
      <c r="H4676" s="14">
        <v>50440505673.156883</v>
      </c>
      <c r="I4676" s="14" t="e">
        <f>=Round(757856.62620000,0)</f>
        <v>#VALUE!</v>
      </c>
      <c r="J4676" s="14" t="e">
        <f>=Round(0.00000000,0)</f>
        <v>#VALUE!</v>
      </c>
    </row>
    <row r="4677">
      <c r="A4677" s="11" t="s">
        <v>53</v>
      </c>
      <c r="B4677" s="12">
        <v>1362.8067</v>
      </c>
      <c r="C4677" s="12">
        <v>0</v>
      </c>
      <c r="D4677" s="13">
        <v>0</v>
      </c>
      <c r="E4677" s="12">
        <v>0</v>
      </c>
      <c r="F4677" s="14">
        <v>0</v>
      </c>
      <c r="G4677" s="13">
        <v>37018527.7732</v>
      </c>
      <c r="H4677" s="14">
        <v>50449097673.453041</v>
      </c>
      <c r="I4677" s="14" t="e">
        <f>=Round(757985.74100000,0)</f>
        <v>#VALUE!</v>
      </c>
      <c r="J4677" s="14" t="e">
        <f>=Round(0.00000000,0)</f>
        <v>#VALUE!</v>
      </c>
    </row>
    <row r="4678">
      <c r="A4678" s="11" t="s">
        <v>54</v>
      </c>
      <c r="B4678" s="12">
        <v>1363.0394</v>
      </c>
      <c r="C4678" s="12">
        <v>0</v>
      </c>
      <c r="D4678" s="13">
        <v>0</v>
      </c>
      <c r="E4678" s="12">
        <v>0</v>
      </c>
      <c r="F4678" s="14">
        <v>0</v>
      </c>
      <c r="G4678" s="13">
        <v>37018527.7732</v>
      </c>
      <c r="H4678" s="14">
        <v>50457711884.865868</v>
      </c>
      <c r="I4678" s="14" t="e">
        <f>=Round(758114.85570000,0)</f>
        <v>#VALUE!</v>
      </c>
      <c r="J4678" s="14" t="e">
        <f>=Round(0.00000000,0)</f>
        <v>#VALUE!</v>
      </c>
    </row>
    <row r="4679">
      <c r="A4679" s="11" t="s">
        <v>55</v>
      </c>
      <c r="B4679" s="12">
        <v>1363.274</v>
      </c>
      <c r="C4679" s="12">
        <v>0</v>
      </c>
      <c r="D4679" s="13">
        <v>0</v>
      </c>
      <c r="E4679" s="12">
        <v>0</v>
      </c>
      <c r="F4679" s="14">
        <v>0</v>
      </c>
      <c r="G4679" s="13">
        <v>37018527.7732</v>
      </c>
      <c r="H4679" s="14">
        <v>50466396431.481453</v>
      </c>
      <c r="I4679" s="14" t="e">
        <f>=Round(758244.30430000,0)</f>
        <v>#VALUE!</v>
      </c>
      <c r="J4679" s="14" t="e">
        <f>=Round(0.00000000,0)</f>
        <v>#VALUE!</v>
      </c>
    </row>
    <row r="4680" ht="-1">
      <c r="A4680" s="15"/>
      <c r="B4680" s="16" t="s">
        <v>56</v>
      </c>
      <c r="C4680" s="15"/>
      <c r="D4680" s="15"/>
      <c r="E4680" s="15"/>
      <c r="F4680" s="15"/>
      <c r="G4680" s="15"/>
      <c r="H4680" s="15"/>
      <c r="I4680" s="17" t="e">
        <f>=Round(SUM(I4654:I4679),0)</f>
        <v>#VALUE!</v>
      </c>
      <c r="J4680" s="17" t="e">
        <f>=Round(SUM(J4654:J4679),0)</f>
        <v>#VALUE!</v>
      </c>
    </row>
    <row r="4681">
      <c r="A4681" s="1" t="s">
        <v>0</v>
      </c>
      <c r="B4681" s="1"/>
      <c r="C4681" s="1"/>
      <c r="D4681" s="1"/>
    </row>
    <row r="4682">
      <c r="A4682" s="0" t="s">
        <v>1</v>
      </c>
      <c r="C4682" s="0" t="s">
        <v>144</v>
      </c>
      <c r="H4682" s="2" t="s">
        <v>3</v>
      </c>
    </row>
    <row r="4683">
      <c r="A4683" s="0" t="s">
        <v>4</v>
      </c>
      <c r="C4683" s="0" t="s">
        <v>177</v>
      </c>
      <c r="H4683" s="3" t="s">
        <v>6</v>
      </c>
    </row>
    <row r="4684">
      <c r="A4684" s="0" t="s">
        <v>7</v>
      </c>
      <c r="C4684" s="4" t="s">
        <v>146</v>
      </c>
      <c r="H4684" s="2" t="s">
        <v>9</v>
      </c>
    </row>
    <row r="4685">
      <c r="A4685" s="0" t="s">
        <v>10</v>
      </c>
      <c r="C4685" s="4" t="s">
        <v>11</v>
      </c>
      <c r="H4685" s="2" t="s">
        <v>12</v>
      </c>
    </row>
    <row r="4686">
      <c r="A4686" s="0" t="s">
        <v>13</v>
      </c>
      <c r="C4686" s="0" t="s">
        <v>14</v>
      </c>
    </row>
    <row r="4687">
      <c r="A4687" s="0" t="s">
        <v>15</v>
      </c>
      <c r="C4687" s="0" t="s">
        <v>16</v>
      </c>
    </row>
    <row r="4688">
      <c r="A4688" s="0" t="s">
        <v>17</v>
      </c>
      <c r="C4688" s="0" t="s">
        <v>18</v>
      </c>
    </row>
    <row r="4691">
      <c r="A4691" s="5" t="s">
        <v>19</v>
      </c>
      <c r="B4691" s="5" t="s">
        <v>20</v>
      </c>
      <c r="C4691" s="7" t="s">
        <v>21</v>
      </c>
      <c r="D4691" s="9"/>
      <c r="E4691" s="7" t="s">
        <v>22</v>
      </c>
      <c r="F4691" s="9"/>
      <c r="G4691" s="5" t="s">
        <v>23</v>
      </c>
      <c r="H4691" s="5" t="s">
        <v>24</v>
      </c>
      <c r="I4691" s="5" t="s">
        <v>147</v>
      </c>
      <c r="J4691" s="5" t="s">
        <v>26</v>
      </c>
    </row>
    <row r="4692">
      <c r="A4692" s="6"/>
      <c r="B4692" s="6"/>
      <c r="C4692" s="8" t="s">
        <v>27</v>
      </c>
      <c r="D4692" s="8" t="s">
        <v>28</v>
      </c>
      <c r="E4692" s="8" t="s">
        <v>27</v>
      </c>
      <c r="F4692" s="8" t="s">
        <v>28</v>
      </c>
      <c r="G4692" s="6"/>
      <c r="H4692" s="6"/>
      <c r="I4692" s="10" t="s">
        <v>29</v>
      </c>
      <c r="J4692" s="6"/>
    </row>
    <row r="4693">
      <c r="A4693" s="11" t="s">
        <v>30</v>
      </c>
      <c r="B4693" s="12">
        <v>1357.4104</v>
      </c>
      <c r="C4693" s="12">
        <v>0</v>
      </c>
      <c r="D4693" s="13">
        <v>0</v>
      </c>
      <c r="E4693" s="12">
        <v>0</v>
      </c>
      <c r="F4693" s="14">
        <v>0</v>
      </c>
      <c r="G4693" s="13">
        <v>8518157.4748</v>
      </c>
      <c r="H4693" s="14">
        <v>11562635545.131258</v>
      </c>
      <c r="I4693" s="14" t="e">
        <f>=Round(173666.60380000,0)</f>
        <v>#VALUE!</v>
      </c>
      <c r="J4693" s="14" t="e">
        <f>=Round(0.00000000,0)</f>
        <v>#VALUE!</v>
      </c>
    </row>
    <row r="4694">
      <c r="A4694" s="11" t="s">
        <v>31</v>
      </c>
      <c r="B4694" s="12">
        <v>1357.6428</v>
      </c>
      <c r="C4694" s="12">
        <v>0</v>
      </c>
      <c r="D4694" s="13">
        <v>0</v>
      </c>
      <c r="E4694" s="12">
        <v>0</v>
      </c>
      <c r="F4694" s="14">
        <v>0</v>
      </c>
      <c r="G4694" s="13">
        <v>8518157.4748</v>
      </c>
      <c r="H4694" s="14">
        <v>11564615164.9284</v>
      </c>
      <c r="I4694" s="14" t="e">
        <f>=Round(173755.45220000,0)</f>
        <v>#VALUE!</v>
      </c>
      <c r="J4694" s="14" t="e">
        <f>=Round(0.00000000,0)</f>
        <v>#VALUE!</v>
      </c>
    </row>
    <row r="4695">
      <c r="A4695" s="11" t="s">
        <v>32</v>
      </c>
      <c r="B4695" s="12">
        <v>1357.8735</v>
      </c>
      <c r="C4695" s="12">
        <v>0</v>
      </c>
      <c r="D4695" s="13">
        <v>0</v>
      </c>
      <c r="E4695" s="12">
        <v>0</v>
      </c>
      <c r="F4695" s="14">
        <v>0</v>
      </c>
      <c r="G4695" s="13">
        <v>8518157.4748</v>
      </c>
      <c r="H4695" s="14">
        <v>11566580303.857838</v>
      </c>
      <c r="I4695" s="14" t="e">
        <f>=Round(173785.20060000,0)</f>
        <v>#VALUE!</v>
      </c>
      <c r="J4695" s="14" t="e">
        <f>=Round(0.00000000,0)</f>
        <v>#VALUE!</v>
      </c>
    </row>
    <row r="4696">
      <c r="A4696" s="11" t="s">
        <v>33</v>
      </c>
      <c r="B4696" s="12">
        <v>1358.1079</v>
      </c>
      <c r="C4696" s="12">
        <v>0</v>
      </c>
      <c r="D4696" s="13">
        <v>0</v>
      </c>
      <c r="E4696" s="12">
        <v>0</v>
      </c>
      <c r="F4696" s="14">
        <v>0</v>
      </c>
      <c r="G4696" s="13">
        <v>8518157.4748</v>
      </c>
      <c r="H4696" s="14">
        <v>11568576959.969933</v>
      </c>
      <c r="I4696" s="14" t="e">
        <f>=Round(173814.73130000,0)</f>
        <v>#VALUE!</v>
      </c>
      <c r="J4696" s="14" t="e">
        <f>=Round(0.00000000,0)</f>
        <v>#VALUE!</v>
      </c>
    </row>
    <row r="4697">
      <c r="A4697" s="11" t="s">
        <v>34</v>
      </c>
      <c r="B4697" s="12">
        <v>1358.3402</v>
      </c>
      <c r="C4697" s="12">
        <v>0</v>
      </c>
      <c r="D4697" s="13">
        <v>0</v>
      </c>
      <c r="E4697" s="12">
        <v>0</v>
      </c>
      <c r="F4697" s="14">
        <v>0</v>
      </c>
      <c r="G4697" s="13">
        <v>8518157.4748</v>
      </c>
      <c r="H4697" s="14">
        <v>11570555727.951328</v>
      </c>
      <c r="I4697" s="14" t="e">
        <f>=Round(173844.73570000,0)</f>
        <v>#VALUE!</v>
      </c>
      <c r="J4697" s="14" t="e">
        <f>=Round(0.00000000,0)</f>
        <v>#VALUE!</v>
      </c>
    </row>
    <row r="4698">
      <c r="A4698" s="11" t="s">
        <v>35</v>
      </c>
      <c r="B4698" s="12">
        <v>1358.3402</v>
      </c>
      <c r="C4698" s="12">
        <v>0</v>
      </c>
      <c r="D4698" s="13">
        <v>0</v>
      </c>
      <c r="E4698" s="12">
        <v>0</v>
      </c>
      <c r="F4698" s="14">
        <v>0</v>
      </c>
      <c r="G4698" s="13">
        <v>8518157.4748</v>
      </c>
      <c r="H4698" s="14">
        <v>11570555727.951328</v>
      </c>
      <c r="I4698" s="14" t="e">
        <f>=Round(173874.47130000,0)</f>
        <v>#VALUE!</v>
      </c>
      <c r="J4698" s="14" t="e">
        <f>=Round(0.00000000,0)</f>
        <v>#VALUE!</v>
      </c>
    </row>
    <row r="4699">
      <c r="A4699" s="11" t="s">
        <v>36</v>
      </c>
      <c r="B4699" s="12">
        <v>1358.3402</v>
      </c>
      <c r="C4699" s="12">
        <v>0</v>
      </c>
      <c r="D4699" s="13">
        <v>0</v>
      </c>
      <c r="E4699" s="12">
        <v>0</v>
      </c>
      <c r="F4699" s="14">
        <v>0</v>
      </c>
      <c r="G4699" s="13">
        <v>8518157.4748</v>
      </c>
      <c r="H4699" s="14">
        <v>11570555727.951328</v>
      </c>
      <c r="I4699" s="14" t="e">
        <f>=Round(173874.47130000,0)</f>
        <v>#VALUE!</v>
      </c>
      <c r="J4699" s="14" t="e">
        <f>=Round(0.00000000,0)</f>
        <v>#VALUE!</v>
      </c>
    </row>
    <row r="4700">
      <c r="A4700" s="11" t="s">
        <v>37</v>
      </c>
      <c r="B4700" s="12">
        <v>1359.0395</v>
      </c>
      <c r="C4700" s="12">
        <v>0</v>
      </c>
      <c r="D4700" s="13">
        <v>0</v>
      </c>
      <c r="E4700" s="12">
        <v>0</v>
      </c>
      <c r="F4700" s="14">
        <v>0</v>
      </c>
      <c r="G4700" s="13">
        <v>8518157.4748</v>
      </c>
      <c r="H4700" s="14">
        <v>11576512475.473455</v>
      </c>
      <c r="I4700" s="14" t="e">
        <f>=Round(173874.47130000,0)</f>
        <v>#VALUE!</v>
      </c>
      <c r="J4700" s="14" t="e">
        <f>=Round(0.00000000,0)</f>
        <v>#VALUE!</v>
      </c>
    </row>
    <row r="4701">
      <c r="A4701" s="11" t="s">
        <v>38</v>
      </c>
      <c r="B4701" s="12">
        <v>1359.2726</v>
      </c>
      <c r="C4701" s="12">
        <v>0</v>
      </c>
      <c r="D4701" s="13">
        <v>0</v>
      </c>
      <c r="E4701" s="12">
        <v>0</v>
      </c>
      <c r="F4701" s="14">
        <v>0</v>
      </c>
      <c r="G4701" s="13">
        <v>8518157.4748</v>
      </c>
      <c r="H4701" s="14">
        <v>11578498057.980829</v>
      </c>
      <c r="I4701" s="14" t="e">
        <f>=Round(173963.98530000,0)</f>
        <v>#VALUE!</v>
      </c>
      <c r="J4701" s="14" t="e">
        <f>=Round(0.00000000,0)</f>
        <v>#VALUE!</v>
      </c>
    </row>
    <row r="4702">
      <c r="A4702" s="11" t="s">
        <v>39</v>
      </c>
      <c r="B4702" s="12">
        <v>1359.5048</v>
      </c>
      <c r="C4702" s="12">
        <v>0</v>
      </c>
      <c r="D4702" s="13">
        <v>0</v>
      </c>
      <c r="E4702" s="12">
        <v>0</v>
      </c>
      <c r="F4702" s="14">
        <v>0</v>
      </c>
      <c r="G4702" s="13">
        <v>8518157.4748</v>
      </c>
      <c r="H4702" s="14">
        <v>11580475974.146481</v>
      </c>
      <c r="I4702" s="14" t="e">
        <f>=Round(173993.82330000,0)</f>
        <v>#VALUE!</v>
      </c>
      <c r="J4702" s="14" t="e">
        <f>=Round(0.00000000,0)</f>
        <v>#VALUE!</v>
      </c>
    </row>
    <row r="4703">
      <c r="A4703" s="11" t="s">
        <v>40</v>
      </c>
      <c r="B4703" s="12">
        <v>1359.7365</v>
      </c>
      <c r="C4703" s="12">
        <v>0</v>
      </c>
      <c r="D4703" s="13">
        <v>0</v>
      </c>
      <c r="E4703" s="12">
        <v>0</v>
      </c>
      <c r="F4703" s="14">
        <v>0</v>
      </c>
      <c r="G4703" s="13">
        <v>8518157.4748</v>
      </c>
      <c r="H4703" s="14">
        <v>11582449631.233391</v>
      </c>
      <c r="I4703" s="14" t="e">
        <f>=Round(174023.54610000,0)</f>
        <v>#VALUE!</v>
      </c>
      <c r="J4703" s="14" t="e">
        <f>=Round(0.00000000,0)</f>
        <v>#VALUE!</v>
      </c>
    </row>
    <row r="4704">
      <c r="A4704" s="11" t="s">
        <v>41</v>
      </c>
      <c r="B4704" s="12">
        <v>1359.979</v>
      </c>
      <c r="C4704" s="12">
        <v>0</v>
      </c>
      <c r="D4704" s="13">
        <v>0</v>
      </c>
      <c r="E4704" s="12">
        <v>0</v>
      </c>
      <c r="F4704" s="14">
        <v>0</v>
      </c>
      <c r="G4704" s="13">
        <v>8518157.4748</v>
      </c>
      <c r="H4704" s="14">
        <v>11584515284.421028</v>
      </c>
      <c r="I4704" s="14" t="e">
        <f>=Round(174053.20480000,0)</f>
        <v>#VALUE!</v>
      </c>
      <c r="J4704" s="14" t="e">
        <f>=Round(0.00000000,0)</f>
        <v>#VALUE!</v>
      </c>
    </row>
    <row r="4705">
      <c r="A4705" s="11" t="s">
        <v>42</v>
      </c>
      <c r="B4705" s="12">
        <v>1359.979</v>
      </c>
      <c r="C4705" s="12">
        <v>0</v>
      </c>
      <c r="D4705" s="13">
        <v>0</v>
      </c>
      <c r="E4705" s="12">
        <v>0</v>
      </c>
      <c r="F4705" s="14">
        <v>0</v>
      </c>
      <c r="G4705" s="13">
        <v>8518157.4748</v>
      </c>
      <c r="H4705" s="14">
        <v>11584515284.421028</v>
      </c>
      <c r="I4705" s="14" t="e">
        <f>=Round(174084.24610000,0)</f>
        <v>#VALUE!</v>
      </c>
      <c r="J4705" s="14" t="e">
        <f>=Round(0.00000000,0)</f>
        <v>#VALUE!</v>
      </c>
    </row>
    <row r="4706">
      <c r="A4706" s="11" t="s">
        <v>43</v>
      </c>
      <c r="B4706" s="12">
        <v>1359.979</v>
      </c>
      <c r="C4706" s="12">
        <v>0</v>
      </c>
      <c r="D4706" s="13">
        <v>0</v>
      </c>
      <c r="E4706" s="12">
        <v>0</v>
      </c>
      <c r="F4706" s="14">
        <v>0</v>
      </c>
      <c r="G4706" s="13">
        <v>8518157.4748</v>
      </c>
      <c r="H4706" s="14">
        <v>11584515284.421028</v>
      </c>
      <c r="I4706" s="14" t="e">
        <f>=Round(174084.24610000,0)</f>
        <v>#VALUE!</v>
      </c>
      <c r="J4706" s="14" t="e">
        <f>=Round(0.00000000,0)</f>
        <v>#VALUE!</v>
      </c>
    </row>
    <row r="4707">
      <c r="A4707" s="11" t="s">
        <v>44</v>
      </c>
      <c r="B4707" s="12">
        <v>1360.6758</v>
      </c>
      <c r="C4707" s="12">
        <v>0</v>
      </c>
      <c r="D4707" s="13">
        <v>0</v>
      </c>
      <c r="E4707" s="12">
        <v>0</v>
      </c>
      <c r="F4707" s="14">
        <v>0</v>
      </c>
      <c r="G4707" s="13">
        <v>8518157.4748</v>
      </c>
      <c r="H4707" s="14">
        <v>11590450736.549471</v>
      </c>
      <c r="I4707" s="14" t="e">
        <f>=Round(174084.24610000,0)</f>
        <v>#VALUE!</v>
      </c>
      <c r="J4707" s="14" t="e">
        <f>=Round(0.00000000,0)</f>
        <v>#VALUE!</v>
      </c>
    </row>
    <row r="4708">
      <c r="A4708" s="11" t="s">
        <v>45</v>
      </c>
      <c r="B4708" s="12">
        <v>1360.9062</v>
      </c>
      <c r="C4708" s="12">
        <v>0</v>
      </c>
      <c r="D4708" s="13">
        <v>0</v>
      </c>
      <c r="E4708" s="12">
        <v>0</v>
      </c>
      <c r="F4708" s="14">
        <v>0</v>
      </c>
      <c r="G4708" s="13">
        <v>8518157.4748</v>
      </c>
      <c r="H4708" s="14">
        <v>11592413320.031664</v>
      </c>
      <c r="I4708" s="14" t="e">
        <f>=Round(174173.44000000,0)</f>
        <v>#VALUE!</v>
      </c>
      <c r="J4708" s="14" t="e">
        <f>=Round(0.00000000,0)</f>
        <v>#VALUE!</v>
      </c>
    </row>
    <row r="4709">
      <c r="A4709" s="11" t="s">
        <v>46</v>
      </c>
      <c r="B4709" s="12">
        <v>1361.137</v>
      </c>
      <c r="C4709" s="12">
        <v>0</v>
      </c>
      <c r="D4709" s="13">
        <v>0</v>
      </c>
      <c r="E4709" s="12">
        <v>0</v>
      </c>
      <c r="F4709" s="14">
        <v>0</v>
      </c>
      <c r="G4709" s="13">
        <v>8518157.4748</v>
      </c>
      <c r="H4709" s="14">
        <v>11594379310.776848</v>
      </c>
      <c r="I4709" s="14" t="e">
        <f>=Round(174202.93240000,0)</f>
        <v>#VALUE!</v>
      </c>
      <c r="J4709" s="14" t="e">
        <f>=Round(0.00000000,0)</f>
        <v>#VALUE!</v>
      </c>
    </row>
    <row r="4710">
      <c r="A4710" s="11" t="s">
        <v>47</v>
      </c>
      <c r="B4710" s="12">
        <v>1361.367</v>
      </c>
      <c r="C4710" s="12">
        <v>0</v>
      </c>
      <c r="D4710" s="13">
        <v>0</v>
      </c>
      <c r="E4710" s="12">
        <v>0</v>
      </c>
      <c r="F4710" s="14">
        <v>0</v>
      </c>
      <c r="G4710" s="13">
        <v>8518157.4748</v>
      </c>
      <c r="H4710" s="14">
        <v>11596338486.996052</v>
      </c>
      <c r="I4710" s="14" t="e">
        <f>=Round(174232.47600000,0)</f>
        <v>#VALUE!</v>
      </c>
      <c r="J4710" s="14" t="e">
        <f>=Round(0.00000000,0)</f>
        <v>#VALUE!</v>
      </c>
    </row>
    <row r="4711">
      <c r="A4711" s="11" t="s">
        <v>48</v>
      </c>
      <c r="B4711" s="12">
        <v>1361.6195</v>
      </c>
      <c r="C4711" s="12">
        <v>0</v>
      </c>
      <c r="D4711" s="13">
        <v>0</v>
      </c>
      <c r="E4711" s="12">
        <v>0</v>
      </c>
      <c r="F4711" s="14">
        <v>0</v>
      </c>
      <c r="G4711" s="13">
        <v>8518157.4748</v>
      </c>
      <c r="H4711" s="14">
        <v>11598489321.75844</v>
      </c>
      <c r="I4711" s="14" t="e">
        <f>=Round(174261.91720000,0)</f>
        <v>#VALUE!</v>
      </c>
      <c r="J4711" s="14" t="e">
        <f>=Round(0.00000000,0)</f>
        <v>#VALUE!</v>
      </c>
    </row>
    <row r="4712">
      <c r="A4712" s="11" t="s">
        <v>49</v>
      </c>
      <c r="B4712" s="12">
        <v>1361.6195</v>
      </c>
      <c r="C4712" s="12">
        <v>0</v>
      </c>
      <c r="D4712" s="13">
        <v>0</v>
      </c>
      <c r="E4712" s="12">
        <v>0</v>
      </c>
      <c r="F4712" s="14">
        <v>0</v>
      </c>
      <c r="G4712" s="13">
        <v>8518157.4748</v>
      </c>
      <c r="H4712" s="14">
        <v>11598489321.75844</v>
      </c>
      <c r="I4712" s="14" t="e">
        <f>=Round(174294.23840000,0)</f>
        <v>#VALUE!</v>
      </c>
      <c r="J4712" s="14" t="e">
        <f>=Round(0.00000000,0)</f>
        <v>#VALUE!</v>
      </c>
    </row>
    <row r="4713">
      <c r="A4713" s="11" t="s">
        <v>50</v>
      </c>
      <c r="B4713" s="12">
        <v>1361.6195</v>
      </c>
      <c r="C4713" s="12">
        <v>0</v>
      </c>
      <c r="D4713" s="13">
        <v>0</v>
      </c>
      <c r="E4713" s="12">
        <v>0</v>
      </c>
      <c r="F4713" s="14">
        <v>0</v>
      </c>
      <c r="G4713" s="13">
        <v>8518157.4748</v>
      </c>
      <c r="H4713" s="14">
        <v>11598489321.75844</v>
      </c>
      <c r="I4713" s="14" t="e">
        <f>=Round(174294.23840000,0)</f>
        <v>#VALUE!</v>
      </c>
      <c r="J4713" s="14" t="e">
        <f>=Round(0.00000000,0)</f>
        <v>#VALUE!</v>
      </c>
    </row>
    <row r="4714">
      <c r="A4714" s="11" t="s">
        <v>51</v>
      </c>
      <c r="B4714" s="12">
        <v>1362.3425</v>
      </c>
      <c r="C4714" s="12">
        <v>0</v>
      </c>
      <c r="D4714" s="13">
        <v>0</v>
      </c>
      <c r="E4714" s="12">
        <v>0</v>
      </c>
      <c r="F4714" s="14">
        <v>0</v>
      </c>
      <c r="G4714" s="13">
        <v>8518157.4748</v>
      </c>
      <c r="H4714" s="14">
        <v>11604647949.612721</v>
      </c>
      <c r="I4714" s="14" t="e">
        <f>=Round(174294.23840000,0)</f>
        <v>#VALUE!</v>
      </c>
      <c r="J4714" s="14" t="e">
        <f>=Round(0.00000000,0)</f>
        <v>#VALUE!</v>
      </c>
    </row>
    <row r="4715">
      <c r="A4715" s="11" t="s">
        <v>52</v>
      </c>
      <c r="B4715" s="12">
        <v>1362.5746</v>
      </c>
      <c r="C4715" s="12">
        <v>0</v>
      </c>
      <c r="D4715" s="13">
        <v>0</v>
      </c>
      <c r="E4715" s="12">
        <v>0</v>
      </c>
      <c r="F4715" s="14">
        <v>0</v>
      </c>
      <c r="G4715" s="13">
        <v>8518157.4748</v>
      </c>
      <c r="H4715" s="14">
        <v>11606625013.96262</v>
      </c>
      <c r="I4715" s="14" t="e">
        <f>=Round(174386.78610000,0)</f>
        <v>#VALUE!</v>
      </c>
      <c r="J4715" s="14" t="e">
        <f>=Round(0.00000000,0)</f>
        <v>#VALUE!</v>
      </c>
    </row>
    <row r="4716">
      <c r="A4716" s="11" t="s">
        <v>53</v>
      </c>
      <c r="B4716" s="12">
        <v>1362.8067</v>
      </c>
      <c r="C4716" s="12">
        <v>0</v>
      </c>
      <c r="D4716" s="13">
        <v>0</v>
      </c>
      <c r="E4716" s="12">
        <v>0</v>
      </c>
      <c r="F4716" s="14">
        <v>0</v>
      </c>
      <c r="G4716" s="13">
        <v>8518157.4748</v>
      </c>
      <c r="H4716" s="14">
        <v>11608602078.312519</v>
      </c>
      <c r="I4716" s="14" t="e">
        <f>=Round(174416.49610000,0)</f>
        <v>#VALUE!</v>
      </c>
      <c r="J4716" s="14" t="e">
        <f>=Round(0.00000000,0)</f>
        <v>#VALUE!</v>
      </c>
    </row>
    <row r="4717">
      <c r="A4717" s="11" t="s">
        <v>54</v>
      </c>
      <c r="B4717" s="12">
        <v>1363.0394</v>
      </c>
      <c r="C4717" s="12">
        <v>0</v>
      </c>
      <c r="D4717" s="13">
        <v>0</v>
      </c>
      <c r="E4717" s="12">
        <v>0</v>
      </c>
      <c r="F4717" s="14">
        <v>0</v>
      </c>
      <c r="G4717" s="13">
        <v>8518157.4748</v>
      </c>
      <c r="H4717" s="14">
        <v>11610584253.556908</v>
      </c>
      <c r="I4717" s="14" t="e">
        <f>=Round(174446.20610000,0)</f>
        <v>#VALUE!</v>
      </c>
      <c r="J4717" s="14" t="e">
        <f>=Round(0.00000000,0)</f>
        <v>#VALUE!</v>
      </c>
    </row>
    <row r="4718">
      <c r="A4718" s="11" t="s">
        <v>55</v>
      </c>
      <c r="B4718" s="12">
        <v>1363.274</v>
      </c>
      <c r="C4718" s="12">
        <v>0</v>
      </c>
      <c r="D4718" s="13">
        <v>0</v>
      </c>
      <c r="E4718" s="12">
        <v>0</v>
      </c>
      <c r="F4718" s="14">
        <v>0</v>
      </c>
      <c r="G4718" s="13">
        <v>8518157.4748</v>
      </c>
      <c r="H4718" s="14">
        <v>11612582613.300495</v>
      </c>
      <c r="I4718" s="14" t="e">
        <f>=Round(174475.99290000,0)</f>
        <v>#VALUE!</v>
      </c>
      <c r="J4718" s="14" t="e">
        <f>=Round(0.00000000,0)</f>
        <v>#VALUE!</v>
      </c>
    </row>
    <row r="4719" ht="-1">
      <c r="A4719" s="15"/>
      <c r="B4719" s="16" t="s">
        <v>56</v>
      </c>
      <c r="C4719" s="15"/>
      <c r="D4719" s="15"/>
      <c r="E4719" s="15"/>
      <c r="F4719" s="15"/>
      <c r="G4719" s="15"/>
      <c r="H4719" s="15"/>
      <c r="I4719" s="17" t="e">
        <f>=Round(SUM(I4693:I4718),0)</f>
        <v>#VALUE!</v>
      </c>
      <c r="J4719" s="17" t="e">
        <f>=Round(SUM(J4693:J4718),0)</f>
        <v>#VALUE!</v>
      </c>
    </row>
    <row r="4720">
      <c r="A4720" s="1" t="s">
        <v>0</v>
      </c>
      <c r="B4720" s="1"/>
      <c r="C4720" s="1"/>
      <c r="D4720" s="1"/>
    </row>
    <row r="4721">
      <c r="A4721" s="0" t="s">
        <v>1</v>
      </c>
      <c r="C4721" s="0" t="s">
        <v>144</v>
      </c>
      <c r="H4721" s="2" t="s">
        <v>3</v>
      </c>
    </row>
    <row r="4722">
      <c r="A4722" s="0" t="s">
        <v>4</v>
      </c>
      <c r="C4722" s="0" t="s">
        <v>178</v>
      </c>
      <c r="H4722" s="3" t="s">
        <v>6</v>
      </c>
    </row>
    <row r="4723">
      <c r="A4723" s="0" t="s">
        <v>7</v>
      </c>
      <c r="C4723" s="4" t="s">
        <v>146</v>
      </c>
      <c r="H4723" s="2" t="s">
        <v>9</v>
      </c>
    </row>
    <row r="4724">
      <c r="A4724" s="0" t="s">
        <v>10</v>
      </c>
      <c r="C4724" s="4" t="s">
        <v>11</v>
      </c>
      <c r="H4724" s="2" t="s">
        <v>12</v>
      </c>
    </row>
    <row r="4725">
      <c r="A4725" s="0" t="s">
        <v>13</v>
      </c>
      <c r="C4725" s="0" t="s">
        <v>14</v>
      </c>
    </row>
    <row r="4726">
      <c r="A4726" s="0" t="s">
        <v>15</v>
      </c>
      <c r="C4726" s="0" t="s">
        <v>16</v>
      </c>
    </row>
    <row r="4727">
      <c r="A4727" s="0" t="s">
        <v>17</v>
      </c>
      <c r="C4727" s="0" t="s">
        <v>18</v>
      </c>
    </row>
    <row r="4730">
      <c r="A4730" s="5" t="s">
        <v>19</v>
      </c>
      <c r="B4730" s="5" t="s">
        <v>20</v>
      </c>
      <c r="C4730" s="7" t="s">
        <v>21</v>
      </c>
      <c r="D4730" s="9"/>
      <c r="E4730" s="7" t="s">
        <v>22</v>
      </c>
      <c r="F4730" s="9"/>
      <c r="G4730" s="5" t="s">
        <v>23</v>
      </c>
      <c r="H4730" s="5" t="s">
        <v>24</v>
      </c>
      <c r="I4730" s="5" t="s">
        <v>147</v>
      </c>
      <c r="J4730" s="5" t="s">
        <v>26</v>
      </c>
    </row>
    <row r="4731">
      <c r="A4731" s="6"/>
      <c r="B4731" s="6"/>
      <c r="C4731" s="8" t="s">
        <v>27</v>
      </c>
      <c r="D4731" s="8" t="s">
        <v>28</v>
      </c>
      <c r="E4731" s="8" t="s">
        <v>27</v>
      </c>
      <c r="F4731" s="8" t="s">
        <v>28</v>
      </c>
      <c r="G4731" s="6"/>
      <c r="H4731" s="6"/>
      <c r="I4731" s="10" t="s">
        <v>29</v>
      </c>
      <c r="J4731" s="6"/>
    </row>
    <row r="4732">
      <c r="A4732" s="11" t="s">
        <v>30</v>
      </c>
      <c r="B4732" s="12">
        <v>1357.4104</v>
      </c>
      <c r="C4732" s="12">
        <v>0</v>
      </c>
      <c r="D4732" s="13">
        <v>0</v>
      </c>
      <c r="E4732" s="12">
        <v>0</v>
      </c>
      <c r="F4732" s="14">
        <v>0</v>
      </c>
      <c r="G4732" s="13">
        <v>1819679.2488</v>
      </c>
      <c r="H4732" s="14">
        <v>2470051536.9853082</v>
      </c>
      <c r="I4732" s="14" t="e">
        <f>=Round(37099.28070000,0)</f>
        <v>#VALUE!</v>
      </c>
      <c r="J4732" s="14" t="e">
        <f>=Round(0.00000000,0)</f>
        <v>#VALUE!</v>
      </c>
    </row>
    <row r="4733">
      <c r="A4733" s="11" t="s">
        <v>31</v>
      </c>
      <c r="B4733" s="12">
        <v>1357.6428</v>
      </c>
      <c r="C4733" s="12">
        <v>0</v>
      </c>
      <c r="D4733" s="13">
        <v>0</v>
      </c>
      <c r="E4733" s="12">
        <v>0</v>
      </c>
      <c r="F4733" s="14">
        <v>0</v>
      </c>
      <c r="G4733" s="13">
        <v>1819679.2488</v>
      </c>
      <c r="H4733" s="14">
        <v>2470474430.442729</v>
      </c>
      <c r="I4733" s="14" t="e">
        <f>=Round(37118.26080000,0)</f>
        <v>#VALUE!</v>
      </c>
      <c r="J4733" s="14" t="e">
        <f>=Round(0.00000000,0)</f>
        <v>#VALUE!</v>
      </c>
    </row>
    <row r="4734">
      <c r="A4734" s="11" t="s">
        <v>32</v>
      </c>
      <c r="B4734" s="12">
        <v>1357.8735</v>
      </c>
      <c r="C4734" s="12">
        <v>0</v>
      </c>
      <c r="D4734" s="13">
        <v>0</v>
      </c>
      <c r="E4734" s="12">
        <v>0</v>
      </c>
      <c r="F4734" s="14">
        <v>0</v>
      </c>
      <c r="G4734" s="13">
        <v>1819679.2488</v>
      </c>
      <c r="H4734" s="14">
        <v>2470894230.4454269</v>
      </c>
      <c r="I4734" s="14" t="e">
        <f>=Round(37124.61580000,0)</f>
        <v>#VALUE!</v>
      </c>
      <c r="J4734" s="14" t="e">
        <f>=Round(0.00000000,0)</f>
        <v>#VALUE!</v>
      </c>
    </row>
    <row r="4735">
      <c r="A4735" s="11" t="s">
        <v>33</v>
      </c>
      <c r="B4735" s="12">
        <v>1358.1079</v>
      </c>
      <c r="C4735" s="12">
        <v>0</v>
      </c>
      <c r="D4735" s="13">
        <v>0</v>
      </c>
      <c r="E4735" s="12">
        <v>0</v>
      </c>
      <c r="F4735" s="14">
        <v>0</v>
      </c>
      <c r="G4735" s="13">
        <v>1819679.2488</v>
      </c>
      <c r="H4735" s="14">
        <v>2471320763.2613459</v>
      </c>
      <c r="I4735" s="14" t="e">
        <f>=Round(37130.92420000,0)</f>
        <v>#VALUE!</v>
      </c>
      <c r="J4735" s="14" t="e">
        <f>=Round(0.00000000,0)</f>
        <v>#VALUE!</v>
      </c>
    </row>
    <row r="4736">
      <c r="A4736" s="11" t="s">
        <v>34</v>
      </c>
      <c r="B4736" s="12">
        <v>1358.3402</v>
      </c>
      <c r="C4736" s="12">
        <v>0</v>
      </c>
      <c r="D4736" s="13">
        <v>0</v>
      </c>
      <c r="E4736" s="12">
        <v>0</v>
      </c>
      <c r="F4736" s="14">
        <v>0</v>
      </c>
      <c r="G4736" s="13">
        <v>1819679.2488</v>
      </c>
      <c r="H4736" s="14">
        <v>2471743474.7508421</v>
      </c>
      <c r="I4736" s="14" t="e">
        <f>=Round(37137.33390000,0)</f>
        <v>#VALUE!</v>
      </c>
      <c r="J4736" s="14" t="e">
        <f>=Round(0.00000000,0)</f>
        <v>#VALUE!</v>
      </c>
    </row>
    <row r="4737">
      <c r="A4737" s="11" t="s">
        <v>35</v>
      </c>
      <c r="B4737" s="12">
        <v>1358.3402</v>
      </c>
      <c r="C4737" s="12">
        <v>0</v>
      </c>
      <c r="D4737" s="13">
        <v>0</v>
      </c>
      <c r="E4737" s="12">
        <v>0</v>
      </c>
      <c r="F4737" s="14">
        <v>0</v>
      </c>
      <c r="G4737" s="13">
        <v>1819679.2488</v>
      </c>
      <c r="H4737" s="14">
        <v>2471743474.7508421</v>
      </c>
      <c r="I4737" s="14" t="e">
        <f>=Round(37143.68610000,0)</f>
        <v>#VALUE!</v>
      </c>
      <c r="J4737" s="14" t="e">
        <f>=Round(0.00000000,0)</f>
        <v>#VALUE!</v>
      </c>
    </row>
    <row r="4738">
      <c r="A4738" s="11" t="s">
        <v>36</v>
      </c>
      <c r="B4738" s="12">
        <v>1358.3402</v>
      </c>
      <c r="C4738" s="12">
        <v>0</v>
      </c>
      <c r="D4738" s="13">
        <v>0</v>
      </c>
      <c r="E4738" s="12">
        <v>0</v>
      </c>
      <c r="F4738" s="14">
        <v>0</v>
      </c>
      <c r="G4738" s="13">
        <v>1819679.2488</v>
      </c>
      <c r="H4738" s="14">
        <v>2471743474.7508421</v>
      </c>
      <c r="I4738" s="14" t="e">
        <f>=Round(37143.68610000,0)</f>
        <v>#VALUE!</v>
      </c>
      <c r="J4738" s="14" t="e">
        <f>=Round(0.00000000,0)</f>
        <v>#VALUE!</v>
      </c>
    </row>
    <row r="4739">
      <c r="A4739" s="11" t="s">
        <v>37</v>
      </c>
      <c r="B4739" s="12">
        <v>1359.0395</v>
      </c>
      <c r="C4739" s="12">
        <v>0</v>
      </c>
      <c r="D4739" s="13">
        <v>0</v>
      </c>
      <c r="E4739" s="12">
        <v>0</v>
      </c>
      <c r="F4739" s="14">
        <v>0</v>
      </c>
      <c r="G4739" s="13">
        <v>1819679.2488</v>
      </c>
      <c r="H4739" s="14">
        <v>2473015976.4495282</v>
      </c>
      <c r="I4739" s="14" t="e">
        <f>=Round(37143.68610000,0)</f>
        <v>#VALUE!</v>
      </c>
      <c r="J4739" s="14" t="e">
        <f>=Round(0.00000000,0)</f>
        <v>#VALUE!</v>
      </c>
    </row>
    <row r="4740">
      <c r="A4740" s="11" t="s">
        <v>38</v>
      </c>
      <c r="B4740" s="12">
        <v>1359.2726</v>
      </c>
      <c r="C4740" s="12">
        <v>0</v>
      </c>
      <c r="D4740" s="13">
        <v>0</v>
      </c>
      <c r="E4740" s="12">
        <v>0</v>
      </c>
      <c r="F4740" s="14">
        <v>0</v>
      </c>
      <c r="G4740" s="13">
        <v>1819679.2488</v>
      </c>
      <c r="H4740" s="14">
        <v>2473440143.6824231</v>
      </c>
      <c r="I4740" s="14" t="e">
        <f>=Round(37162.80840000,0)</f>
        <v>#VALUE!</v>
      </c>
      <c r="J4740" s="14" t="e">
        <f>=Round(0.00000000,0)</f>
        <v>#VALUE!</v>
      </c>
    </row>
    <row r="4741">
      <c r="A4741" s="11" t="s">
        <v>39</v>
      </c>
      <c r="B4741" s="12">
        <v>1359.5048</v>
      </c>
      <c r="C4741" s="12">
        <v>0</v>
      </c>
      <c r="D4741" s="13">
        <v>0</v>
      </c>
      <c r="E4741" s="12">
        <v>0</v>
      </c>
      <c r="F4741" s="14">
        <v>0</v>
      </c>
      <c r="G4741" s="13">
        <v>1819679.2488</v>
      </c>
      <c r="H4741" s="14">
        <v>2473862673.2039938</v>
      </c>
      <c r="I4741" s="14" t="e">
        <f>=Round(37169.18250000,0)</f>
        <v>#VALUE!</v>
      </c>
      <c r="J4741" s="14" t="e">
        <f>=Round(0.00000000,0)</f>
        <v>#VALUE!</v>
      </c>
    </row>
    <row r="4742">
      <c r="A4742" s="11" t="s">
        <v>40</v>
      </c>
      <c r="B4742" s="12">
        <v>1359.7365</v>
      </c>
      <c r="C4742" s="12">
        <v>0</v>
      </c>
      <c r="D4742" s="13">
        <v>0</v>
      </c>
      <c r="E4742" s="12">
        <v>0</v>
      </c>
      <c r="F4742" s="14">
        <v>0</v>
      </c>
      <c r="G4742" s="13">
        <v>1819679.2488</v>
      </c>
      <c r="H4742" s="14">
        <v>2474284292.885941</v>
      </c>
      <c r="I4742" s="14" t="e">
        <f>=Round(37175.53200000,0)</f>
        <v>#VALUE!</v>
      </c>
      <c r="J4742" s="14" t="e">
        <f>=Round(0.00000000,0)</f>
        <v>#VALUE!</v>
      </c>
    </row>
    <row r="4743">
      <c r="A4743" s="11" t="s">
        <v>41</v>
      </c>
      <c r="B4743" s="12">
        <v>1359.979</v>
      </c>
      <c r="C4743" s="12">
        <v>0</v>
      </c>
      <c r="D4743" s="13">
        <v>0</v>
      </c>
      <c r="E4743" s="12">
        <v>0</v>
      </c>
      <c r="F4743" s="14">
        <v>0</v>
      </c>
      <c r="G4743" s="13">
        <v>1819679.2488</v>
      </c>
      <c r="H4743" s="14">
        <v>2474725565.103775</v>
      </c>
      <c r="I4743" s="14" t="e">
        <f>=Round(37181.86780000,0)</f>
        <v>#VALUE!</v>
      </c>
      <c r="J4743" s="14" t="e">
        <f>=Round(0.00000000,0)</f>
        <v>#VALUE!</v>
      </c>
    </row>
    <row r="4744">
      <c r="A4744" s="11" t="s">
        <v>42</v>
      </c>
      <c r="B4744" s="12">
        <v>1359.979</v>
      </c>
      <c r="C4744" s="12">
        <v>0</v>
      </c>
      <c r="D4744" s="13">
        <v>0</v>
      </c>
      <c r="E4744" s="12">
        <v>0</v>
      </c>
      <c r="F4744" s="14">
        <v>0</v>
      </c>
      <c r="G4744" s="13">
        <v>1819679.2488</v>
      </c>
      <c r="H4744" s="14">
        <v>2474725565.103775</v>
      </c>
      <c r="I4744" s="14" t="e">
        <f>=Round(37188.49890000,0)</f>
        <v>#VALUE!</v>
      </c>
      <c r="J4744" s="14" t="e">
        <f>=Round(0.00000000,0)</f>
        <v>#VALUE!</v>
      </c>
    </row>
    <row r="4745">
      <c r="A4745" s="11" t="s">
        <v>43</v>
      </c>
      <c r="B4745" s="12">
        <v>1359.979</v>
      </c>
      <c r="C4745" s="12">
        <v>0</v>
      </c>
      <c r="D4745" s="13">
        <v>0</v>
      </c>
      <c r="E4745" s="12">
        <v>0</v>
      </c>
      <c r="F4745" s="14">
        <v>0</v>
      </c>
      <c r="G4745" s="13">
        <v>1819679.2488</v>
      </c>
      <c r="H4745" s="14">
        <v>2474725565.103775</v>
      </c>
      <c r="I4745" s="14" t="e">
        <f>=Round(37188.49890000,0)</f>
        <v>#VALUE!</v>
      </c>
      <c r="J4745" s="14" t="e">
        <f>=Round(0.00000000,0)</f>
        <v>#VALUE!</v>
      </c>
    </row>
    <row r="4746">
      <c r="A4746" s="11" t="s">
        <v>44</v>
      </c>
      <c r="B4746" s="12">
        <v>1360.6758</v>
      </c>
      <c r="C4746" s="12">
        <v>0</v>
      </c>
      <c r="D4746" s="13">
        <v>0</v>
      </c>
      <c r="E4746" s="12">
        <v>0</v>
      </c>
      <c r="F4746" s="14">
        <v>0</v>
      </c>
      <c r="G4746" s="13">
        <v>1819679.2488</v>
      </c>
      <c r="H4746" s="14">
        <v>2475993517.6043391</v>
      </c>
      <c r="I4746" s="14" t="e">
        <f>=Round(37188.49890000,0)</f>
        <v>#VALUE!</v>
      </c>
      <c r="J4746" s="14" t="e">
        <f>=Round(0.00000000,0)</f>
        <v>#VALUE!</v>
      </c>
    </row>
    <row r="4747">
      <c r="A4747" s="11" t="s">
        <v>45</v>
      </c>
      <c r="B4747" s="12">
        <v>1360.9062</v>
      </c>
      <c r="C4747" s="12">
        <v>0</v>
      </c>
      <c r="D4747" s="13">
        <v>0</v>
      </c>
      <c r="E4747" s="12">
        <v>0</v>
      </c>
      <c r="F4747" s="14">
        <v>0</v>
      </c>
      <c r="G4747" s="13">
        <v>1819679.2488</v>
      </c>
      <c r="H4747" s="14">
        <v>2476412771.7032628</v>
      </c>
      <c r="I4747" s="14" t="e">
        <f>=Round(37207.55290000,0)</f>
        <v>#VALUE!</v>
      </c>
      <c r="J4747" s="14" t="e">
        <f>=Round(0.00000000,0)</f>
        <v>#VALUE!</v>
      </c>
    </row>
    <row r="4748">
      <c r="A4748" s="11" t="s">
        <v>46</v>
      </c>
      <c r="B4748" s="12">
        <v>1361.137</v>
      </c>
      <c r="C4748" s="12">
        <v>0</v>
      </c>
      <c r="D4748" s="13">
        <v>0</v>
      </c>
      <c r="E4748" s="12">
        <v>0</v>
      </c>
      <c r="F4748" s="14">
        <v>0</v>
      </c>
      <c r="G4748" s="13">
        <v>1819679.2488</v>
      </c>
      <c r="H4748" s="14">
        <v>2476832753.6738858</v>
      </c>
      <c r="I4748" s="14" t="e">
        <f>=Round(37213.85310000,0)</f>
        <v>#VALUE!</v>
      </c>
      <c r="J4748" s="14" t="e">
        <f>=Round(0.00000000,0)</f>
        <v>#VALUE!</v>
      </c>
    </row>
    <row r="4749">
      <c r="A4749" s="11" t="s">
        <v>47</v>
      </c>
      <c r="B4749" s="12">
        <v>1361.367</v>
      </c>
      <c r="C4749" s="12">
        <v>0</v>
      </c>
      <c r="D4749" s="13">
        <v>0</v>
      </c>
      <c r="E4749" s="12">
        <v>0</v>
      </c>
      <c r="F4749" s="14">
        <v>0</v>
      </c>
      <c r="G4749" s="13">
        <v>1819679.2488</v>
      </c>
      <c r="H4749" s="14">
        <v>2477251279.90111</v>
      </c>
      <c r="I4749" s="14" t="e">
        <f>=Round(37220.16430000,0)</f>
        <v>#VALUE!</v>
      </c>
      <c r="J4749" s="14" t="e">
        <f>=Round(0.00000000,0)</f>
        <v>#VALUE!</v>
      </c>
    </row>
    <row r="4750">
      <c r="A4750" s="11" t="s">
        <v>48</v>
      </c>
      <c r="B4750" s="12">
        <v>1361.6195</v>
      </c>
      <c r="C4750" s="12">
        <v>0</v>
      </c>
      <c r="D4750" s="13">
        <v>0</v>
      </c>
      <c r="E4750" s="12">
        <v>0</v>
      </c>
      <c r="F4750" s="14">
        <v>0</v>
      </c>
      <c r="G4750" s="13">
        <v>1819679.2488</v>
      </c>
      <c r="H4750" s="14">
        <v>2477710748.9114318</v>
      </c>
      <c r="I4750" s="14" t="e">
        <f>=Round(37226.45370000,0)</f>
        <v>#VALUE!</v>
      </c>
      <c r="J4750" s="14" t="e">
        <f>=Round(0.00000000,0)</f>
        <v>#VALUE!</v>
      </c>
    </row>
    <row r="4751">
      <c r="A4751" s="11" t="s">
        <v>49</v>
      </c>
      <c r="B4751" s="12">
        <v>1361.6195</v>
      </c>
      <c r="C4751" s="12">
        <v>0</v>
      </c>
      <c r="D4751" s="13">
        <v>0</v>
      </c>
      <c r="E4751" s="12">
        <v>0</v>
      </c>
      <c r="F4751" s="14">
        <v>0</v>
      </c>
      <c r="G4751" s="13">
        <v>1819679.2488</v>
      </c>
      <c r="H4751" s="14">
        <v>2477710748.9114318</v>
      </c>
      <c r="I4751" s="14" t="e">
        <f>=Round(37233.35820000,0)</f>
        <v>#VALUE!</v>
      </c>
      <c r="J4751" s="14" t="e">
        <f>=Round(0.00000000,0)</f>
        <v>#VALUE!</v>
      </c>
    </row>
    <row r="4752">
      <c r="A4752" s="11" t="s">
        <v>50</v>
      </c>
      <c r="B4752" s="12">
        <v>1361.6195</v>
      </c>
      <c r="C4752" s="12">
        <v>0</v>
      </c>
      <c r="D4752" s="13">
        <v>0</v>
      </c>
      <c r="E4752" s="12">
        <v>0</v>
      </c>
      <c r="F4752" s="14">
        <v>0</v>
      </c>
      <c r="G4752" s="13">
        <v>1819679.2488</v>
      </c>
      <c r="H4752" s="14">
        <v>2477710748.9114318</v>
      </c>
      <c r="I4752" s="14" t="e">
        <f>=Round(37233.35820000,0)</f>
        <v>#VALUE!</v>
      </c>
      <c r="J4752" s="14" t="e">
        <f>=Round(0.00000000,0)</f>
        <v>#VALUE!</v>
      </c>
    </row>
    <row r="4753">
      <c r="A4753" s="11" t="s">
        <v>51</v>
      </c>
      <c r="B4753" s="12">
        <v>1362.3425</v>
      </c>
      <c r="C4753" s="12">
        <v>0</v>
      </c>
      <c r="D4753" s="13">
        <v>0</v>
      </c>
      <c r="E4753" s="12">
        <v>0</v>
      </c>
      <c r="F4753" s="14">
        <v>0</v>
      </c>
      <c r="G4753" s="13">
        <v>1819679.2488</v>
      </c>
      <c r="H4753" s="14">
        <v>2479026377.0083141</v>
      </c>
      <c r="I4753" s="14" t="e">
        <f>=Round(37233.35820000,0)</f>
        <v>#VALUE!</v>
      </c>
      <c r="J4753" s="14" t="e">
        <f>=Round(0.00000000,0)</f>
        <v>#VALUE!</v>
      </c>
    </row>
    <row r="4754">
      <c r="A4754" s="11" t="s">
        <v>52</v>
      </c>
      <c r="B4754" s="12">
        <v>1362.5746</v>
      </c>
      <c r="C4754" s="12">
        <v>0</v>
      </c>
      <c r="D4754" s="13">
        <v>0</v>
      </c>
      <c r="E4754" s="12">
        <v>0</v>
      </c>
      <c r="F4754" s="14">
        <v>0</v>
      </c>
      <c r="G4754" s="13">
        <v>1819679.2488</v>
      </c>
      <c r="H4754" s="14">
        <v>2479448724.56196</v>
      </c>
      <c r="I4754" s="14" t="e">
        <f>=Round(37253.12860000,0)</f>
        <v>#VALUE!</v>
      </c>
      <c r="J4754" s="14" t="e">
        <f>=Round(0.00000000,0)</f>
        <v>#VALUE!</v>
      </c>
    </row>
    <row r="4755">
      <c r="A4755" s="11" t="s">
        <v>53</v>
      </c>
      <c r="B4755" s="12">
        <v>1362.8067</v>
      </c>
      <c r="C4755" s="12">
        <v>0</v>
      </c>
      <c r="D4755" s="13">
        <v>0</v>
      </c>
      <c r="E4755" s="12">
        <v>0</v>
      </c>
      <c r="F4755" s="14">
        <v>0</v>
      </c>
      <c r="G4755" s="13">
        <v>1819679.2488</v>
      </c>
      <c r="H4755" s="14">
        <v>2479871072.1156068</v>
      </c>
      <c r="I4755" s="14" t="e">
        <f>=Round(37259.47540000,0)</f>
        <v>#VALUE!</v>
      </c>
      <c r="J4755" s="14" t="e">
        <f>=Round(0.00000000,0)</f>
        <v>#VALUE!</v>
      </c>
    </row>
    <row r="4756">
      <c r="A4756" s="11" t="s">
        <v>54</v>
      </c>
      <c r="B4756" s="12">
        <v>1363.0394</v>
      </c>
      <c r="C4756" s="12">
        <v>0</v>
      </c>
      <c r="D4756" s="13">
        <v>0</v>
      </c>
      <c r="E4756" s="12">
        <v>0</v>
      </c>
      <c r="F4756" s="14">
        <v>0</v>
      </c>
      <c r="G4756" s="13">
        <v>1819679.2488</v>
      </c>
      <c r="H4756" s="14">
        <v>2480294511.4768028</v>
      </c>
      <c r="I4756" s="14" t="e">
        <f>=Round(37265.82210000,0)</f>
        <v>#VALUE!</v>
      </c>
      <c r="J4756" s="14" t="e">
        <f>=Round(0.00000000,0)</f>
        <v>#VALUE!</v>
      </c>
    </row>
    <row r="4757">
      <c r="A4757" s="11" t="s">
        <v>55</v>
      </c>
      <c r="B4757" s="12">
        <v>1363.274</v>
      </c>
      <c r="C4757" s="12">
        <v>0</v>
      </c>
      <c r="D4757" s="13">
        <v>0</v>
      </c>
      <c r="E4757" s="12">
        <v>0</v>
      </c>
      <c r="F4757" s="14">
        <v>0</v>
      </c>
      <c r="G4757" s="13">
        <v>1819679.2488</v>
      </c>
      <c r="H4757" s="14">
        <v>2480721408.2285709</v>
      </c>
      <c r="I4757" s="14" t="e">
        <f>=Round(37272.18530000,0)</f>
        <v>#VALUE!</v>
      </c>
      <c r="J4757" s="14" t="e">
        <f>=Round(0.00000000,0)</f>
        <v>#VALUE!</v>
      </c>
    </row>
    <row r="4758" ht="-1">
      <c r="A4758" s="15"/>
      <c r="B4758" s="16" t="s">
        <v>56</v>
      </c>
      <c r="C4758" s="15"/>
      <c r="D4758" s="15"/>
      <c r="E4758" s="15"/>
      <c r="F4758" s="15"/>
      <c r="G4758" s="15"/>
      <c r="H4758" s="15"/>
      <c r="I4758" s="17" t="e">
        <f>=Round(SUM(I4732:I4757),0)</f>
        <v>#VALUE!</v>
      </c>
      <c r="J4758" s="17" t="e">
        <f>=Round(SUM(J4732:J4757),0)</f>
        <v>#VALUE!</v>
      </c>
    </row>
    <row r="4759">
      <c r="A4759" s="1" t="s">
        <v>0</v>
      </c>
      <c r="B4759" s="1"/>
      <c r="C4759" s="1"/>
      <c r="D4759" s="1"/>
    </row>
    <row r="4760">
      <c r="A4760" s="0" t="s">
        <v>1</v>
      </c>
      <c r="C4760" s="0" t="s">
        <v>144</v>
      </c>
      <c r="H4760" s="2" t="s">
        <v>3</v>
      </c>
    </row>
    <row r="4761">
      <c r="A4761" s="0" t="s">
        <v>4</v>
      </c>
      <c r="C4761" s="0" t="s">
        <v>179</v>
      </c>
      <c r="H4761" s="3" t="s">
        <v>6</v>
      </c>
    </row>
    <row r="4762">
      <c r="A4762" s="0" t="s">
        <v>7</v>
      </c>
      <c r="C4762" s="4" t="s">
        <v>146</v>
      </c>
      <c r="H4762" s="2" t="s">
        <v>9</v>
      </c>
    </row>
    <row r="4763">
      <c r="A4763" s="0" t="s">
        <v>10</v>
      </c>
      <c r="C4763" s="4" t="s">
        <v>11</v>
      </c>
      <c r="H4763" s="2" t="s">
        <v>12</v>
      </c>
    </row>
    <row r="4764">
      <c r="A4764" s="0" t="s">
        <v>13</v>
      </c>
      <c r="C4764" s="0" t="s">
        <v>14</v>
      </c>
    </row>
    <row r="4765">
      <c r="A4765" s="0" t="s">
        <v>15</v>
      </c>
      <c r="C4765" s="0" t="s">
        <v>16</v>
      </c>
    </row>
    <row r="4766">
      <c r="A4766" s="0" t="s">
        <v>17</v>
      </c>
      <c r="C4766" s="0" t="s">
        <v>18</v>
      </c>
    </row>
    <row r="4769">
      <c r="A4769" s="5" t="s">
        <v>19</v>
      </c>
      <c r="B4769" s="5" t="s">
        <v>20</v>
      </c>
      <c r="C4769" s="7" t="s">
        <v>21</v>
      </c>
      <c r="D4769" s="9"/>
      <c r="E4769" s="7" t="s">
        <v>22</v>
      </c>
      <c r="F4769" s="9"/>
      <c r="G4769" s="5" t="s">
        <v>23</v>
      </c>
      <c r="H4769" s="5" t="s">
        <v>24</v>
      </c>
      <c r="I4769" s="5" t="s">
        <v>147</v>
      </c>
      <c r="J4769" s="5" t="s">
        <v>26</v>
      </c>
    </row>
    <row r="4770">
      <c r="A4770" s="6"/>
      <c r="B4770" s="6"/>
      <c r="C4770" s="8" t="s">
        <v>27</v>
      </c>
      <c r="D4770" s="8" t="s">
        <v>28</v>
      </c>
      <c r="E4770" s="8" t="s">
        <v>27</v>
      </c>
      <c r="F4770" s="8" t="s">
        <v>28</v>
      </c>
      <c r="G4770" s="6"/>
      <c r="H4770" s="6"/>
      <c r="I4770" s="10" t="s">
        <v>29</v>
      </c>
      <c r="J4770" s="6"/>
    </row>
    <row r="4771">
      <c r="A4771" s="11" t="s">
        <v>30</v>
      </c>
      <c r="B4771" s="12">
        <v>1357.4104</v>
      </c>
      <c r="C4771" s="12">
        <v>0</v>
      </c>
      <c r="D4771" s="13">
        <v>0</v>
      </c>
      <c r="E4771" s="12">
        <v>0</v>
      </c>
      <c r="F4771" s="14">
        <v>0</v>
      </c>
      <c r="G4771" s="13">
        <v>53654407.304</v>
      </c>
      <c r="H4771" s="14">
        <v>72831050480.285568</v>
      </c>
      <c r="I4771" s="14" t="e">
        <f>=Round(1093896.03620000,0)</f>
        <v>#VALUE!</v>
      </c>
      <c r="J4771" s="14" t="e">
        <f>=Round(0.00000000,0)</f>
        <v>#VALUE!</v>
      </c>
    </row>
    <row r="4772">
      <c r="A4772" s="11" t="s">
        <v>31</v>
      </c>
      <c r="B4772" s="12">
        <v>1357.6428</v>
      </c>
      <c r="C4772" s="12">
        <v>0</v>
      </c>
      <c r="D4772" s="13">
        <v>0</v>
      </c>
      <c r="E4772" s="12">
        <v>11048561.5215</v>
      </c>
      <c r="F4772" s="14">
        <v>15000000000.02</v>
      </c>
      <c r="G4772" s="13">
        <v>53654407.304</v>
      </c>
      <c r="H4772" s="14">
        <v>72843519764.543015</v>
      </c>
      <c r="I4772" s="14" t="e">
        <f>=Round(1094455.67660000,0)</f>
        <v>#VALUE!</v>
      </c>
      <c r="J4772" s="14" t="e">
        <f>=Round(0.00000000,0)</f>
        <v>#VALUE!</v>
      </c>
    </row>
    <row r="4773">
      <c r="A4773" s="11" t="s">
        <v>32</v>
      </c>
      <c r="B4773" s="12">
        <v>1357.8735</v>
      </c>
      <c r="C4773" s="12">
        <v>10310238.7667</v>
      </c>
      <c r="D4773" s="13">
        <v>14000000000</v>
      </c>
      <c r="E4773" s="12">
        <v>0</v>
      </c>
      <c r="F4773" s="14">
        <v>0</v>
      </c>
      <c r="G4773" s="13">
        <v>42605845.7825</v>
      </c>
      <c r="H4773" s="14">
        <v>57853348933.143509</v>
      </c>
      <c r="I4773" s="14" t="e">
        <f>=Round(1094643.05660000,0)</f>
        <v>#VALUE!</v>
      </c>
      <c r="J4773" s="14" t="e">
        <f>=Round(0.00000000,0)</f>
        <v>#VALUE!</v>
      </c>
    </row>
    <row r="4774">
      <c r="A4774" s="11" t="s">
        <v>33</v>
      </c>
      <c r="B4774" s="12">
        <v>1358.1079</v>
      </c>
      <c r="C4774" s="12">
        <v>0</v>
      </c>
      <c r="D4774" s="13">
        <v>0</v>
      </c>
      <c r="E4774" s="12">
        <v>0</v>
      </c>
      <c r="F4774" s="14">
        <v>0</v>
      </c>
      <c r="G4774" s="13">
        <v>52916084.549200006</v>
      </c>
      <c r="H4774" s="14">
        <v>71865752463.336456</v>
      </c>
      <c r="I4774" s="14" t="e">
        <f>=Round(869380.92660000,0)</f>
        <v>#VALUE!</v>
      </c>
      <c r="J4774" s="14" t="e">
        <f>=Round(0.00000000,0)</f>
        <v>#VALUE!</v>
      </c>
    </row>
    <row r="4775">
      <c r="A4775" s="11" t="s">
        <v>34</v>
      </c>
      <c r="B4775" s="12">
        <v>1358.3402</v>
      </c>
      <c r="C4775" s="12">
        <v>0</v>
      </c>
      <c r="D4775" s="13">
        <v>0</v>
      </c>
      <c r="E4775" s="12">
        <v>0</v>
      </c>
      <c r="F4775" s="14">
        <v>0</v>
      </c>
      <c r="G4775" s="13">
        <v>52916084.549200006</v>
      </c>
      <c r="H4775" s="14">
        <v>71878044869.777237</v>
      </c>
      <c r="I4775" s="14" t="e">
        <f>=Round(1079949.83210000,0)</f>
        <v>#VALUE!</v>
      </c>
      <c r="J4775" s="14" t="e">
        <f>=Round(0.00000000,0)</f>
        <v>#VALUE!</v>
      </c>
    </row>
    <row r="4776">
      <c r="A4776" s="11" t="s">
        <v>35</v>
      </c>
      <c r="B4776" s="12">
        <v>1358.3402</v>
      </c>
      <c r="C4776" s="12">
        <v>0</v>
      </c>
      <c r="D4776" s="13">
        <v>0</v>
      </c>
      <c r="E4776" s="12">
        <v>0</v>
      </c>
      <c r="F4776" s="14">
        <v>0</v>
      </c>
      <c r="G4776" s="13">
        <v>52916084.549200006</v>
      </c>
      <c r="H4776" s="14">
        <v>71878044869.777237</v>
      </c>
      <c r="I4776" s="14" t="e">
        <f>=Round(1080134.55410000,0)</f>
        <v>#VALUE!</v>
      </c>
      <c r="J4776" s="14" t="e">
        <f>=Round(0.00000000,0)</f>
        <v>#VALUE!</v>
      </c>
    </row>
    <row r="4777">
      <c r="A4777" s="11" t="s">
        <v>36</v>
      </c>
      <c r="B4777" s="12">
        <v>1358.3402</v>
      </c>
      <c r="C4777" s="12">
        <v>0</v>
      </c>
      <c r="D4777" s="13">
        <v>0</v>
      </c>
      <c r="E4777" s="12">
        <v>0</v>
      </c>
      <c r="F4777" s="14">
        <v>0</v>
      </c>
      <c r="G4777" s="13">
        <v>52916084.549200006</v>
      </c>
      <c r="H4777" s="14">
        <v>71878044869.777237</v>
      </c>
      <c r="I4777" s="14" t="e">
        <f>=Round(1080134.55410000,0)</f>
        <v>#VALUE!</v>
      </c>
      <c r="J4777" s="14" t="e">
        <f>=Round(0.00000000,0)</f>
        <v>#VALUE!</v>
      </c>
    </row>
    <row r="4778">
      <c r="A4778" s="11" t="s">
        <v>37</v>
      </c>
      <c r="B4778" s="12">
        <v>1359.0395</v>
      </c>
      <c r="C4778" s="12">
        <v>0</v>
      </c>
      <c r="D4778" s="13">
        <v>0</v>
      </c>
      <c r="E4778" s="12">
        <v>0</v>
      </c>
      <c r="F4778" s="14">
        <v>0</v>
      </c>
      <c r="G4778" s="13">
        <v>52916084.549200006</v>
      </c>
      <c r="H4778" s="14">
        <v>71915049087.7025</v>
      </c>
      <c r="I4778" s="14" t="e">
        <f>=Round(1080134.55410000,0)</f>
        <v>#VALUE!</v>
      </c>
      <c r="J4778" s="14" t="e">
        <f>=Round(0.00000000,0)</f>
        <v>#VALUE!</v>
      </c>
    </row>
    <row r="4779">
      <c r="A4779" s="11" t="s">
        <v>38</v>
      </c>
      <c r="B4779" s="12">
        <v>1359.2726</v>
      </c>
      <c r="C4779" s="12">
        <v>0</v>
      </c>
      <c r="D4779" s="13">
        <v>0</v>
      </c>
      <c r="E4779" s="12">
        <v>0</v>
      </c>
      <c r="F4779" s="14">
        <v>0</v>
      </c>
      <c r="G4779" s="13">
        <v>52916084.549200006</v>
      </c>
      <c r="H4779" s="14">
        <v>71927383827.01091</v>
      </c>
      <c r="I4779" s="14" t="e">
        <f>=Round(1080690.62840000,0)</f>
        <v>#VALUE!</v>
      </c>
      <c r="J4779" s="14" t="e">
        <f>=Round(0.00000000,0)</f>
        <v>#VALUE!</v>
      </c>
    </row>
    <row r="4780">
      <c r="A4780" s="11" t="s">
        <v>39</v>
      </c>
      <c r="B4780" s="12">
        <v>1359.5048</v>
      </c>
      <c r="C4780" s="12">
        <v>0</v>
      </c>
      <c r="D4780" s="13">
        <v>0</v>
      </c>
      <c r="E4780" s="12">
        <v>0</v>
      </c>
      <c r="F4780" s="14">
        <v>0</v>
      </c>
      <c r="G4780" s="13">
        <v>52916084.549200006</v>
      </c>
      <c r="H4780" s="14">
        <v>71939670941.843231</v>
      </c>
      <c r="I4780" s="14" t="e">
        <f>=Round(1080875.98650000,0)</f>
        <v>#VALUE!</v>
      </c>
      <c r="J4780" s="14" t="e">
        <f>=Round(0.00000000,0)</f>
        <v>#VALUE!</v>
      </c>
    </row>
    <row r="4781">
      <c r="A4781" s="11" t="s">
        <v>40</v>
      </c>
      <c r="B4781" s="12">
        <v>1359.7365</v>
      </c>
      <c r="C4781" s="12">
        <v>0</v>
      </c>
      <c r="D4781" s="13">
        <v>0</v>
      </c>
      <c r="E4781" s="12">
        <v>0</v>
      </c>
      <c r="F4781" s="14">
        <v>0</v>
      </c>
      <c r="G4781" s="13">
        <v>52916084.549200006</v>
      </c>
      <c r="H4781" s="14">
        <v>71951931598.633286</v>
      </c>
      <c r="I4781" s="14" t="e">
        <f>=Round(1081060.62890000,0)</f>
        <v>#VALUE!</v>
      </c>
      <c r="J4781" s="14" t="e">
        <f>=Round(0.00000000,0)</f>
        <v>#VALUE!</v>
      </c>
    </row>
    <row r="4782">
      <c r="A4782" s="11" t="s">
        <v>41</v>
      </c>
      <c r="B4782" s="12">
        <v>1359.979</v>
      </c>
      <c r="C4782" s="12">
        <v>0</v>
      </c>
      <c r="D4782" s="13">
        <v>0</v>
      </c>
      <c r="E4782" s="12">
        <v>0</v>
      </c>
      <c r="F4782" s="14">
        <v>0</v>
      </c>
      <c r="G4782" s="13">
        <v>52916084.549200006</v>
      </c>
      <c r="H4782" s="14">
        <v>71964763749.136459</v>
      </c>
      <c r="I4782" s="14" t="e">
        <f>=Round(1081244.87370000,0)</f>
        <v>#VALUE!</v>
      </c>
      <c r="J4782" s="14" t="e">
        <f>=Round(0.00000000,0)</f>
        <v>#VALUE!</v>
      </c>
    </row>
    <row r="4783">
      <c r="A4783" s="11" t="s">
        <v>42</v>
      </c>
      <c r="B4783" s="12">
        <v>1359.979</v>
      </c>
      <c r="C4783" s="12">
        <v>0</v>
      </c>
      <c r="D4783" s="13">
        <v>0</v>
      </c>
      <c r="E4783" s="12">
        <v>0</v>
      </c>
      <c r="F4783" s="14">
        <v>0</v>
      </c>
      <c r="G4783" s="13">
        <v>52916084.549200006</v>
      </c>
      <c r="H4783" s="14">
        <v>71964763749.136459</v>
      </c>
      <c r="I4783" s="14" t="e">
        <f>=Round(1081437.70660000,0)</f>
        <v>#VALUE!</v>
      </c>
      <c r="J4783" s="14" t="e">
        <f>=Round(0.00000000,0)</f>
        <v>#VALUE!</v>
      </c>
    </row>
    <row r="4784">
      <c r="A4784" s="11" t="s">
        <v>43</v>
      </c>
      <c r="B4784" s="12">
        <v>1359.979</v>
      </c>
      <c r="C4784" s="12">
        <v>0</v>
      </c>
      <c r="D4784" s="13">
        <v>0</v>
      </c>
      <c r="E4784" s="12">
        <v>0</v>
      </c>
      <c r="F4784" s="14">
        <v>0</v>
      </c>
      <c r="G4784" s="13">
        <v>52916084.549200006</v>
      </c>
      <c r="H4784" s="14">
        <v>71964763749.136459</v>
      </c>
      <c r="I4784" s="14" t="e">
        <f>=Round(1081437.70660000,0)</f>
        <v>#VALUE!</v>
      </c>
      <c r="J4784" s="14" t="e">
        <f>=Round(0.00000000,0)</f>
        <v>#VALUE!</v>
      </c>
    </row>
    <row r="4785">
      <c r="A4785" s="11" t="s">
        <v>44</v>
      </c>
      <c r="B4785" s="12">
        <v>1360.6758</v>
      </c>
      <c r="C4785" s="12">
        <v>0</v>
      </c>
      <c r="D4785" s="13">
        <v>0</v>
      </c>
      <c r="E4785" s="12">
        <v>0</v>
      </c>
      <c r="F4785" s="14">
        <v>0</v>
      </c>
      <c r="G4785" s="13">
        <v>52916084.549200006</v>
      </c>
      <c r="H4785" s="14">
        <v>72001635676.850357</v>
      </c>
      <c r="I4785" s="14" t="e">
        <f>=Round(1081437.70660000,0)</f>
        <v>#VALUE!</v>
      </c>
      <c r="J4785" s="14" t="e">
        <f>=Round(0.00000000,0)</f>
        <v>#VALUE!</v>
      </c>
    </row>
    <row r="4786">
      <c r="A4786" s="11" t="s">
        <v>45</v>
      </c>
      <c r="B4786" s="12">
        <v>1360.9062</v>
      </c>
      <c r="C4786" s="12">
        <v>0</v>
      </c>
      <c r="D4786" s="13">
        <v>0</v>
      </c>
      <c r="E4786" s="12">
        <v>11022067.5018</v>
      </c>
      <c r="F4786" s="14">
        <v>15000000000.02</v>
      </c>
      <c r="G4786" s="13">
        <v>52916084.549200006</v>
      </c>
      <c r="H4786" s="14">
        <v>72013827542.730484</v>
      </c>
      <c r="I4786" s="14" t="e">
        <f>=Round(1081991.79300000,0)</f>
        <v>#VALUE!</v>
      </c>
      <c r="J4786" s="14" t="e">
        <f>=Round(0.00000000,0)</f>
        <v>#VALUE!</v>
      </c>
    </row>
    <row r="4787">
      <c r="A4787" s="11" t="s">
        <v>46</v>
      </c>
      <c r="B4787" s="12">
        <v>1361.137</v>
      </c>
      <c r="C4787" s="12">
        <v>0</v>
      </c>
      <c r="D4787" s="13">
        <v>0</v>
      </c>
      <c r="E4787" s="12">
        <v>0</v>
      </c>
      <c r="F4787" s="14">
        <v>0</v>
      </c>
      <c r="G4787" s="13">
        <v>41894017.0474</v>
      </c>
      <c r="H4787" s="14">
        <v>57023496681.846893</v>
      </c>
      <c r="I4787" s="14" t="e">
        <f>=Round(1082175.00410000,0)</f>
        <v>#VALUE!</v>
      </c>
      <c r="J4787" s="14" t="e">
        <f>=Round(0.00000000,0)</f>
        <v>#VALUE!</v>
      </c>
    </row>
    <row r="4788">
      <c r="A4788" s="11" t="s">
        <v>47</v>
      </c>
      <c r="B4788" s="12">
        <v>1361.367</v>
      </c>
      <c r="C4788" s="12">
        <v>5876446.2485</v>
      </c>
      <c r="D4788" s="13">
        <v>8000000000</v>
      </c>
      <c r="E4788" s="12">
        <v>0</v>
      </c>
      <c r="F4788" s="14">
        <v>0</v>
      </c>
      <c r="G4788" s="13">
        <v>41894017.0474</v>
      </c>
      <c r="H4788" s="14">
        <v>57033132305.767792</v>
      </c>
      <c r="I4788" s="14" t="e">
        <f>=Round(856910.46930000,0)</f>
        <v>#VALUE!</v>
      </c>
      <c r="J4788" s="14" t="e">
        <f>=Round(0.00000000,0)</f>
        <v>#VALUE!</v>
      </c>
    </row>
    <row r="4789">
      <c r="A4789" s="11" t="s">
        <v>48</v>
      </c>
      <c r="B4789" s="12">
        <v>1361.6195</v>
      </c>
      <c r="C4789" s="12">
        <v>0</v>
      </c>
      <c r="D4789" s="13">
        <v>0</v>
      </c>
      <c r="E4789" s="12">
        <v>0</v>
      </c>
      <c r="F4789" s="14">
        <v>0</v>
      </c>
      <c r="G4789" s="13">
        <v>47770463.2959</v>
      </c>
      <c r="H4789" s="14">
        <v>65045194347.731712</v>
      </c>
      <c r="I4789" s="14" t="e">
        <f>=Round(857055.26690000,0)</f>
        <v>#VALUE!</v>
      </c>
      <c r="J4789" s="14" t="e">
        <f>=Round(0.00000000,0)</f>
        <v>#VALUE!</v>
      </c>
    </row>
    <row r="4790">
      <c r="A4790" s="11" t="s">
        <v>49</v>
      </c>
      <c r="B4790" s="12">
        <v>1361.6195</v>
      </c>
      <c r="C4790" s="12">
        <v>0</v>
      </c>
      <c r="D4790" s="13">
        <v>0</v>
      </c>
      <c r="E4790" s="12">
        <v>0</v>
      </c>
      <c r="F4790" s="14">
        <v>0</v>
      </c>
      <c r="G4790" s="13">
        <v>47770463.2959</v>
      </c>
      <c r="H4790" s="14">
        <v>65045194347.731712</v>
      </c>
      <c r="I4790" s="14" t="e">
        <f>=Round(977455.10630000,0)</f>
        <v>#VALUE!</v>
      </c>
      <c r="J4790" s="14" t="e">
        <f>=Round(0.00000000,0)</f>
        <v>#VALUE!</v>
      </c>
    </row>
    <row r="4791">
      <c r="A4791" s="11" t="s">
        <v>50</v>
      </c>
      <c r="B4791" s="12">
        <v>1361.6195</v>
      </c>
      <c r="C4791" s="12">
        <v>0</v>
      </c>
      <c r="D4791" s="13">
        <v>0</v>
      </c>
      <c r="E4791" s="12">
        <v>0</v>
      </c>
      <c r="F4791" s="14">
        <v>0</v>
      </c>
      <c r="G4791" s="13">
        <v>47770463.2959</v>
      </c>
      <c r="H4791" s="14">
        <v>65045194347.731712</v>
      </c>
      <c r="I4791" s="14" t="e">
        <f>=Round(977455.10630000,0)</f>
        <v>#VALUE!</v>
      </c>
      <c r="J4791" s="14" t="e">
        <f>=Round(0.00000000,0)</f>
        <v>#VALUE!</v>
      </c>
    </row>
    <row r="4792">
      <c r="A4792" s="11" t="s">
        <v>51</v>
      </c>
      <c r="B4792" s="12">
        <v>1362.3425</v>
      </c>
      <c r="C4792" s="12">
        <v>0</v>
      </c>
      <c r="D4792" s="13">
        <v>0</v>
      </c>
      <c r="E4792" s="12">
        <v>0</v>
      </c>
      <c r="F4792" s="14">
        <v>0</v>
      </c>
      <c r="G4792" s="13">
        <v>47770463.2959</v>
      </c>
      <c r="H4792" s="14">
        <v>65079732392.694649</v>
      </c>
      <c r="I4792" s="14" t="e">
        <f>=Round(977455.10630000,0)</f>
        <v>#VALUE!</v>
      </c>
      <c r="J4792" s="14" t="e">
        <f>=Round(0.00000000,0)</f>
        <v>#VALUE!</v>
      </c>
    </row>
    <row r="4793">
      <c r="A4793" s="11" t="s">
        <v>52</v>
      </c>
      <c r="B4793" s="12">
        <v>1362.5746</v>
      </c>
      <c r="C4793" s="12">
        <v>0</v>
      </c>
      <c r="D4793" s="13">
        <v>0</v>
      </c>
      <c r="E4793" s="12">
        <v>0</v>
      </c>
      <c r="F4793" s="14">
        <v>0</v>
      </c>
      <c r="G4793" s="13">
        <v>47770463.2959</v>
      </c>
      <c r="H4793" s="14">
        <v>65090819917.225624</v>
      </c>
      <c r="I4793" s="14" t="e">
        <f>=Round(977974.12070000,0)</f>
        <v>#VALUE!</v>
      </c>
      <c r="J4793" s="14" t="e">
        <f>=Round(0.00000000,0)</f>
        <v>#VALUE!</v>
      </c>
    </row>
    <row r="4794">
      <c r="A4794" s="11" t="s">
        <v>53</v>
      </c>
      <c r="B4794" s="12">
        <v>1362.8067</v>
      </c>
      <c r="C4794" s="12">
        <v>0</v>
      </c>
      <c r="D4794" s="13">
        <v>0</v>
      </c>
      <c r="E4794" s="12">
        <v>14675595.5925</v>
      </c>
      <c r="F4794" s="14">
        <v>19999999999.95</v>
      </c>
      <c r="G4794" s="13">
        <v>47770463.2959</v>
      </c>
      <c r="H4794" s="14">
        <v>65101907441.7566</v>
      </c>
      <c r="I4794" s="14" t="e">
        <f>=Round(978140.73650000,0)</f>
        <v>#VALUE!</v>
      </c>
      <c r="J4794" s="14" t="e">
        <f>=Round(0.00000000,0)</f>
        <v>#VALUE!</v>
      </c>
    </row>
    <row r="4795">
      <c r="A4795" s="11" t="s">
        <v>54</v>
      </c>
      <c r="B4795" s="12">
        <v>1363.0394</v>
      </c>
      <c r="C4795" s="12">
        <v>16507226.4235</v>
      </c>
      <c r="D4795" s="13">
        <v>22500000000</v>
      </c>
      <c r="E4795" s="12">
        <v>0</v>
      </c>
      <c r="F4795" s="14">
        <v>0</v>
      </c>
      <c r="G4795" s="13">
        <v>33094867.703399997</v>
      </c>
      <c r="H4795" s="14">
        <v>45109608617.521713</v>
      </c>
      <c r="I4795" s="14" t="e">
        <f>=Round(978307.35230000,0)</f>
        <v>#VALUE!</v>
      </c>
      <c r="J4795" s="14" t="e">
        <f>=Round(0.00000000,0)</f>
        <v>#VALUE!</v>
      </c>
    </row>
    <row r="4796">
      <c r="A4796" s="11" t="s">
        <v>55</v>
      </c>
      <c r="B4796" s="12">
        <v>1363.274</v>
      </c>
      <c r="C4796" s="12">
        <v>0</v>
      </c>
      <c r="D4796" s="13">
        <v>0</v>
      </c>
      <c r="E4796" s="12">
        <v>0</v>
      </c>
      <c r="F4796" s="14">
        <v>0</v>
      </c>
      <c r="G4796" s="13">
        <v>49602094.1269</v>
      </c>
      <c r="H4796" s="14">
        <v>67621245268.75547</v>
      </c>
      <c r="I4796" s="14" t="e">
        <f>=Round(677876.63220000,0)</f>
        <v>#VALUE!</v>
      </c>
      <c r="J4796" s="14" t="e">
        <f>=Round(0.00000000,0)</f>
        <v>#VALUE!</v>
      </c>
    </row>
    <row r="4797" ht="-1">
      <c r="A4797" s="15"/>
      <c r="B4797" s="16" t="s">
        <v>56</v>
      </c>
      <c r="C4797" s="15"/>
      <c r="D4797" s="15"/>
      <c r="E4797" s="15"/>
      <c r="F4797" s="15"/>
      <c r="G4797" s="15"/>
      <c r="H4797" s="15"/>
      <c r="I4797" s="17" t="e">
        <f>=Round(SUM(I4771:I4796),0)</f>
        <v>#VALUE!</v>
      </c>
      <c r="J4797" s="17" t="e">
        <f>=Round(SUM(J4771:J4796),0)</f>
        <v>#VALUE!</v>
      </c>
    </row>
    <row r="4798">
      <c r="A4798" s="1" t="s">
        <v>0</v>
      </c>
      <c r="B4798" s="1"/>
      <c r="C4798" s="1"/>
      <c r="D4798" s="1"/>
    </row>
    <row r="4799">
      <c r="A4799" s="0" t="s">
        <v>1</v>
      </c>
      <c r="C4799" s="0" t="s">
        <v>144</v>
      </c>
      <c r="H4799" s="2" t="s">
        <v>3</v>
      </c>
    </row>
    <row r="4800">
      <c r="A4800" s="0" t="s">
        <v>4</v>
      </c>
      <c r="C4800" s="0" t="s">
        <v>180</v>
      </c>
      <c r="H4800" s="3" t="s">
        <v>6</v>
      </c>
    </row>
    <row r="4801">
      <c r="A4801" s="0" t="s">
        <v>7</v>
      </c>
      <c r="C4801" s="4" t="s">
        <v>146</v>
      </c>
      <c r="H4801" s="2" t="s">
        <v>9</v>
      </c>
    </row>
    <row r="4802">
      <c r="A4802" s="0" t="s">
        <v>10</v>
      </c>
      <c r="C4802" s="4" t="s">
        <v>11</v>
      </c>
      <c r="H4802" s="2" t="s">
        <v>12</v>
      </c>
    </row>
    <row r="4803">
      <c r="A4803" s="0" t="s">
        <v>13</v>
      </c>
      <c r="C4803" s="0" t="s">
        <v>14</v>
      </c>
    </row>
    <row r="4804">
      <c r="A4804" s="0" t="s">
        <v>15</v>
      </c>
      <c r="C4804" s="0" t="s">
        <v>16</v>
      </c>
    </row>
    <row r="4805">
      <c r="A4805" s="0" t="s">
        <v>17</v>
      </c>
      <c r="C4805" s="0" t="s">
        <v>18</v>
      </c>
    </row>
    <row r="4808">
      <c r="A4808" s="5" t="s">
        <v>19</v>
      </c>
      <c r="B4808" s="5" t="s">
        <v>20</v>
      </c>
      <c r="C4808" s="7" t="s">
        <v>21</v>
      </c>
      <c r="D4808" s="9"/>
      <c r="E4808" s="7" t="s">
        <v>22</v>
      </c>
      <c r="F4808" s="9"/>
      <c r="G4808" s="5" t="s">
        <v>23</v>
      </c>
      <c r="H4808" s="5" t="s">
        <v>24</v>
      </c>
      <c r="I4808" s="5" t="s">
        <v>147</v>
      </c>
      <c r="J4808" s="5" t="s">
        <v>26</v>
      </c>
    </row>
    <row r="4809">
      <c r="A4809" s="6"/>
      <c r="B4809" s="6"/>
      <c r="C4809" s="8" t="s">
        <v>27</v>
      </c>
      <c r="D4809" s="8" t="s">
        <v>28</v>
      </c>
      <c r="E4809" s="8" t="s">
        <v>27</v>
      </c>
      <c r="F4809" s="8" t="s">
        <v>28</v>
      </c>
      <c r="G4809" s="6"/>
      <c r="H4809" s="6"/>
      <c r="I4809" s="10" t="s">
        <v>29</v>
      </c>
      <c r="J4809" s="6"/>
    </row>
    <row r="4810">
      <c r="A4810" s="11" t="s">
        <v>30</v>
      </c>
      <c r="B4810" s="12">
        <v>1357.4104</v>
      </c>
      <c r="C4810" s="12">
        <v>0</v>
      </c>
      <c r="D4810" s="13">
        <v>0</v>
      </c>
      <c r="E4810" s="12">
        <v>0</v>
      </c>
      <c r="F4810" s="14">
        <v>0</v>
      </c>
      <c r="G4810" s="13">
        <v>779175.2515</v>
      </c>
      <c r="H4810" s="14">
        <v>1057660589.8087161</v>
      </c>
      <c r="I4810" s="14" t="e">
        <f>=Round(15885.67950000,0)</f>
        <v>#VALUE!</v>
      </c>
      <c r="J4810" s="14" t="e">
        <f>=Round(0.00000000,0)</f>
        <v>#VALUE!</v>
      </c>
    </row>
    <row r="4811">
      <c r="A4811" s="11" t="s">
        <v>31</v>
      </c>
      <c r="B4811" s="12">
        <v>1357.6428</v>
      </c>
      <c r="C4811" s="12">
        <v>0</v>
      </c>
      <c r="D4811" s="13">
        <v>0</v>
      </c>
      <c r="E4811" s="12">
        <v>0</v>
      </c>
      <c r="F4811" s="14">
        <v>0</v>
      </c>
      <c r="G4811" s="13">
        <v>779175.2515</v>
      </c>
      <c r="H4811" s="14">
        <v>1057841670.137164</v>
      </c>
      <c r="I4811" s="14" t="e">
        <f>=Round(15893.80670000,0)</f>
        <v>#VALUE!</v>
      </c>
      <c r="J4811" s="14" t="e">
        <f>=Round(0.00000000,0)</f>
        <v>#VALUE!</v>
      </c>
    </row>
    <row r="4812">
      <c r="A4812" s="11" t="s">
        <v>32</v>
      </c>
      <c r="B4812" s="12">
        <v>1357.8735</v>
      </c>
      <c r="C4812" s="12">
        <v>0</v>
      </c>
      <c r="D4812" s="13">
        <v>0</v>
      </c>
      <c r="E4812" s="12">
        <v>0</v>
      </c>
      <c r="F4812" s="14">
        <v>0</v>
      </c>
      <c r="G4812" s="13">
        <v>779175.2515</v>
      </c>
      <c r="H4812" s="14">
        <v>1058021425.867685</v>
      </c>
      <c r="I4812" s="14" t="e">
        <f>=Round(15896.52780000,0)</f>
        <v>#VALUE!</v>
      </c>
      <c r="J4812" s="14" t="e">
        <f>=Round(0.00000000,0)</f>
        <v>#VALUE!</v>
      </c>
    </row>
    <row r="4813">
      <c r="A4813" s="11" t="s">
        <v>33</v>
      </c>
      <c r="B4813" s="12">
        <v>1358.1079</v>
      </c>
      <c r="C4813" s="12">
        <v>0</v>
      </c>
      <c r="D4813" s="13">
        <v>0</v>
      </c>
      <c r="E4813" s="12">
        <v>0</v>
      </c>
      <c r="F4813" s="14">
        <v>0</v>
      </c>
      <c r="G4813" s="13">
        <v>779175.2515</v>
      </c>
      <c r="H4813" s="14">
        <v>1058204064.5466371</v>
      </c>
      <c r="I4813" s="14" t="e">
        <f>=Round(15899.22910000,0)</f>
        <v>#VALUE!</v>
      </c>
      <c r="J4813" s="14" t="e">
        <f>=Round(0.00000000,0)</f>
        <v>#VALUE!</v>
      </c>
    </row>
    <row r="4814">
      <c r="A4814" s="11" t="s">
        <v>34</v>
      </c>
      <c r="B4814" s="12">
        <v>1358.3402</v>
      </c>
      <c r="C4814" s="12">
        <v>0</v>
      </c>
      <c r="D4814" s="13">
        <v>0</v>
      </c>
      <c r="E4814" s="12">
        <v>0</v>
      </c>
      <c r="F4814" s="14">
        <v>0</v>
      </c>
      <c r="G4814" s="13">
        <v>779175.2515</v>
      </c>
      <c r="H4814" s="14">
        <v>1058385066.95756</v>
      </c>
      <c r="I4814" s="14" t="e">
        <f>=Round(15901.97360000,0)</f>
        <v>#VALUE!</v>
      </c>
      <c r="J4814" s="14" t="e">
        <f>=Round(0.00000000,0)</f>
        <v>#VALUE!</v>
      </c>
    </row>
    <row r="4815">
      <c r="A4815" s="11" t="s">
        <v>35</v>
      </c>
      <c r="B4815" s="12">
        <v>1358.3402</v>
      </c>
      <c r="C4815" s="12">
        <v>0</v>
      </c>
      <c r="D4815" s="13">
        <v>0</v>
      </c>
      <c r="E4815" s="12">
        <v>0</v>
      </c>
      <c r="F4815" s="14">
        <v>0</v>
      </c>
      <c r="G4815" s="13">
        <v>779175.2515</v>
      </c>
      <c r="H4815" s="14">
        <v>1058385066.95756</v>
      </c>
      <c r="I4815" s="14" t="e">
        <f>=Round(15904.69360000,0)</f>
        <v>#VALUE!</v>
      </c>
      <c r="J4815" s="14" t="e">
        <f>=Round(0.00000000,0)</f>
        <v>#VALUE!</v>
      </c>
    </row>
    <row r="4816">
      <c r="A4816" s="11" t="s">
        <v>36</v>
      </c>
      <c r="B4816" s="12">
        <v>1358.3402</v>
      </c>
      <c r="C4816" s="12">
        <v>0</v>
      </c>
      <c r="D4816" s="13">
        <v>0</v>
      </c>
      <c r="E4816" s="12">
        <v>0</v>
      </c>
      <c r="F4816" s="14">
        <v>0</v>
      </c>
      <c r="G4816" s="13">
        <v>779175.2515</v>
      </c>
      <c r="H4816" s="14">
        <v>1058385066.95756</v>
      </c>
      <c r="I4816" s="14" t="e">
        <f>=Round(15904.69360000,0)</f>
        <v>#VALUE!</v>
      </c>
      <c r="J4816" s="14" t="e">
        <f>=Round(0.00000000,0)</f>
        <v>#VALUE!</v>
      </c>
    </row>
    <row r="4817">
      <c r="A4817" s="11" t="s">
        <v>37</v>
      </c>
      <c r="B4817" s="12">
        <v>1359.0395</v>
      </c>
      <c r="C4817" s="12">
        <v>0</v>
      </c>
      <c r="D4817" s="13">
        <v>0</v>
      </c>
      <c r="E4817" s="12">
        <v>0</v>
      </c>
      <c r="F4817" s="14">
        <v>0</v>
      </c>
      <c r="G4817" s="13">
        <v>779175.2515</v>
      </c>
      <c r="H4817" s="14">
        <v>1058929944.210934</v>
      </c>
      <c r="I4817" s="14" t="e">
        <f>=Round(15904.69360000,0)</f>
        <v>#VALUE!</v>
      </c>
      <c r="J4817" s="14" t="e">
        <f>=Round(0.00000000,0)</f>
        <v>#VALUE!</v>
      </c>
    </row>
    <row r="4818">
      <c r="A4818" s="11" t="s">
        <v>38</v>
      </c>
      <c r="B4818" s="12">
        <v>1359.2726</v>
      </c>
      <c r="C4818" s="12">
        <v>0</v>
      </c>
      <c r="D4818" s="13">
        <v>0</v>
      </c>
      <c r="E4818" s="12">
        <v>0</v>
      </c>
      <c r="F4818" s="14">
        <v>0</v>
      </c>
      <c r="G4818" s="13">
        <v>779175.2515</v>
      </c>
      <c r="H4818" s="14">
        <v>1059111569.962059</v>
      </c>
      <c r="I4818" s="14" t="e">
        <f>=Round(15912.88170000,0)</f>
        <v>#VALUE!</v>
      </c>
      <c r="J4818" s="14" t="e">
        <f>=Round(0.00000000,0)</f>
        <v>#VALUE!</v>
      </c>
    </row>
    <row r="4819">
      <c r="A4819" s="11" t="s">
        <v>39</v>
      </c>
      <c r="B4819" s="12">
        <v>1359.5048</v>
      </c>
      <c r="C4819" s="12">
        <v>0</v>
      </c>
      <c r="D4819" s="13">
        <v>0</v>
      </c>
      <c r="E4819" s="12">
        <v>0</v>
      </c>
      <c r="F4819" s="14">
        <v>0</v>
      </c>
      <c r="G4819" s="13">
        <v>779175.2515</v>
      </c>
      <c r="H4819" s="14">
        <v>1059292494.455457</v>
      </c>
      <c r="I4819" s="14" t="e">
        <f>=Round(15915.61100000,0)</f>
        <v>#VALUE!</v>
      </c>
      <c r="J4819" s="14" t="e">
        <f>=Round(0.00000000,0)</f>
        <v>#VALUE!</v>
      </c>
    </row>
    <row r="4820">
      <c r="A4820" s="11" t="s">
        <v>40</v>
      </c>
      <c r="B4820" s="12">
        <v>1359.7365</v>
      </c>
      <c r="C4820" s="12">
        <v>0</v>
      </c>
      <c r="D4820" s="13">
        <v>0</v>
      </c>
      <c r="E4820" s="12">
        <v>0</v>
      </c>
      <c r="F4820" s="14">
        <v>0</v>
      </c>
      <c r="G4820" s="13">
        <v>779175.2515</v>
      </c>
      <c r="H4820" s="14">
        <v>1059473029.36123</v>
      </c>
      <c r="I4820" s="14" t="e">
        <f>=Round(15918.32980000,0)</f>
        <v>#VALUE!</v>
      </c>
      <c r="J4820" s="14" t="e">
        <f>=Round(0.00000000,0)</f>
        <v>#VALUE!</v>
      </c>
    </row>
    <row r="4821">
      <c r="A4821" s="11" t="s">
        <v>41</v>
      </c>
      <c r="B4821" s="12">
        <v>1359.979</v>
      </c>
      <c r="C4821" s="12">
        <v>0</v>
      </c>
      <c r="D4821" s="13">
        <v>0</v>
      </c>
      <c r="E4821" s="12">
        <v>0</v>
      </c>
      <c r="F4821" s="14">
        <v>0</v>
      </c>
      <c r="G4821" s="13">
        <v>779175.2515</v>
      </c>
      <c r="H4821" s="14">
        <v>1059661979.359719</v>
      </c>
      <c r="I4821" s="14" t="e">
        <f>=Round(15921.04280000,0)</f>
        <v>#VALUE!</v>
      </c>
      <c r="J4821" s="14" t="e">
        <f>=Round(0.00000000,0)</f>
        <v>#VALUE!</v>
      </c>
    </row>
    <row r="4822">
      <c r="A4822" s="11" t="s">
        <v>42</v>
      </c>
      <c r="B4822" s="12">
        <v>1359.979</v>
      </c>
      <c r="C4822" s="12">
        <v>0</v>
      </c>
      <c r="D4822" s="13">
        <v>0</v>
      </c>
      <c r="E4822" s="12">
        <v>0</v>
      </c>
      <c r="F4822" s="14">
        <v>0</v>
      </c>
      <c r="G4822" s="13">
        <v>779175.2515</v>
      </c>
      <c r="H4822" s="14">
        <v>1059661979.359719</v>
      </c>
      <c r="I4822" s="14" t="e">
        <f>=Round(15923.88220000,0)</f>
        <v>#VALUE!</v>
      </c>
      <c r="J4822" s="14" t="e">
        <f>=Round(0.00000000,0)</f>
        <v>#VALUE!</v>
      </c>
    </row>
    <row r="4823">
      <c r="A4823" s="11" t="s">
        <v>43</v>
      </c>
      <c r="B4823" s="12">
        <v>1359.979</v>
      </c>
      <c r="C4823" s="12">
        <v>0</v>
      </c>
      <c r="D4823" s="13">
        <v>0</v>
      </c>
      <c r="E4823" s="12">
        <v>0</v>
      </c>
      <c r="F4823" s="14">
        <v>0</v>
      </c>
      <c r="G4823" s="13">
        <v>779175.2515</v>
      </c>
      <c r="H4823" s="14">
        <v>1059661979.359719</v>
      </c>
      <c r="I4823" s="14" t="e">
        <f>=Round(15923.88220000,0)</f>
        <v>#VALUE!</v>
      </c>
      <c r="J4823" s="14" t="e">
        <f>=Round(0.00000000,0)</f>
        <v>#VALUE!</v>
      </c>
    </row>
    <row r="4824">
      <c r="A4824" s="11" t="s">
        <v>44</v>
      </c>
      <c r="B4824" s="12">
        <v>1360.6758</v>
      </c>
      <c r="C4824" s="12">
        <v>0</v>
      </c>
      <c r="D4824" s="13">
        <v>0</v>
      </c>
      <c r="E4824" s="12">
        <v>0</v>
      </c>
      <c r="F4824" s="14">
        <v>0</v>
      </c>
      <c r="G4824" s="13">
        <v>779175.2515</v>
      </c>
      <c r="H4824" s="14">
        <v>1060204908.674964</v>
      </c>
      <c r="I4824" s="14" t="e">
        <f>=Round(15923.88220000,0)</f>
        <v>#VALUE!</v>
      </c>
      <c r="J4824" s="14" t="e">
        <f>=Round(0.00000000,0)</f>
        <v>#VALUE!</v>
      </c>
    </row>
    <row r="4825">
      <c r="A4825" s="11" t="s">
        <v>45</v>
      </c>
      <c r="B4825" s="12">
        <v>1360.9062</v>
      </c>
      <c r="C4825" s="12">
        <v>0</v>
      </c>
      <c r="D4825" s="13">
        <v>0</v>
      </c>
      <c r="E4825" s="12">
        <v>0</v>
      </c>
      <c r="F4825" s="14">
        <v>0</v>
      </c>
      <c r="G4825" s="13">
        <v>779175.2515</v>
      </c>
      <c r="H4825" s="14">
        <v>1060384430.652909</v>
      </c>
      <c r="I4825" s="14" t="e">
        <f>=Round(15932.04100000,0)</f>
        <v>#VALUE!</v>
      </c>
      <c r="J4825" s="14" t="e">
        <f>=Round(0.00000000,0)</f>
        <v>#VALUE!</v>
      </c>
    </row>
    <row r="4826">
      <c r="A4826" s="11" t="s">
        <v>46</v>
      </c>
      <c r="B4826" s="12">
        <v>1361.137</v>
      </c>
      <c r="C4826" s="12">
        <v>0</v>
      </c>
      <c r="D4826" s="13">
        <v>0</v>
      </c>
      <c r="E4826" s="12">
        <v>0</v>
      </c>
      <c r="F4826" s="14">
        <v>0</v>
      </c>
      <c r="G4826" s="13">
        <v>779175.2515</v>
      </c>
      <c r="H4826" s="14">
        <v>1060564264.300956</v>
      </c>
      <c r="I4826" s="14" t="e">
        <f>=Round(15934.73870000,0)</f>
        <v>#VALUE!</v>
      </c>
      <c r="J4826" s="14" t="e">
        <f>=Round(0.00000000,0)</f>
        <v>#VALUE!</v>
      </c>
    </row>
    <row r="4827">
      <c r="A4827" s="11" t="s">
        <v>47</v>
      </c>
      <c r="B4827" s="12">
        <v>1361.367</v>
      </c>
      <c r="C4827" s="12">
        <v>0</v>
      </c>
      <c r="D4827" s="13">
        <v>0</v>
      </c>
      <c r="E4827" s="12">
        <v>0</v>
      </c>
      <c r="F4827" s="14">
        <v>0</v>
      </c>
      <c r="G4827" s="13">
        <v>779175.2515</v>
      </c>
      <c r="H4827" s="14">
        <v>1060743474.608801</v>
      </c>
      <c r="I4827" s="14" t="e">
        <f>=Round(15937.44110000,0)</f>
        <v>#VALUE!</v>
      </c>
      <c r="J4827" s="14" t="e">
        <f>=Round(0.00000000,0)</f>
        <v>#VALUE!</v>
      </c>
    </row>
    <row r="4828">
      <c r="A4828" s="11" t="s">
        <v>48</v>
      </c>
      <c r="B4828" s="12">
        <v>1361.6195</v>
      </c>
      <c r="C4828" s="12">
        <v>0</v>
      </c>
      <c r="D4828" s="13">
        <v>0</v>
      </c>
      <c r="E4828" s="12">
        <v>0</v>
      </c>
      <c r="F4828" s="14">
        <v>0</v>
      </c>
      <c r="G4828" s="13">
        <v>779175.2515</v>
      </c>
      <c r="H4828" s="14">
        <v>1060940216.359804</v>
      </c>
      <c r="I4828" s="14" t="e">
        <f>=Round(15940.13420000,0)</f>
        <v>#VALUE!</v>
      </c>
      <c r="J4828" s="14" t="e">
        <f>=Round(0.00000000,0)</f>
        <v>#VALUE!</v>
      </c>
    </row>
    <row r="4829">
      <c r="A4829" s="11" t="s">
        <v>49</v>
      </c>
      <c r="B4829" s="12">
        <v>1361.6195</v>
      </c>
      <c r="C4829" s="12">
        <v>0</v>
      </c>
      <c r="D4829" s="13">
        <v>0</v>
      </c>
      <c r="E4829" s="12">
        <v>0</v>
      </c>
      <c r="F4829" s="14">
        <v>0</v>
      </c>
      <c r="G4829" s="13">
        <v>779175.2515</v>
      </c>
      <c r="H4829" s="14">
        <v>1060940216.359804</v>
      </c>
      <c r="I4829" s="14" t="e">
        <f>=Round(15943.09070000,0)</f>
        <v>#VALUE!</v>
      </c>
      <c r="J4829" s="14" t="e">
        <f>=Round(0.00000000,0)</f>
        <v>#VALUE!</v>
      </c>
    </row>
    <row r="4830">
      <c r="A4830" s="11" t="s">
        <v>50</v>
      </c>
      <c r="B4830" s="12">
        <v>1361.6195</v>
      </c>
      <c r="C4830" s="12">
        <v>0</v>
      </c>
      <c r="D4830" s="13">
        <v>0</v>
      </c>
      <c r="E4830" s="12">
        <v>0</v>
      </c>
      <c r="F4830" s="14">
        <v>0</v>
      </c>
      <c r="G4830" s="13">
        <v>779175.2515</v>
      </c>
      <c r="H4830" s="14">
        <v>1060940216.359804</v>
      </c>
      <c r="I4830" s="14" t="e">
        <f>=Round(15943.09070000,0)</f>
        <v>#VALUE!</v>
      </c>
      <c r="J4830" s="14" t="e">
        <f>=Round(0.00000000,0)</f>
        <v>#VALUE!</v>
      </c>
    </row>
    <row r="4831">
      <c r="A4831" s="11" t="s">
        <v>51</v>
      </c>
      <c r="B4831" s="12">
        <v>1362.3425</v>
      </c>
      <c r="C4831" s="12">
        <v>0</v>
      </c>
      <c r="D4831" s="13">
        <v>0</v>
      </c>
      <c r="E4831" s="12">
        <v>0</v>
      </c>
      <c r="F4831" s="14">
        <v>0</v>
      </c>
      <c r="G4831" s="13">
        <v>779175.2515</v>
      </c>
      <c r="H4831" s="14">
        <v>1061503560.066639</v>
      </c>
      <c r="I4831" s="14" t="e">
        <f>=Round(15943.09070000,0)</f>
        <v>#VALUE!</v>
      </c>
      <c r="J4831" s="14" t="e">
        <f>=Round(0.00000000,0)</f>
        <v>#VALUE!</v>
      </c>
    </row>
    <row r="4832">
      <c r="A4832" s="11" t="s">
        <v>52</v>
      </c>
      <c r="B4832" s="12">
        <v>1362.5746</v>
      </c>
      <c r="C4832" s="12">
        <v>0</v>
      </c>
      <c r="D4832" s="13">
        <v>0</v>
      </c>
      <c r="E4832" s="12">
        <v>0</v>
      </c>
      <c r="F4832" s="14">
        <v>0</v>
      </c>
      <c r="G4832" s="13">
        <v>779175.2515</v>
      </c>
      <c r="H4832" s="14">
        <v>1061684406.642512</v>
      </c>
      <c r="I4832" s="14" t="e">
        <f>=Round(15951.55620000,0)</f>
        <v>#VALUE!</v>
      </c>
      <c r="J4832" s="14" t="e">
        <f>=Round(0.00000000,0)</f>
        <v>#VALUE!</v>
      </c>
    </row>
    <row r="4833">
      <c r="A4833" s="11" t="s">
        <v>53</v>
      </c>
      <c r="B4833" s="12">
        <v>1362.8067</v>
      </c>
      <c r="C4833" s="12">
        <v>0</v>
      </c>
      <c r="D4833" s="13">
        <v>0</v>
      </c>
      <c r="E4833" s="12">
        <v>0</v>
      </c>
      <c r="F4833" s="14">
        <v>0</v>
      </c>
      <c r="G4833" s="13">
        <v>779175.2515</v>
      </c>
      <c r="H4833" s="14">
        <v>1061865253.218385</v>
      </c>
      <c r="I4833" s="14" t="e">
        <f>=Round(15954.27390000,0)</f>
        <v>#VALUE!</v>
      </c>
      <c r="J4833" s="14" t="e">
        <f>=Round(0.00000000,0)</f>
        <v>#VALUE!</v>
      </c>
    </row>
    <row r="4834">
      <c r="A4834" s="11" t="s">
        <v>54</v>
      </c>
      <c r="B4834" s="12">
        <v>1363.0394</v>
      </c>
      <c r="C4834" s="12">
        <v>0</v>
      </c>
      <c r="D4834" s="13">
        <v>0</v>
      </c>
      <c r="E4834" s="12">
        <v>0</v>
      </c>
      <c r="F4834" s="14">
        <v>0</v>
      </c>
      <c r="G4834" s="13">
        <v>779175.2515</v>
      </c>
      <c r="H4834" s="14">
        <v>1062046567.299409</v>
      </c>
      <c r="I4834" s="14" t="e">
        <f>=Round(15956.99150000,0)</f>
        <v>#VALUE!</v>
      </c>
      <c r="J4834" s="14" t="e">
        <f>=Round(0.00000000,0)</f>
        <v>#VALUE!</v>
      </c>
    </row>
    <row r="4835">
      <c r="A4835" s="11" t="s">
        <v>55</v>
      </c>
      <c r="B4835" s="12">
        <v>1363.274</v>
      </c>
      <c r="C4835" s="12">
        <v>183382.0641</v>
      </c>
      <c r="D4835" s="13">
        <v>250000000</v>
      </c>
      <c r="E4835" s="12">
        <v>0</v>
      </c>
      <c r="F4835" s="14">
        <v>0</v>
      </c>
      <c r="G4835" s="13">
        <v>779175.2515</v>
      </c>
      <c r="H4835" s="14">
        <v>1062229361.813411</v>
      </c>
      <c r="I4835" s="14" t="e">
        <f>=Round(15959.71620000,0)</f>
        <v>#VALUE!</v>
      </c>
      <c r="J4835" s="14" t="e">
        <f>=Round(0.00000000,0)</f>
        <v>#VALUE!</v>
      </c>
    </row>
    <row r="4836" ht="-1">
      <c r="A4836" s="15"/>
      <c r="B4836" s="16" t="s">
        <v>56</v>
      </c>
      <c r="C4836" s="15"/>
      <c r="D4836" s="15"/>
      <c r="E4836" s="15"/>
      <c r="F4836" s="15"/>
      <c r="G4836" s="15"/>
      <c r="H4836" s="15"/>
      <c r="I4836" s="17" t="e">
        <f>=Round(SUM(I4810:I4835),0)</f>
        <v>#VALUE!</v>
      </c>
      <c r="J4836" s="17" t="e">
        <f>=Round(SUM(J4810:J4835),0)</f>
        <v>#VALUE!</v>
      </c>
    </row>
    <row r="4837">
      <c r="A4837" s="1" t="s">
        <v>0</v>
      </c>
      <c r="B4837" s="1"/>
      <c r="C4837" s="1"/>
      <c r="D4837" s="1"/>
    </row>
    <row r="4838">
      <c r="A4838" s="0" t="s">
        <v>1</v>
      </c>
      <c r="C4838" s="0" t="s">
        <v>144</v>
      </c>
      <c r="H4838" s="2" t="s">
        <v>3</v>
      </c>
    </row>
    <row r="4839">
      <c r="A4839" s="0" t="s">
        <v>4</v>
      </c>
      <c r="C4839" s="0" t="s">
        <v>127</v>
      </c>
      <c r="H4839" s="3" t="s">
        <v>6</v>
      </c>
    </row>
    <row r="4840">
      <c r="A4840" s="0" t="s">
        <v>7</v>
      </c>
      <c r="C4840" s="4" t="s">
        <v>146</v>
      </c>
      <c r="H4840" s="2" t="s">
        <v>9</v>
      </c>
    </row>
    <row r="4841">
      <c r="A4841" s="0" t="s">
        <v>10</v>
      </c>
      <c r="C4841" s="4" t="s">
        <v>124</v>
      </c>
      <c r="H4841" s="2" t="s">
        <v>12</v>
      </c>
    </row>
    <row r="4842">
      <c r="A4842" s="0" t="s">
        <v>13</v>
      </c>
      <c r="C4842" s="0" t="s">
        <v>14</v>
      </c>
    </row>
    <row r="4843">
      <c r="A4843" s="0" t="s">
        <v>15</v>
      </c>
      <c r="C4843" s="0" t="s">
        <v>16</v>
      </c>
    </row>
    <row r="4844">
      <c r="A4844" s="0" t="s">
        <v>17</v>
      </c>
      <c r="C4844" s="0" t="s">
        <v>18</v>
      </c>
    </row>
    <row r="4847">
      <c r="A4847" s="5" t="s">
        <v>19</v>
      </c>
      <c r="B4847" s="5" t="s">
        <v>20</v>
      </c>
      <c r="C4847" s="7" t="s">
        <v>21</v>
      </c>
      <c r="D4847" s="9"/>
      <c r="E4847" s="7" t="s">
        <v>22</v>
      </c>
      <c r="F4847" s="9"/>
      <c r="G4847" s="5" t="s">
        <v>23</v>
      </c>
      <c r="H4847" s="5" t="s">
        <v>24</v>
      </c>
      <c r="I4847" s="5" t="s">
        <v>147</v>
      </c>
      <c r="J4847" s="5" t="s">
        <v>125</v>
      </c>
    </row>
    <row r="4848">
      <c r="A4848" s="6"/>
      <c r="B4848" s="6"/>
      <c r="C4848" s="8" t="s">
        <v>27</v>
      </c>
      <c r="D4848" s="8" t="s">
        <v>28</v>
      </c>
      <c r="E4848" s="8" t="s">
        <v>27</v>
      </c>
      <c r="F4848" s="8" t="s">
        <v>28</v>
      </c>
      <c r="G4848" s="6"/>
      <c r="H4848" s="6"/>
      <c r="I4848" s="10" t="s">
        <v>29</v>
      </c>
      <c r="J4848" s="6"/>
    </row>
    <row r="4849">
      <c r="A4849" s="11" t="s">
        <v>30</v>
      </c>
      <c r="B4849" s="12">
        <v>1357.4104</v>
      </c>
      <c r="C4849" s="12">
        <v>2578.4391</v>
      </c>
      <c r="D4849" s="13">
        <v>3500000</v>
      </c>
      <c r="E4849" s="12">
        <v>1863.22</v>
      </c>
      <c r="F4849" s="14">
        <v>2529154.21</v>
      </c>
      <c r="G4849" s="13">
        <v>655615.9326</v>
      </c>
      <c r="H4849" s="14">
        <v>889939885.316939</v>
      </c>
      <c r="I4849" s="14" t="e">
        <f>=Round(13377.84760000,0)</f>
        <v>#VALUE!</v>
      </c>
      <c r="J4849" s="14" t="e">
        <f>=Round(6080.83370000,0)</f>
        <v>#VALUE!</v>
      </c>
    </row>
    <row r="4850">
      <c r="A4850" s="11" t="s">
        <v>31</v>
      </c>
      <c r="B4850" s="12">
        <v>1357.6428</v>
      </c>
      <c r="C4850" s="12">
        <v>0</v>
      </c>
      <c r="D4850" s="13">
        <v>0</v>
      </c>
      <c r="E4850" s="12">
        <v>0</v>
      </c>
      <c r="F4850" s="14">
        <v>0</v>
      </c>
      <c r="G4850" s="13">
        <v>656331.1517</v>
      </c>
      <c r="H4850" s="14">
        <v>891063262.521213</v>
      </c>
      <c r="I4850" s="14" t="e">
        <f>=Round(13373.41360000,0)</f>
        <v>#VALUE!</v>
      </c>
      <c r="J4850" s="14" t="e">
        <f>=Round(6078.81830000,0)</f>
        <v>#VALUE!</v>
      </c>
    </row>
    <row r="4851">
      <c r="A4851" s="11" t="s">
        <v>32</v>
      </c>
      <c r="B4851" s="12">
        <v>1357.8735</v>
      </c>
      <c r="C4851" s="12">
        <v>0</v>
      </c>
      <c r="D4851" s="13">
        <v>0</v>
      </c>
      <c r="E4851" s="12">
        <v>0</v>
      </c>
      <c r="F4851" s="14">
        <v>0</v>
      </c>
      <c r="G4851" s="13">
        <v>656331.1517</v>
      </c>
      <c r="H4851" s="14">
        <v>891214678.11791</v>
      </c>
      <c r="I4851" s="14" t="e">
        <f>=Round(13390.29490000,0)</f>
        <v>#VALUE!</v>
      </c>
      <c r="J4851" s="14" t="e">
        <f>=Round(6086.49160000,0)</f>
        <v>#VALUE!</v>
      </c>
    </row>
    <row r="4852">
      <c r="A4852" s="11" t="s">
        <v>33</v>
      </c>
      <c r="B4852" s="12">
        <v>1358.1079</v>
      </c>
      <c r="C4852" s="12">
        <v>0</v>
      </c>
      <c r="D4852" s="13">
        <v>0</v>
      </c>
      <c r="E4852" s="12">
        <v>0</v>
      </c>
      <c r="F4852" s="14">
        <v>0</v>
      </c>
      <c r="G4852" s="13">
        <v>656331.1517</v>
      </c>
      <c r="H4852" s="14">
        <v>891368522.139868</v>
      </c>
      <c r="I4852" s="14" t="e">
        <f>=Round(13392.57030000,0)</f>
        <v>#VALUE!</v>
      </c>
      <c r="J4852" s="14" t="e">
        <f>=Round(6087.52590000,0)</f>
        <v>#VALUE!</v>
      </c>
    </row>
    <row r="4853">
      <c r="A4853" s="11" t="s">
        <v>34</v>
      </c>
      <c r="B4853" s="12">
        <v>1358.3402</v>
      </c>
      <c r="C4853" s="12">
        <v>0</v>
      </c>
      <c r="D4853" s="13">
        <v>0</v>
      </c>
      <c r="E4853" s="12">
        <v>0</v>
      </c>
      <c r="F4853" s="14">
        <v>0</v>
      </c>
      <c r="G4853" s="13">
        <v>656331.1517</v>
      </c>
      <c r="H4853" s="14">
        <v>891520987.866408</v>
      </c>
      <c r="I4853" s="14" t="e">
        <f>=Round(13394.88220000,0)</f>
        <v>#VALUE!</v>
      </c>
      <c r="J4853" s="14" t="e">
        <f>=Round(6088.57670000,0)</f>
        <v>#VALUE!</v>
      </c>
    </row>
    <row r="4854">
      <c r="A4854" s="11" t="s">
        <v>35</v>
      </c>
      <c r="B4854" s="12">
        <v>1358.3402</v>
      </c>
      <c r="C4854" s="12">
        <v>0</v>
      </c>
      <c r="D4854" s="13">
        <v>0</v>
      </c>
      <c r="E4854" s="12">
        <v>0</v>
      </c>
      <c r="F4854" s="14">
        <v>0</v>
      </c>
      <c r="G4854" s="13">
        <v>656331.1517</v>
      </c>
      <c r="H4854" s="14">
        <v>891520987.866408</v>
      </c>
      <c r="I4854" s="14" t="e">
        <f>=Round(13397.17330000,0)</f>
        <v>#VALUE!</v>
      </c>
      <c r="J4854" s="14" t="e">
        <f>=Round(6089.61810000,0)</f>
        <v>#VALUE!</v>
      </c>
    </row>
    <row r="4855">
      <c r="A4855" s="11" t="s">
        <v>36</v>
      </c>
      <c r="B4855" s="12">
        <v>1358.3402</v>
      </c>
      <c r="C4855" s="12">
        <v>0</v>
      </c>
      <c r="D4855" s="13">
        <v>0</v>
      </c>
      <c r="E4855" s="12">
        <v>0</v>
      </c>
      <c r="F4855" s="14">
        <v>0</v>
      </c>
      <c r="G4855" s="13">
        <v>656331.1517</v>
      </c>
      <c r="H4855" s="14">
        <v>891520987.866408</v>
      </c>
      <c r="I4855" s="14" t="e">
        <f>=Round(13397.17330000,0)</f>
        <v>#VALUE!</v>
      </c>
      <c r="J4855" s="14" t="e">
        <f>=Round(6089.61810000,0)</f>
        <v>#VALUE!</v>
      </c>
    </row>
    <row r="4856">
      <c r="A4856" s="11" t="s">
        <v>37</v>
      </c>
      <c r="B4856" s="12">
        <v>1359.0395</v>
      </c>
      <c r="C4856" s="12">
        <v>2832.8831</v>
      </c>
      <c r="D4856" s="13">
        <v>3850000</v>
      </c>
      <c r="E4856" s="12">
        <v>0</v>
      </c>
      <c r="F4856" s="14">
        <v>0</v>
      </c>
      <c r="G4856" s="13">
        <v>656331.1517</v>
      </c>
      <c r="H4856" s="14">
        <v>891979960.240792</v>
      </c>
      <c r="I4856" s="14" t="e">
        <f>=Round(13397.17330000,0)</f>
        <v>#VALUE!</v>
      </c>
      <c r="J4856" s="14" t="e">
        <f>=Round(6089.61810000,0)</f>
        <v>#VALUE!</v>
      </c>
    </row>
    <row r="4857">
      <c r="A4857" s="11" t="s">
        <v>38</v>
      </c>
      <c r="B4857" s="12">
        <v>1359.2726</v>
      </c>
      <c r="C4857" s="12">
        <v>0</v>
      </c>
      <c r="D4857" s="13">
        <v>0</v>
      </c>
      <c r="E4857" s="12">
        <v>0</v>
      </c>
      <c r="F4857" s="14">
        <v>0</v>
      </c>
      <c r="G4857" s="13">
        <v>659164.0348</v>
      </c>
      <c r="H4857" s="14">
        <v>895983611.409086</v>
      </c>
      <c r="I4857" s="14" t="e">
        <f>=Round(13404.07040000,0)</f>
        <v>#VALUE!</v>
      </c>
      <c r="J4857" s="14" t="e">
        <f>=Round(6092.75320000,0)</f>
        <v>#VALUE!</v>
      </c>
    </row>
    <row r="4858">
      <c r="A4858" s="11" t="s">
        <v>39</v>
      </c>
      <c r="B4858" s="12">
        <v>1359.5048</v>
      </c>
      <c r="C4858" s="12">
        <v>0</v>
      </c>
      <c r="D4858" s="13">
        <v>0</v>
      </c>
      <c r="E4858" s="12">
        <v>0</v>
      </c>
      <c r="F4858" s="14">
        <v>0</v>
      </c>
      <c r="G4858" s="13">
        <v>659164.0348</v>
      </c>
      <c r="H4858" s="14">
        <v>896136669.297967</v>
      </c>
      <c r="I4858" s="14" t="e">
        <f>=Round(13464.23460000,0)</f>
        <v>#VALUE!</v>
      </c>
      <c r="J4858" s="14" t="e">
        <f>=Round(6120.10050000,0)</f>
        <v>#VALUE!</v>
      </c>
    </row>
    <row r="4859">
      <c r="A4859" s="11" t="s">
        <v>40</v>
      </c>
      <c r="B4859" s="12">
        <v>1359.7365</v>
      </c>
      <c r="C4859" s="12">
        <v>0</v>
      </c>
      <c r="D4859" s="13">
        <v>0</v>
      </c>
      <c r="E4859" s="12">
        <v>619.4468</v>
      </c>
      <c r="F4859" s="14">
        <v>842284.42</v>
      </c>
      <c r="G4859" s="13">
        <v>659164.0348</v>
      </c>
      <c r="H4859" s="14">
        <v>896289397.60483</v>
      </c>
      <c r="I4859" s="14" t="e">
        <f>=Round(13466.53460000,0)</f>
        <v>#VALUE!</v>
      </c>
      <c r="J4859" s="14" t="e">
        <f>=Round(6121.14600000,0)</f>
        <v>#VALUE!</v>
      </c>
    </row>
    <row r="4860">
      <c r="A4860" s="11" t="s">
        <v>41</v>
      </c>
      <c r="B4860" s="12">
        <v>1359.979</v>
      </c>
      <c r="C4860" s="12">
        <v>4779.4856</v>
      </c>
      <c r="D4860" s="13">
        <v>6500000</v>
      </c>
      <c r="E4860" s="12">
        <v>0</v>
      </c>
      <c r="F4860" s="14">
        <v>0</v>
      </c>
      <c r="G4860" s="13">
        <v>658544.588</v>
      </c>
      <c r="H4860" s="14">
        <v>895606810.243652</v>
      </c>
      <c r="I4860" s="14" t="e">
        <f>=Round(13468.82970000,0)</f>
        <v>#VALUE!</v>
      </c>
      <c r="J4860" s="14" t="e">
        <f>=Round(6122.18920000,0)</f>
        <v>#VALUE!</v>
      </c>
    </row>
    <row r="4861">
      <c r="A4861" s="11" t="s">
        <v>42</v>
      </c>
      <c r="B4861" s="12">
        <v>1359.979</v>
      </c>
      <c r="C4861" s="12">
        <v>0</v>
      </c>
      <c r="D4861" s="13">
        <v>0</v>
      </c>
      <c r="E4861" s="12">
        <v>0</v>
      </c>
      <c r="F4861" s="14">
        <v>0</v>
      </c>
      <c r="G4861" s="13">
        <v>658544.588</v>
      </c>
      <c r="H4861" s="14">
        <v>895606810.243652</v>
      </c>
      <c r="I4861" s="14" t="e">
        <f>=Round(13458.57230000,0)</f>
        <v>#VALUE!</v>
      </c>
      <c r="J4861" s="14" t="e">
        <f>=Round(6117.52670000,0)</f>
        <v>#VALUE!</v>
      </c>
    </row>
    <row r="4862">
      <c r="A4862" s="11" t="s">
        <v>43</v>
      </c>
      <c r="B4862" s="12">
        <v>1359.979</v>
      </c>
      <c r="C4862" s="12">
        <v>0</v>
      </c>
      <c r="D4862" s="13">
        <v>0</v>
      </c>
      <c r="E4862" s="12">
        <v>0</v>
      </c>
      <c r="F4862" s="14">
        <v>0</v>
      </c>
      <c r="G4862" s="13">
        <v>658544.588</v>
      </c>
      <c r="H4862" s="14">
        <v>895606810.243652</v>
      </c>
      <c r="I4862" s="14" t="e">
        <f>=Round(13458.57230000,0)</f>
        <v>#VALUE!</v>
      </c>
      <c r="J4862" s="14" t="e">
        <f>=Round(6117.52670000,0)</f>
        <v>#VALUE!</v>
      </c>
    </row>
    <row r="4863">
      <c r="A4863" s="11" t="s">
        <v>44</v>
      </c>
      <c r="B4863" s="12">
        <v>1360.6758</v>
      </c>
      <c r="C4863" s="12">
        <v>16903.9775</v>
      </c>
      <c r="D4863" s="13">
        <v>23000833</v>
      </c>
      <c r="E4863" s="12">
        <v>367.72</v>
      </c>
      <c r="F4863" s="14">
        <v>500347.71</v>
      </c>
      <c r="G4863" s="13">
        <v>663324.0736</v>
      </c>
      <c r="H4863" s="14">
        <v>902569014.504939</v>
      </c>
      <c r="I4863" s="14" t="e">
        <f>=Round(13458.57230000,0)</f>
        <v>#VALUE!</v>
      </c>
      <c r="J4863" s="14" t="e">
        <f>=Round(6117.52670000,0)</f>
        <v>#VALUE!</v>
      </c>
    </row>
    <row r="4864">
      <c r="A4864" s="11" t="s">
        <v>45</v>
      </c>
      <c r="B4864" s="12">
        <v>1360.9062</v>
      </c>
      <c r="C4864" s="12">
        <v>0</v>
      </c>
      <c r="D4864" s="13">
        <v>0</v>
      </c>
      <c r="E4864" s="12">
        <v>17178.34</v>
      </c>
      <c r="F4864" s="14">
        <v>23378109.41</v>
      </c>
      <c r="G4864" s="13">
        <v>679860.3311</v>
      </c>
      <c r="H4864" s="14">
        <v>925226139.728043</v>
      </c>
      <c r="I4864" s="14" t="e">
        <f>=Round(13563.19560000,0)</f>
        <v>#VALUE!</v>
      </c>
      <c r="J4864" s="14" t="e">
        <f>=Round(6165.08270000,0)</f>
        <v>#VALUE!</v>
      </c>
    </row>
    <row r="4865">
      <c r="A4865" s="11" t="s">
        <v>46</v>
      </c>
      <c r="B4865" s="12">
        <v>1361.137</v>
      </c>
      <c r="C4865" s="12">
        <v>0</v>
      </c>
      <c r="D4865" s="13">
        <v>0</v>
      </c>
      <c r="E4865" s="12">
        <v>16493.0274</v>
      </c>
      <c r="F4865" s="14">
        <v>22449269.84</v>
      </c>
      <c r="G4865" s="13">
        <v>662681.9911</v>
      </c>
      <c r="H4865" s="14">
        <v>902000977.319881</v>
      </c>
      <c r="I4865" s="14" t="e">
        <f>=Round(13903.67150000,0)</f>
        <v>#VALUE!</v>
      </c>
      <c r="J4865" s="14" t="e">
        <f>=Round(6319.84440000,0)</f>
        <v>#VALUE!</v>
      </c>
    </row>
    <row r="4866">
      <c r="A4866" s="11" t="s">
        <v>47</v>
      </c>
      <c r="B4866" s="12">
        <v>1361.367</v>
      </c>
      <c r="C4866" s="12">
        <v>0</v>
      </c>
      <c r="D4866" s="13">
        <v>0</v>
      </c>
      <c r="E4866" s="12">
        <v>747.34</v>
      </c>
      <c r="F4866" s="14">
        <v>1017404.01</v>
      </c>
      <c r="G4866" s="13">
        <v>646188.9637</v>
      </c>
      <c r="H4866" s="14">
        <v>879700330.945378</v>
      </c>
      <c r="I4866" s="14" t="e">
        <f>=Round(13554.65950000,0)</f>
        <v>#VALUE!</v>
      </c>
      <c r="J4866" s="14" t="e">
        <f>=Round(6161.20270000,0)</f>
        <v>#VALUE!</v>
      </c>
    </row>
    <row r="4867">
      <c r="A4867" s="11" t="s">
        <v>48</v>
      </c>
      <c r="B4867" s="12">
        <v>1361.6195</v>
      </c>
      <c r="C4867" s="12">
        <v>6977.8672</v>
      </c>
      <c r="D4867" s="13">
        <v>9501200</v>
      </c>
      <c r="E4867" s="12">
        <v>0.0001</v>
      </c>
      <c r="F4867" s="14">
        <v>0</v>
      </c>
      <c r="G4867" s="13">
        <v>645441.6237</v>
      </c>
      <c r="H4867" s="14">
        <v>878845900.941582</v>
      </c>
      <c r="I4867" s="14" t="e">
        <f>=Round(13219.54050000,0)</f>
        <v>#VALUE!</v>
      </c>
      <c r="J4867" s="14" t="e">
        <f>=Round(6008.87600000,0)</f>
        <v>#VALUE!</v>
      </c>
    </row>
    <row r="4868">
      <c r="A4868" s="11" t="s">
        <v>49</v>
      </c>
      <c r="B4868" s="12">
        <v>1361.6195</v>
      </c>
      <c r="C4868" s="12">
        <v>0</v>
      </c>
      <c r="D4868" s="13">
        <v>0</v>
      </c>
      <c r="E4868" s="12">
        <v>0</v>
      </c>
      <c r="F4868" s="14">
        <v>0</v>
      </c>
      <c r="G4868" s="13">
        <v>645441.6237</v>
      </c>
      <c r="H4868" s="14">
        <v>878845900.941582</v>
      </c>
      <c r="I4868" s="14" t="e">
        <f>=Round(13206.70070000,0)</f>
        <v>#VALUE!</v>
      </c>
      <c r="J4868" s="14" t="e">
        <f>=Round(6003.03980000,0)</f>
        <v>#VALUE!</v>
      </c>
    </row>
    <row r="4869">
      <c r="A4869" s="11" t="s">
        <v>50</v>
      </c>
      <c r="B4869" s="12">
        <v>1361.6195</v>
      </c>
      <c r="C4869" s="12">
        <v>0</v>
      </c>
      <c r="D4869" s="13">
        <v>0</v>
      </c>
      <c r="E4869" s="12">
        <v>0</v>
      </c>
      <c r="F4869" s="14">
        <v>0</v>
      </c>
      <c r="G4869" s="13">
        <v>645441.6237</v>
      </c>
      <c r="H4869" s="14">
        <v>878845900.941582</v>
      </c>
      <c r="I4869" s="14" t="e">
        <f>=Round(13206.70070000,0)</f>
        <v>#VALUE!</v>
      </c>
      <c r="J4869" s="14" t="e">
        <f>=Round(6003.03980000,0)</f>
        <v>#VALUE!</v>
      </c>
    </row>
    <row r="4870">
      <c r="A4870" s="11" t="s">
        <v>51</v>
      </c>
      <c r="B4870" s="12">
        <v>1362.3425</v>
      </c>
      <c r="C4870" s="12">
        <v>2202.4153</v>
      </c>
      <c r="D4870" s="13">
        <v>3000444</v>
      </c>
      <c r="E4870" s="12">
        <v>173.7838</v>
      </c>
      <c r="F4870" s="14">
        <v>236753.06</v>
      </c>
      <c r="G4870" s="13">
        <v>652419.4908</v>
      </c>
      <c r="H4870" s="14">
        <v>888818800.145199</v>
      </c>
      <c r="I4870" s="14" t="e">
        <f>=Round(13206.70070000,0)</f>
        <v>#VALUE!</v>
      </c>
      <c r="J4870" s="14" t="e">
        <f>=Round(6003.03980000,0)</f>
        <v>#VALUE!</v>
      </c>
    </row>
    <row r="4871">
      <c r="A4871" s="11" t="s">
        <v>52</v>
      </c>
      <c r="B4871" s="12">
        <v>1362.5746</v>
      </c>
      <c r="C4871" s="12">
        <v>0</v>
      </c>
      <c r="D4871" s="13">
        <v>0</v>
      </c>
      <c r="E4871" s="12">
        <v>3845.9787</v>
      </c>
      <c r="F4871" s="14">
        <v>5240432.89</v>
      </c>
      <c r="G4871" s="13">
        <v>654448.1223</v>
      </c>
      <c r="H4871" s="14">
        <v>891734388.463674</v>
      </c>
      <c r="I4871" s="14" t="e">
        <f>=Round(13356.56670000,0)</f>
        <v>#VALUE!</v>
      </c>
      <c r="J4871" s="14" t="e">
        <f>=Round(6071.16060000,0)</f>
        <v>#VALUE!</v>
      </c>
    </row>
    <row r="4872">
      <c r="A4872" s="11" t="s">
        <v>53</v>
      </c>
      <c r="B4872" s="12">
        <v>1362.8067</v>
      </c>
      <c r="C4872" s="12">
        <v>1834.9748</v>
      </c>
      <c r="D4872" s="13">
        <v>2500716</v>
      </c>
      <c r="E4872" s="12">
        <v>7487.69</v>
      </c>
      <c r="F4872" s="14">
        <v>10204274.1</v>
      </c>
      <c r="G4872" s="13">
        <v>650602.1436</v>
      </c>
      <c r="H4872" s="14">
        <v>886644960.332442</v>
      </c>
      <c r="I4872" s="14" t="e">
        <f>=Round(13400.38020000,0)</f>
        <v>#VALUE!</v>
      </c>
      <c r="J4872" s="14" t="e">
        <f>=Round(6091.07580000,0)</f>
        <v>#VALUE!</v>
      </c>
    </row>
    <row r="4873">
      <c r="A4873" s="11" t="s">
        <v>54</v>
      </c>
      <c r="B4873" s="12">
        <v>1363.0394</v>
      </c>
      <c r="C4873" s="12">
        <v>3668.2725</v>
      </c>
      <c r="D4873" s="13">
        <v>5000000</v>
      </c>
      <c r="E4873" s="12">
        <v>0</v>
      </c>
      <c r="F4873" s="14">
        <v>0</v>
      </c>
      <c r="G4873" s="13">
        <v>644949.4284</v>
      </c>
      <c r="H4873" s="14">
        <v>879091481.916679</v>
      </c>
      <c r="I4873" s="14" t="e">
        <f>=Round(13323.89970000,0)</f>
        <v>#VALUE!</v>
      </c>
      <c r="J4873" s="14" t="e">
        <f>=Round(6056.31200000,0)</f>
        <v>#VALUE!</v>
      </c>
    </row>
    <row r="4874">
      <c r="A4874" s="11" t="s">
        <v>55</v>
      </c>
      <c r="B4874" s="12">
        <v>1363.274</v>
      </c>
      <c r="C4874" s="12">
        <v>0</v>
      </c>
      <c r="D4874" s="13">
        <v>0</v>
      </c>
      <c r="E4874" s="12">
        <v>0</v>
      </c>
      <c r="F4874" s="14">
        <v>0</v>
      </c>
      <c r="G4874" s="13">
        <v>648617.7009</v>
      </c>
      <c r="H4874" s="14">
        <v>884243647.576747</v>
      </c>
      <c r="I4874" s="14" t="e">
        <f>=Round(13210.39110000,0)</f>
        <v>#VALUE!</v>
      </c>
      <c r="J4874" s="14" t="e">
        <f>=Round(6004.71720000,0)</f>
        <v>#VALUE!</v>
      </c>
    </row>
    <row r="4875" ht="-1">
      <c r="A4875" s="15"/>
      <c r="B4875" s="16" t="s">
        <v>56</v>
      </c>
      <c r="C4875" s="15"/>
      <c r="D4875" s="15"/>
      <c r="E4875" s="15"/>
      <c r="F4875" s="15"/>
      <c r="G4875" s="15"/>
      <c r="H4875" s="15"/>
      <c r="I4875" s="17" t="e">
        <f>=Round(SUM(I4849:I4874),0)</f>
        <v>#VALUE!</v>
      </c>
      <c r="J4875" s="17" t="e">
        <f>=Round(SUM(J4849:J4874),0)</f>
        <v>#VALUE!</v>
      </c>
    </row>
    <row r="4876">
      <c r="A4876" s="1" t="s">
        <v>0</v>
      </c>
      <c r="B4876" s="1"/>
      <c r="C4876" s="1"/>
      <c r="D4876" s="1"/>
    </row>
    <row r="4877">
      <c r="A4877" s="0" t="s">
        <v>1</v>
      </c>
      <c r="C4877" s="0" t="s">
        <v>144</v>
      </c>
      <c r="H4877" s="2" t="s">
        <v>3</v>
      </c>
    </row>
    <row r="4878">
      <c r="A4878" s="0" t="s">
        <v>4</v>
      </c>
      <c r="C4878" s="0" t="s">
        <v>181</v>
      </c>
      <c r="H4878" s="3" t="s">
        <v>6</v>
      </c>
    </row>
    <row r="4879">
      <c r="A4879" s="0" t="s">
        <v>7</v>
      </c>
      <c r="C4879" s="4" t="s">
        <v>146</v>
      </c>
      <c r="H4879" s="2" t="s">
        <v>9</v>
      </c>
    </row>
    <row r="4880">
      <c r="A4880" s="0" t="s">
        <v>10</v>
      </c>
      <c r="C4880" s="4" t="s">
        <v>11</v>
      </c>
      <c r="H4880" s="2" t="s">
        <v>12</v>
      </c>
    </row>
    <row r="4881">
      <c r="A4881" s="0" t="s">
        <v>13</v>
      </c>
      <c r="C4881" s="0" t="s">
        <v>14</v>
      </c>
    </row>
    <row r="4882">
      <c r="A4882" s="0" t="s">
        <v>15</v>
      </c>
      <c r="C4882" s="0" t="s">
        <v>16</v>
      </c>
    </row>
    <row r="4883">
      <c r="A4883" s="0" t="s">
        <v>17</v>
      </c>
      <c r="C4883" s="0" t="s">
        <v>18</v>
      </c>
    </row>
    <row r="4886">
      <c r="A4886" s="5" t="s">
        <v>19</v>
      </c>
      <c r="B4886" s="5" t="s">
        <v>20</v>
      </c>
      <c r="C4886" s="7" t="s">
        <v>21</v>
      </c>
      <c r="D4886" s="9"/>
      <c r="E4886" s="7" t="s">
        <v>22</v>
      </c>
      <c r="F4886" s="9"/>
      <c r="G4886" s="5" t="s">
        <v>23</v>
      </c>
      <c r="H4886" s="5" t="s">
        <v>24</v>
      </c>
      <c r="I4886" s="5" t="s">
        <v>147</v>
      </c>
      <c r="J4886" s="5" t="s">
        <v>26</v>
      </c>
    </row>
    <row r="4887">
      <c r="A4887" s="6"/>
      <c r="B4887" s="6"/>
      <c r="C4887" s="8" t="s">
        <v>27</v>
      </c>
      <c r="D4887" s="8" t="s">
        <v>28</v>
      </c>
      <c r="E4887" s="8" t="s">
        <v>27</v>
      </c>
      <c r="F4887" s="8" t="s">
        <v>28</v>
      </c>
      <c r="G4887" s="6"/>
      <c r="H4887" s="6"/>
      <c r="I4887" s="10" t="s">
        <v>29</v>
      </c>
      <c r="J4887" s="6"/>
    </row>
    <row r="4888">
      <c r="A4888" s="11" t="s">
        <v>30</v>
      </c>
      <c r="B4888" s="12">
        <v>1357.4104</v>
      </c>
      <c r="C4888" s="12">
        <v>0</v>
      </c>
      <c r="D4888" s="13">
        <v>0</v>
      </c>
      <c r="E4888" s="12">
        <v>0</v>
      </c>
      <c r="F4888" s="14">
        <v>0</v>
      </c>
      <c r="G4888" s="13">
        <v>21343471.4207</v>
      </c>
      <c r="H4888" s="14">
        <v>28971850078.560955</v>
      </c>
      <c r="I4888" s="14" t="e">
        <f>=Round(435146.70950000,0)</f>
        <v>#VALUE!</v>
      </c>
      <c r="J4888" s="14" t="e">
        <f>=Round(0.00000000,0)</f>
        <v>#VALUE!</v>
      </c>
    </row>
    <row r="4889">
      <c r="A4889" s="11" t="s">
        <v>31</v>
      </c>
      <c r="B4889" s="12">
        <v>1357.6428</v>
      </c>
      <c r="C4889" s="12">
        <v>0</v>
      </c>
      <c r="D4889" s="13">
        <v>0</v>
      </c>
      <c r="E4889" s="12">
        <v>0</v>
      </c>
      <c r="F4889" s="14">
        <v>0</v>
      </c>
      <c r="G4889" s="13">
        <v>21343471.4207</v>
      </c>
      <c r="H4889" s="14">
        <v>28976810301.319126</v>
      </c>
      <c r="I4889" s="14" t="e">
        <f>=Round(435369.33180000,0)</f>
        <v>#VALUE!</v>
      </c>
      <c r="J4889" s="14" t="e">
        <f>=Round(0.00000000,0)</f>
        <v>#VALUE!</v>
      </c>
    </row>
    <row r="4890">
      <c r="A4890" s="11" t="s">
        <v>32</v>
      </c>
      <c r="B4890" s="12">
        <v>1357.8735</v>
      </c>
      <c r="C4890" s="12">
        <v>0</v>
      </c>
      <c r="D4890" s="13">
        <v>0</v>
      </c>
      <c r="E4890" s="12">
        <v>1472891.2524</v>
      </c>
      <c r="F4890" s="14">
        <v>2000000000.02</v>
      </c>
      <c r="G4890" s="13">
        <v>21343471.4207</v>
      </c>
      <c r="H4890" s="14">
        <v>28981734240.17588</v>
      </c>
      <c r="I4890" s="14" t="e">
        <f>=Round(435443.87060000,0)</f>
        <v>#VALUE!</v>
      </c>
      <c r="J4890" s="14" t="e">
        <f>=Round(0.00000000,0)</f>
        <v>#VALUE!</v>
      </c>
    </row>
    <row r="4891">
      <c r="A4891" s="11" t="s">
        <v>33</v>
      </c>
      <c r="B4891" s="12">
        <v>1358.1079</v>
      </c>
      <c r="C4891" s="12">
        <v>0</v>
      </c>
      <c r="D4891" s="13">
        <v>0</v>
      </c>
      <c r="E4891" s="12">
        <v>0</v>
      </c>
      <c r="F4891" s="14">
        <v>0</v>
      </c>
      <c r="G4891" s="13">
        <v>19870580.1683</v>
      </c>
      <c r="H4891" s="14">
        <v>26986391904.151562</v>
      </c>
      <c r="I4891" s="14" t="e">
        <f>=Round(435517.86430000,0)</f>
        <v>#VALUE!</v>
      </c>
      <c r="J4891" s="14" t="e">
        <f>=Round(0.00000000,0)</f>
        <v>#VALUE!</v>
      </c>
    </row>
    <row r="4892">
      <c r="A4892" s="11" t="s">
        <v>34</v>
      </c>
      <c r="B4892" s="12">
        <v>1358.3402</v>
      </c>
      <c r="C4892" s="12">
        <v>0</v>
      </c>
      <c r="D4892" s="13">
        <v>0</v>
      </c>
      <c r="E4892" s="12">
        <v>0</v>
      </c>
      <c r="F4892" s="14">
        <v>0</v>
      </c>
      <c r="G4892" s="13">
        <v>19870580.1683</v>
      </c>
      <c r="H4892" s="14">
        <v>26991007839.924656</v>
      </c>
      <c r="I4892" s="14" t="e">
        <f>=Round(405533.21170000,0)</f>
        <v>#VALUE!</v>
      </c>
      <c r="J4892" s="14" t="e">
        <f>=Round(0.00000000,0)</f>
        <v>#VALUE!</v>
      </c>
    </row>
    <row r="4893">
      <c r="A4893" s="11" t="s">
        <v>35</v>
      </c>
      <c r="B4893" s="12">
        <v>1358.3402</v>
      </c>
      <c r="C4893" s="12">
        <v>0</v>
      </c>
      <c r="D4893" s="13">
        <v>0</v>
      </c>
      <c r="E4893" s="12">
        <v>0</v>
      </c>
      <c r="F4893" s="14">
        <v>0</v>
      </c>
      <c r="G4893" s="13">
        <v>19870580.1683</v>
      </c>
      <c r="H4893" s="14">
        <v>26991007839.924656</v>
      </c>
      <c r="I4893" s="14" t="e">
        <f>=Round(405602.57680000,0)</f>
        <v>#VALUE!</v>
      </c>
      <c r="J4893" s="14" t="e">
        <f>=Round(0.00000000,0)</f>
        <v>#VALUE!</v>
      </c>
    </row>
    <row r="4894">
      <c r="A4894" s="11" t="s">
        <v>36</v>
      </c>
      <c r="B4894" s="12">
        <v>1358.3402</v>
      </c>
      <c r="C4894" s="12">
        <v>0</v>
      </c>
      <c r="D4894" s="13">
        <v>0</v>
      </c>
      <c r="E4894" s="12">
        <v>0</v>
      </c>
      <c r="F4894" s="14">
        <v>0</v>
      </c>
      <c r="G4894" s="13">
        <v>19870580.1683</v>
      </c>
      <c r="H4894" s="14">
        <v>26991007839.924656</v>
      </c>
      <c r="I4894" s="14" t="e">
        <f>=Round(405602.57680000,0)</f>
        <v>#VALUE!</v>
      </c>
      <c r="J4894" s="14" t="e">
        <f>=Round(0.00000000,0)</f>
        <v>#VALUE!</v>
      </c>
    </row>
    <row r="4895">
      <c r="A4895" s="11" t="s">
        <v>37</v>
      </c>
      <c r="B4895" s="12">
        <v>1359.0395</v>
      </c>
      <c r="C4895" s="12">
        <v>0</v>
      </c>
      <c r="D4895" s="13">
        <v>0</v>
      </c>
      <c r="E4895" s="12">
        <v>0</v>
      </c>
      <c r="F4895" s="14">
        <v>0</v>
      </c>
      <c r="G4895" s="13">
        <v>19870580.1683</v>
      </c>
      <c r="H4895" s="14">
        <v>27004903336.636349</v>
      </c>
      <c r="I4895" s="14" t="e">
        <f>=Round(405602.57680000,0)</f>
        <v>#VALUE!</v>
      </c>
      <c r="J4895" s="14" t="e">
        <f>=Round(0.00000000,0)</f>
        <v>#VALUE!</v>
      </c>
    </row>
    <row r="4896">
      <c r="A4896" s="11" t="s">
        <v>38</v>
      </c>
      <c r="B4896" s="12">
        <v>1359.2726</v>
      </c>
      <c r="C4896" s="12">
        <v>0</v>
      </c>
      <c r="D4896" s="13">
        <v>0</v>
      </c>
      <c r="E4896" s="12">
        <v>0</v>
      </c>
      <c r="F4896" s="14">
        <v>0</v>
      </c>
      <c r="G4896" s="13">
        <v>19870580.1683</v>
      </c>
      <c r="H4896" s="14">
        <v>27009535168.873581</v>
      </c>
      <c r="I4896" s="14" t="e">
        <f>=Round(405811.38890000,0)</f>
        <v>#VALUE!</v>
      </c>
      <c r="J4896" s="14" t="e">
        <f>=Round(0.00000000,0)</f>
        <v>#VALUE!</v>
      </c>
    </row>
    <row r="4897">
      <c r="A4897" s="11" t="s">
        <v>39</v>
      </c>
      <c r="B4897" s="12">
        <v>1359.5048</v>
      </c>
      <c r="C4897" s="12">
        <v>0</v>
      </c>
      <c r="D4897" s="13">
        <v>0</v>
      </c>
      <c r="E4897" s="12">
        <v>0</v>
      </c>
      <c r="F4897" s="14">
        <v>0</v>
      </c>
      <c r="G4897" s="13">
        <v>19870580.1683</v>
      </c>
      <c r="H4897" s="14">
        <v>27014149117.588657</v>
      </c>
      <c r="I4897" s="14" t="e">
        <f>=Round(405880.99300000,0)</f>
        <v>#VALUE!</v>
      </c>
      <c r="J4897" s="14" t="e">
        <f>=Round(0.00000000,0)</f>
        <v>#VALUE!</v>
      </c>
    </row>
    <row r="4898">
      <c r="A4898" s="11" t="s">
        <v>40</v>
      </c>
      <c r="B4898" s="12">
        <v>1359.7365</v>
      </c>
      <c r="C4898" s="12">
        <v>0</v>
      </c>
      <c r="D4898" s="13">
        <v>0</v>
      </c>
      <c r="E4898" s="12">
        <v>0</v>
      </c>
      <c r="F4898" s="14">
        <v>0</v>
      </c>
      <c r="G4898" s="13">
        <v>19870580.1683</v>
      </c>
      <c r="H4898" s="14">
        <v>27018753131.013653</v>
      </c>
      <c r="I4898" s="14" t="e">
        <f>=Round(405950.32830000,0)</f>
        <v>#VALUE!</v>
      </c>
      <c r="J4898" s="14" t="e">
        <f>=Round(0.00000000,0)</f>
        <v>#VALUE!</v>
      </c>
    </row>
    <row r="4899">
      <c r="A4899" s="11" t="s">
        <v>41</v>
      </c>
      <c r="B4899" s="12">
        <v>1359.979</v>
      </c>
      <c r="C4899" s="12">
        <v>0</v>
      </c>
      <c r="D4899" s="13">
        <v>0</v>
      </c>
      <c r="E4899" s="12">
        <v>0</v>
      </c>
      <c r="F4899" s="14">
        <v>0</v>
      </c>
      <c r="G4899" s="13">
        <v>19870580.1683</v>
      </c>
      <c r="H4899" s="14">
        <v>27023571746.704464</v>
      </c>
      <c r="I4899" s="14" t="e">
        <f>=Round(406019.51430000,0)</f>
        <v>#VALUE!</v>
      </c>
      <c r="J4899" s="14" t="e">
        <f>=Round(0.00000000,0)</f>
        <v>#VALUE!</v>
      </c>
    </row>
    <row r="4900">
      <c r="A4900" s="11" t="s">
        <v>42</v>
      </c>
      <c r="B4900" s="12">
        <v>1359.979</v>
      </c>
      <c r="C4900" s="12">
        <v>0</v>
      </c>
      <c r="D4900" s="13">
        <v>0</v>
      </c>
      <c r="E4900" s="12">
        <v>0</v>
      </c>
      <c r="F4900" s="14">
        <v>0</v>
      </c>
      <c r="G4900" s="13">
        <v>19870580.1683</v>
      </c>
      <c r="H4900" s="14">
        <v>27023571746.704464</v>
      </c>
      <c r="I4900" s="14" t="e">
        <f>=Round(406091.92520000,0)</f>
        <v>#VALUE!</v>
      </c>
      <c r="J4900" s="14" t="e">
        <f>=Round(0.00000000,0)</f>
        <v>#VALUE!</v>
      </c>
    </row>
    <row r="4901">
      <c r="A4901" s="11" t="s">
        <v>43</v>
      </c>
      <c r="B4901" s="12">
        <v>1359.979</v>
      </c>
      <c r="C4901" s="12">
        <v>0</v>
      </c>
      <c r="D4901" s="13">
        <v>0</v>
      </c>
      <c r="E4901" s="12">
        <v>0</v>
      </c>
      <c r="F4901" s="14">
        <v>0</v>
      </c>
      <c r="G4901" s="13">
        <v>19870580.1683</v>
      </c>
      <c r="H4901" s="14">
        <v>27023571746.704464</v>
      </c>
      <c r="I4901" s="14" t="e">
        <f>=Round(406091.92520000,0)</f>
        <v>#VALUE!</v>
      </c>
      <c r="J4901" s="14" t="e">
        <f>=Round(0.00000000,0)</f>
        <v>#VALUE!</v>
      </c>
    </row>
    <row r="4902">
      <c r="A4902" s="11" t="s">
        <v>44</v>
      </c>
      <c r="B4902" s="12">
        <v>1360.6758</v>
      </c>
      <c r="C4902" s="12">
        <v>0</v>
      </c>
      <c r="D4902" s="13">
        <v>0</v>
      </c>
      <c r="E4902" s="12">
        <v>0</v>
      </c>
      <c r="F4902" s="14">
        <v>0</v>
      </c>
      <c r="G4902" s="13">
        <v>19870580.1683</v>
      </c>
      <c r="H4902" s="14">
        <v>27037417566.965736</v>
      </c>
      <c r="I4902" s="14" t="e">
        <f>=Round(406091.92520000,0)</f>
        <v>#VALUE!</v>
      </c>
      <c r="J4902" s="14" t="e">
        <f>=Round(0.00000000,0)</f>
        <v>#VALUE!</v>
      </c>
    </row>
    <row r="4903">
      <c r="A4903" s="11" t="s">
        <v>45</v>
      </c>
      <c r="B4903" s="12">
        <v>1360.9062</v>
      </c>
      <c r="C4903" s="12">
        <v>0</v>
      </c>
      <c r="D4903" s="13">
        <v>0</v>
      </c>
      <c r="E4903" s="12">
        <v>0</v>
      </c>
      <c r="F4903" s="14">
        <v>0</v>
      </c>
      <c r="G4903" s="13">
        <v>19870580.1683</v>
      </c>
      <c r="H4903" s="14">
        <v>27041995748.636513</v>
      </c>
      <c r="I4903" s="14" t="e">
        <f>=Round(406299.99080000,0)</f>
        <v>#VALUE!</v>
      </c>
      <c r="J4903" s="14" t="e">
        <f>=Round(0.00000000,0)</f>
        <v>#VALUE!</v>
      </c>
    </row>
    <row r="4904">
      <c r="A4904" s="11" t="s">
        <v>46</v>
      </c>
      <c r="B4904" s="12">
        <v>1361.137</v>
      </c>
      <c r="C4904" s="12">
        <v>0</v>
      </c>
      <c r="D4904" s="13">
        <v>0</v>
      </c>
      <c r="E4904" s="12">
        <v>0</v>
      </c>
      <c r="F4904" s="14">
        <v>0</v>
      </c>
      <c r="G4904" s="13">
        <v>19870580.1683</v>
      </c>
      <c r="H4904" s="14">
        <v>27046581878.539356</v>
      </c>
      <c r="I4904" s="14" t="e">
        <f>=Round(406368.78860000,0)</f>
        <v>#VALUE!</v>
      </c>
      <c r="J4904" s="14" t="e">
        <f>=Round(0.00000000,0)</f>
        <v>#VALUE!</v>
      </c>
    </row>
    <row r="4905">
      <c r="A4905" s="11" t="s">
        <v>47</v>
      </c>
      <c r="B4905" s="12">
        <v>1361.367</v>
      </c>
      <c r="C4905" s="12">
        <v>0</v>
      </c>
      <c r="D4905" s="13">
        <v>0</v>
      </c>
      <c r="E4905" s="12">
        <v>0</v>
      </c>
      <c r="F4905" s="14">
        <v>0</v>
      </c>
      <c r="G4905" s="13">
        <v>19870580.1683</v>
      </c>
      <c r="H4905" s="14">
        <v>27051152111.978065</v>
      </c>
      <c r="I4905" s="14" t="e">
        <f>=Round(406437.70580000,0)</f>
        <v>#VALUE!</v>
      </c>
      <c r="J4905" s="14" t="e">
        <f>=Round(0.00000000,0)</f>
        <v>#VALUE!</v>
      </c>
    </row>
    <row r="4906">
      <c r="A4906" s="11" t="s">
        <v>48</v>
      </c>
      <c r="B4906" s="12">
        <v>1361.6195</v>
      </c>
      <c r="C4906" s="12">
        <v>0</v>
      </c>
      <c r="D4906" s="13">
        <v>0</v>
      </c>
      <c r="E4906" s="12">
        <v>0</v>
      </c>
      <c r="F4906" s="14">
        <v>0</v>
      </c>
      <c r="G4906" s="13">
        <v>19870580.1683</v>
      </c>
      <c r="H4906" s="14">
        <v>27056169433.470558</v>
      </c>
      <c r="I4906" s="14" t="e">
        <f>=Round(406506.38420000,0)</f>
        <v>#VALUE!</v>
      </c>
      <c r="J4906" s="14" t="e">
        <f>=Round(0.00000000,0)</f>
        <v>#VALUE!</v>
      </c>
    </row>
    <row r="4907">
      <c r="A4907" s="11" t="s">
        <v>49</v>
      </c>
      <c r="B4907" s="12">
        <v>1361.6195</v>
      </c>
      <c r="C4907" s="12">
        <v>0</v>
      </c>
      <c r="D4907" s="13">
        <v>0</v>
      </c>
      <c r="E4907" s="12">
        <v>0</v>
      </c>
      <c r="F4907" s="14">
        <v>0</v>
      </c>
      <c r="G4907" s="13">
        <v>19870580.1683</v>
      </c>
      <c r="H4907" s="14">
        <v>27056169433.470558</v>
      </c>
      <c r="I4907" s="14" t="e">
        <f>=Round(406581.78110000,0)</f>
        <v>#VALUE!</v>
      </c>
      <c r="J4907" s="14" t="e">
        <f>=Round(0.00000000,0)</f>
        <v>#VALUE!</v>
      </c>
    </row>
    <row r="4908">
      <c r="A4908" s="11" t="s">
        <v>50</v>
      </c>
      <c r="B4908" s="12">
        <v>1361.6195</v>
      </c>
      <c r="C4908" s="12">
        <v>0</v>
      </c>
      <c r="D4908" s="13">
        <v>0</v>
      </c>
      <c r="E4908" s="12">
        <v>0</v>
      </c>
      <c r="F4908" s="14">
        <v>0</v>
      </c>
      <c r="G4908" s="13">
        <v>19870580.1683</v>
      </c>
      <c r="H4908" s="14">
        <v>27056169433.470558</v>
      </c>
      <c r="I4908" s="14" t="e">
        <f>=Round(406581.78110000,0)</f>
        <v>#VALUE!</v>
      </c>
      <c r="J4908" s="14" t="e">
        <f>=Round(0.00000000,0)</f>
        <v>#VALUE!</v>
      </c>
    </row>
    <row r="4909">
      <c r="A4909" s="11" t="s">
        <v>51</v>
      </c>
      <c r="B4909" s="12">
        <v>1362.3425</v>
      </c>
      <c r="C4909" s="12">
        <v>0</v>
      </c>
      <c r="D4909" s="13">
        <v>0</v>
      </c>
      <c r="E4909" s="12">
        <v>0</v>
      </c>
      <c r="F4909" s="14">
        <v>0</v>
      </c>
      <c r="G4909" s="13">
        <v>19870580.1683</v>
      </c>
      <c r="H4909" s="14">
        <v>27070535862.932243</v>
      </c>
      <c r="I4909" s="14" t="e">
        <f>=Round(406581.78110000,0)</f>
        <v>#VALUE!</v>
      </c>
      <c r="J4909" s="14" t="e">
        <f>=Round(0.00000000,0)</f>
        <v>#VALUE!</v>
      </c>
    </row>
    <row r="4910">
      <c r="A4910" s="11" t="s">
        <v>52</v>
      </c>
      <c r="B4910" s="12">
        <v>1362.5746</v>
      </c>
      <c r="C4910" s="12">
        <v>0</v>
      </c>
      <c r="D4910" s="13">
        <v>0</v>
      </c>
      <c r="E4910" s="12">
        <v>0</v>
      </c>
      <c r="F4910" s="14">
        <v>0</v>
      </c>
      <c r="G4910" s="13">
        <v>19870580.1683</v>
      </c>
      <c r="H4910" s="14">
        <v>27075147824.589306</v>
      </c>
      <c r="I4910" s="14" t="e">
        <f>=Round(406797.67010000,0)</f>
        <v>#VALUE!</v>
      </c>
      <c r="J4910" s="14" t="e">
        <f>=Round(0.00000000,0)</f>
        <v>#VALUE!</v>
      </c>
    </row>
    <row r="4911">
      <c r="A4911" s="11" t="s">
        <v>53</v>
      </c>
      <c r="B4911" s="12">
        <v>1362.8067</v>
      </c>
      <c r="C4911" s="12">
        <v>0</v>
      </c>
      <c r="D4911" s="13">
        <v>0</v>
      </c>
      <c r="E4911" s="12">
        <v>0</v>
      </c>
      <c r="F4911" s="14">
        <v>0</v>
      </c>
      <c r="G4911" s="13">
        <v>19870580.1683</v>
      </c>
      <c r="H4911" s="14">
        <v>27079759786.246368</v>
      </c>
      <c r="I4911" s="14" t="e">
        <f>=Round(406866.97550000,0)</f>
        <v>#VALUE!</v>
      </c>
      <c r="J4911" s="14" t="e">
        <f>=Round(0.00000000,0)</f>
        <v>#VALUE!</v>
      </c>
    </row>
    <row r="4912">
      <c r="A4912" s="11" t="s">
        <v>54</v>
      </c>
      <c r="B4912" s="12">
        <v>1363.0394</v>
      </c>
      <c r="C4912" s="12">
        <v>0</v>
      </c>
      <c r="D4912" s="13">
        <v>0</v>
      </c>
      <c r="E4912" s="12">
        <v>0</v>
      </c>
      <c r="F4912" s="14">
        <v>0</v>
      </c>
      <c r="G4912" s="13">
        <v>19870580.1683</v>
      </c>
      <c r="H4912" s="14">
        <v>27084383670.251534</v>
      </c>
      <c r="I4912" s="14" t="e">
        <f>=Round(406936.28090000,0)</f>
        <v>#VALUE!</v>
      </c>
      <c r="J4912" s="14" t="e">
        <f>=Round(0.00000000,0)</f>
        <v>#VALUE!</v>
      </c>
    </row>
    <row r="4913">
      <c r="A4913" s="11" t="s">
        <v>55</v>
      </c>
      <c r="B4913" s="12">
        <v>1363.274</v>
      </c>
      <c r="C4913" s="12">
        <v>0</v>
      </c>
      <c r="D4913" s="13">
        <v>0</v>
      </c>
      <c r="E4913" s="12">
        <v>0</v>
      </c>
      <c r="F4913" s="14">
        <v>0</v>
      </c>
      <c r="G4913" s="13">
        <v>19870580.1683</v>
      </c>
      <c r="H4913" s="14">
        <v>27089045308.359016</v>
      </c>
      <c r="I4913" s="14" t="e">
        <f>=Round(407005.76550000,0)</f>
        <v>#VALUE!</v>
      </c>
      <c r="J4913" s="14" t="e">
        <f>=Round(0.00000000,0)</f>
        <v>#VALUE!</v>
      </c>
    </row>
    <row r="4914" ht="-1">
      <c r="A4914" s="15"/>
      <c r="B4914" s="16" t="s">
        <v>56</v>
      </c>
      <c r="C4914" s="15"/>
      <c r="D4914" s="15"/>
      <c r="E4914" s="15"/>
      <c r="F4914" s="15"/>
      <c r="G4914" s="15"/>
      <c r="H4914" s="15"/>
      <c r="I4914" s="17" t="e">
        <f>=Round(SUM(I4888:I4913),0)</f>
        <v>#VALUE!</v>
      </c>
      <c r="J4914" s="17" t="e">
        <f>=Round(SUM(J4888:J4913),0)</f>
        <v>#VALUE!</v>
      </c>
    </row>
    <row r="4915">
      <c r="A4915" s="1" t="s">
        <v>0</v>
      </c>
      <c r="B4915" s="1"/>
      <c r="C4915" s="1"/>
      <c r="D4915" s="1"/>
    </row>
    <row r="4916">
      <c r="A4916" s="0" t="s">
        <v>1</v>
      </c>
      <c r="C4916" s="0" t="s">
        <v>144</v>
      </c>
      <c r="H4916" s="2" t="s">
        <v>3</v>
      </c>
    </row>
    <row r="4917">
      <c r="A4917" s="0" t="s">
        <v>4</v>
      </c>
      <c r="C4917" s="0" t="s">
        <v>182</v>
      </c>
      <c r="H4917" s="3" t="s">
        <v>6</v>
      </c>
    </row>
    <row r="4918">
      <c r="A4918" s="0" t="s">
        <v>7</v>
      </c>
      <c r="C4918" s="4" t="s">
        <v>146</v>
      </c>
      <c r="H4918" s="2" t="s">
        <v>9</v>
      </c>
    </row>
    <row r="4919">
      <c r="A4919" s="0" t="s">
        <v>10</v>
      </c>
      <c r="C4919" s="4" t="s">
        <v>11</v>
      </c>
      <c r="H4919" s="2" t="s">
        <v>12</v>
      </c>
    </row>
    <row r="4920">
      <c r="A4920" s="0" t="s">
        <v>13</v>
      </c>
      <c r="C4920" s="0" t="s">
        <v>14</v>
      </c>
    </row>
    <row r="4921">
      <c r="A4921" s="0" t="s">
        <v>15</v>
      </c>
      <c r="C4921" s="0" t="s">
        <v>16</v>
      </c>
    </row>
    <row r="4922">
      <c r="A4922" s="0" t="s">
        <v>17</v>
      </c>
      <c r="C4922" s="0" t="s">
        <v>18</v>
      </c>
    </row>
    <row r="4925">
      <c r="A4925" s="5" t="s">
        <v>19</v>
      </c>
      <c r="B4925" s="5" t="s">
        <v>20</v>
      </c>
      <c r="C4925" s="7" t="s">
        <v>21</v>
      </c>
      <c r="D4925" s="9"/>
      <c r="E4925" s="7" t="s">
        <v>22</v>
      </c>
      <c r="F4925" s="9"/>
      <c r="G4925" s="5" t="s">
        <v>23</v>
      </c>
      <c r="H4925" s="5" t="s">
        <v>24</v>
      </c>
      <c r="I4925" s="5" t="s">
        <v>147</v>
      </c>
      <c r="J4925" s="5" t="s">
        <v>26</v>
      </c>
    </row>
    <row r="4926">
      <c r="A4926" s="6"/>
      <c r="B4926" s="6"/>
      <c r="C4926" s="8" t="s">
        <v>27</v>
      </c>
      <c r="D4926" s="8" t="s">
        <v>28</v>
      </c>
      <c r="E4926" s="8" t="s">
        <v>27</v>
      </c>
      <c r="F4926" s="8" t="s">
        <v>28</v>
      </c>
      <c r="G4926" s="6"/>
      <c r="H4926" s="6"/>
      <c r="I4926" s="10" t="s">
        <v>29</v>
      </c>
      <c r="J4926" s="6"/>
    </row>
    <row r="4927">
      <c r="A4927" s="11" t="s">
        <v>30</v>
      </c>
      <c r="B4927" s="12">
        <v>1357.4104</v>
      </c>
      <c r="C4927" s="12">
        <v>0</v>
      </c>
      <c r="D4927" s="13">
        <v>0</v>
      </c>
      <c r="E4927" s="12">
        <v>0</v>
      </c>
      <c r="F4927" s="14">
        <v>0</v>
      </c>
      <c r="G4927" s="13">
        <v>396770.3528</v>
      </c>
      <c r="H4927" s="14">
        <v>538580203.302389</v>
      </c>
      <c r="I4927" s="14" t="e">
        <f>=Round(8089.27990000,0)</f>
        <v>#VALUE!</v>
      </c>
      <c r="J4927" s="14" t="e">
        <f>=Round(0.00000000,0)</f>
        <v>#VALUE!</v>
      </c>
    </row>
    <row r="4928">
      <c r="A4928" s="11" t="s">
        <v>31</v>
      </c>
      <c r="B4928" s="12">
        <v>1357.6428</v>
      </c>
      <c r="C4928" s="12">
        <v>0</v>
      </c>
      <c r="D4928" s="13">
        <v>0</v>
      </c>
      <c r="E4928" s="12">
        <v>0</v>
      </c>
      <c r="F4928" s="14">
        <v>0</v>
      </c>
      <c r="G4928" s="13">
        <v>396770.3528</v>
      </c>
      <c r="H4928" s="14">
        <v>538672412.73238</v>
      </c>
      <c r="I4928" s="14" t="e">
        <f>=Round(8093.41840000,0)</f>
        <v>#VALUE!</v>
      </c>
      <c r="J4928" s="14" t="e">
        <f>=Round(0.00000000,0)</f>
        <v>#VALUE!</v>
      </c>
    </row>
    <row r="4929">
      <c r="A4929" s="11" t="s">
        <v>32</v>
      </c>
      <c r="B4929" s="12">
        <v>1357.8735</v>
      </c>
      <c r="C4929" s="12">
        <v>0</v>
      </c>
      <c r="D4929" s="13">
        <v>0</v>
      </c>
      <c r="E4929" s="12">
        <v>0</v>
      </c>
      <c r="F4929" s="14">
        <v>0</v>
      </c>
      <c r="G4929" s="13">
        <v>396770.3528</v>
      </c>
      <c r="H4929" s="14">
        <v>538763947.652771</v>
      </c>
      <c r="I4929" s="14" t="e">
        <f>=Round(8094.80400000,0)</f>
        <v>#VALUE!</v>
      </c>
      <c r="J4929" s="14" t="e">
        <f>=Round(0.00000000,0)</f>
        <v>#VALUE!</v>
      </c>
    </row>
    <row r="4930">
      <c r="A4930" s="11" t="s">
        <v>33</v>
      </c>
      <c r="B4930" s="12">
        <v>1358.1079</v>
      </c>
      <c r="C4930" s="12">
        <v>0</v>
      </c>
      <c r="D4930" s="13">
        <v>0</v>
      </c>
      <c r="E4930" s="12">
        <v>0</v>
      </c>
      <c r="F4930" s="14">
        <v>0</v>
      </c>
      <c r="G4930" s="13">
        <v>396770.3528</v>
      </c>
      <c r="H4930" s="14">
        <v>538856950.623467</v>
      </c>
      <c r="I4930" s="14" t="e">
        <f>=Round(8096.17950000,0)</f>
        <v>#VALUE!</v>
      </c>
      <c r="J4930" s="14" t="e">
        <f>=Round(0.00000000,0)</f>
        <v>#VALUE!</v>
      </c>
    </row>
    <row r="4931">
      <c r="A4931" s="11" t="s">
        <v>34</v>
      </c>
      <c r="B4931" s="12">
        <v>1358.3402</v>
      </c>
      <c r="C4931" s="12">
        <v>0</v>
      </c>
      <c r="D4931" s="13">
        <v>0</v>
      </c>
      <c r="E4931" s="12">
        <v>0</v>
      </c>
      <c r="F4931" s="14">
        <v>0</v>
      </c>
      <c r="G4931" s="13">
        <v>396770.3528</v>
      </c>
      <c r="H4931" s="14">
        <v>538949120.376423</v>
      </c>
      <c r="I4931" s="14" t="e">
        <f>=Round(8097.57710000,0)</f>
        <v>#VALUE!</v>
      </c>
      <c r="J4931" s="14" t="e">
        <f>=Round(0.00000000,0)</f>
        <v>#VALUE!</v>
      </c>
    </row>
    <row r="4932">
      <c r="A4932" s="11" t="s">
        <v>35</v>
      </c>
      <c r="B4932" s="12">
        <v>1358.3402</v>
      </c>
      <c r="C4932" s="12">
        <v>0</v>
      </c>
      <c r="D4932" s="13">
        <v>0</v>
      </c>
      <c r="E4932" s="12">
        <v>0</v>
      </c>
      <c r="F4932" s="14">
        <v>0</v>
      </c>
      <c r="G4932" s="13">
        <v>396770.3528</v>
      </c>
      <c r="H4932" s="14">
        <v>538949120.376423</v>
      </c>
      <c r="I4932" s="14" t="e">
        <f>=Round(8098.96220000,0)</f>
        <v>#VALUE!</v>
      </c>
      <c r="J4932" s="14" t="e">
        <f>=Round(0.00000000,0)</f>
        <v>#VALUE!</v>
      </c>
    </row>
    <row r="4933">
      <c r="A4933" s="11" t="s">
        <v>36</v>
      </c>
      <c r="B4933" s="12">
        <v>1358.3402</v>
      </c>
      <c r="C4933" s="12">
        <v>0</v>
      </c>
      <c r="D4933" s="13">
        <v>0</v>
      </c>
      <c r="E4933" s="12">
        <v>0</v>
      </c>
      <c r="F4933" s="14">
        <v>0</v>
      </c>
      <c r="G4933" s="13">
        <v>396770.3528</v>
      </c>
      <c r="H4933" s="14">
        <v>538949120.376423</v>
      </c>
      <c r="I4933" s="14" t="e">
        <f>=Round(8098.96220000,0)</f>
        <v>#VALUE!</v>
      </c>
      <c r="J4933" s="14" t="e">
        <f>=Round(0.00000000,0)</f>
        <v>#VALUE!</v>
      </c>
    </row>
    <row r="4934">
      <c r="A4934" s="11" t="s">
        <v>37</v>
      </c>
      <c r="B4934" s="12">
        <v>1359.0395</v>
      </c>
      <c r="C4934" s="12">
        <v>0</v>
      </c>
      <c r="D4934" s="13">
        <v>0</v>
      </c>
      <c r="E4934" s="12">
        <v>0</v>
      </c>
      <c r="F4934" s="14">
        <v>0</v>
      </c>
      <c r="G4934" s="13">
        <v>396770.3528</v>
      </c>
      <c r="H4934" s="14">
        <v>539226581.884136</v>
      </c>
      <c r="I4934" s="14" t="e">
        <f>=Round(8098.96220000,0)</f>
        <v>#VALUE!</v>
      </c>
      <c r="J4934" s="14" t="e">
        <f>=Round(0.00000000,0)</f>
        <v>#VALUE!</v>
      </c>
    </row>
    <row r="4935">
      <c r="A4935" s="11" t="s">
        <v>38</v>
      </c>
      <c r="B4935" s="12">
        <v>1359.2726</v>
      </c>
      <c r="C4935" s="12">
        <v>0</v>
      </c>
      <c r="D4935" s="13">
        <v>0</v>
      </c>
      <c r="E4935" s="12">
        <v>0</v>
      </c>
      <c r="F4935" s="14">
        <v>0</v>
      </c>
      <c r="G4935" s="13">
        <v>396770.3528</v>
      </c>
      <c r="H4935" s="14">
        <v>539319069.053373</v>
      </c>
      <c r="I4935" s="14" t="e">
        <f>=Round(8103.13170000,0)</f>
        <v>#VALUE!</v>
      </c>
      <c r="J4935" s="14" t="e">
        <f>=Round(0.00000000,0)</f>
        <v>#VALUE!</v>
      </c>
    </row>
    <row r="4936">
      <c r="A4936" s="11" t="s">
        <v>39</v>
      </c>
      <c r="B4936" s="12">
        <v>1359.5048</v>
      </c>
      <c r="C4936" s="12">
        <v>0</v>
      </c>
      <c r="D4936" s="13">
        <v>0</v>
      </c>
      <c r="E4936" s="12">
        <v>0</v>
      </c>
      <c r="F4936" s="14">
        <v>0</v>
      </c>
      <c r="G4936" s="13">
        <v>396770.3528</v>
      </c>
      <c r="H4936" s="14">
        <v>539411199.129293</v>
      </c>
      <c r="I4936" s="14" t="e">
        <f>=Round(8104.52150000,0)</f>
        <v>#VALUE!</v>
      </c>
      <c r="J4936" s="14" t="e">
        <f>=Round(0.00000000,0)</f>
        <v>#VALUE!</v>
      </c>
    </row>
    <row r="4937">
      <c r="A4937" s="11" t="s">
        <v>40</v>
      </c>
      <c r="B4937" s="12">
        <v>1359.7365</v>
      </c>
      <c r="C4937" s="12">
        <v>0</v>
      </c>
      <c r="D4937" s="13">
        <v>0</v>
      </c>
      <c r="E4937" s="12">
        <v>0</v>
      </c>
      <c r="F4937" s="14">
        <v>0</v>
      </c>
      <c r="G4937" s="13">
        <v>396770.3528</v>
      </c>
      <c r="H4937" s="14">
        <v>539503130.820037</v>
      </c>
      <c r="I4937" s="14" t="e">
        <f>=Round(8105.90600000,0)</f>
        <v>#VALUE!</v>
      </c>
      <c r="J4937" s="14" t="e">
        <f>=Round(0.00000000,0)</f>
        <v>#VALUE!</v>
      </c>
    </row>
    <row r="4938">
      <c r="A4938" s="11" t="s">
        <v>41</v>
      </c>
      <c r="B4938" s="12">
        <v>1359.979</v>
      </c>
      <c r="C4938" s="12">
        <v>0</v>
      </c>
      <c r="D4938" s="13">
        <v>0</v>
      </c>
      <c r="E4938" s="12">
        <v>0</v>
      </c>
      <c r="F4938" s="14">
        <v>0</v>
      </c>
      <c r="G4938" s="13">
        <v>396770.3528</v>
      </c>
      <c r="H4938" s="14">
        <v>539599347.630591</v>
      </c>
      <c r="I4938" s="14" t="e">
        <f>=Round(8107.28750000,0)</f>
        <v>#VALUE!</v>
      </c>
      <c r="J4938" s="14" t="e">
        <f>=Round(0.00000000,0)</f>
        <v>#VALUE!</v>
      </c>
    </row>
    <row r="4939">
      <c r="A4939" s="11" t="s">
        <v>42</v>
      </c>
      <c r="B4939" s="12">
        <v>1359.979</v>
      </c>
      <c r="C4939" s="12">
        <v>0</v>
      </c>
      <c r="D4939" s="13">
        <v>0</v>
      </c>
      <c r="E4939" s="12">
        <v>0</v>
      </c>
      <c r="F4939" s="14">
        <v>0</v>
      </c>
      <c r="G4939" s="13">
        <v>396770.3528</v>
      </c>
      <c r="H4939" s="14">
        <v>539599347.630591</v>
      </c>
      <c r="I4939" s="14" t="e">
        <f>=Round(8108.73340000,0)</f>
        <v>#VALUE!</v>
      </c>
      <c r="J4939" s="14" t="e">
        <f>=Round(0.00000000,0)</f>
        <v>#VALUE!</v>
      </c>
    </row>
    <row r="4940">
      <c r="A4940" s="11" t="s">
        <v>43</v>
      </c>
      <c r="B4940" s="12">
        <v>1359.979</v>
      </c>
      <c r="C4940" s="12">
        <v>0</v>
      </c>
      <c r="D4940" s="13">
        <v>0</v>
      </c>
      <c r="E4940" s="12">
        <v>0</v>
      </c>
      <c r="F4940" s="14">
        <v>0</v>
      </c>
      <c r="G4940" s="13">
        <v>396770.3528</v>
      </c>
      <c r="H4940" s="14">
        <v>539599347.630591</v>
      </c>
      <c r="I4940" s="14" t="e">
        <f>=Round(8108.73340000,0)</f>
        <v>#VALUE!</v>
      </c>
      <c r="J4940" s="14" t="e">
        <f>=Round(0.00000000,0)</f>
        <v>#VALUE!</v>
      </c>
    </row>
    <row r="4941">
      <c r="A4941" s="11" t="s">
        <v>44</v>
      </c>
      <c r="B4941" s="12">
        <v>1360.6758</v>
      </c>
      <c r="C4941" s="12">
        <v>0</v>
      </c>
      <c r="D4941" s="13">
        <v>0</v>
      </c>
      <c r="E4941" s="12">
        <v>0</v>
      </c>
      <c r="F4941" s="14">
        <v>0</v>
      </c>
      <c r="G4941" s="13">
        <v>396770.3528</v>
      </c>
      <c r="H4941" s="14">
        <v>539875817.212422</v>
      </c>
      <c r="I4941" s="14" t="e">
        <f>=Round(8108.73340000,0)</f>
        <v>#VALUE!</v>
      </c>
      <c r="J4941" s="14" t="e">
        <f>=Round(0.00000000,0)</f>
        <v>#VALUE!</v>
      </c>
    </row>
    <row r="4942">
      <c r="A4942" s="11" t="s">
        <v>45</v>
      </c>
      <c r="B4942" s="12">
        <v>1360.9062</v>
      </c>
      <c r="C4942" s="12">
        <v>0</v>
      </c>
      <c r="D4942" s="13">
        <v>0</v>
      </c>
      <c r="E4942" s="12">
        <v>0</v>
      </c>
      <c r="F4942" s="14">
        <v>0</v>
      </c>
      <c r="G4942" s="13">
        <v>396770.3528</v>
      </c>
      <c r="H4942" s="14">
        <v>539967233.101707</v>
      </c>
      <c r="I4942" s="14" t="e">
        <f>=Round(8112.88800000,0)</f>
        <v>#VALUE!</v>
      </c>
      <c r="J4942" s="14" t="e">
        <f>=Round(0.00000000,0)</f>
        <v>#VALUE!</v>
      </c>
    </row>
    <row r="4943">
      <c r="A4943" s="11" t="s">
        <v>46</v>
      </c>
      <c r="B4943" s="12">
        <v>1361.137</v>
      </c>
      <c r="C4943" s="12">
        <v>0</v>
      </c>
      <c r="D4943" s="13">
        <v>0</v>
      </c>
      <c r="E4943" s="12">
        <v>0</v>
      </c>
      <c r="F4943" s="14">
        <v>0</v>
      </c>
      <c r="G4943" s="13">
        <v>396770.3528</v>
      </c>
      <c r="H4943" s="14">
        <v>540058807.699134</v>
      </c>
      <c r="I4943" s="14" t="e">
        <f>=Round(8114.26170000,0)</f>
        <v>#VALUE!</v>
      </c>
      <c r="J4943" s="14" t="e">
        <f>=Round(0.00000000,0)</f>
        <v>#VALUE!</v>
      </c>
    </row>
    <row r="4944">
      <c r="A4944" s="11" t="s">
        <v>47</v>
      </c>
      <c r="B4944" s="12">
        <v>1361.367</v>
      </c>
      <c r="C4944" s="12">
        <v>0</v>
      </c>
      <c r="D4944" s="13">
        <v>0</v>
      </c>
      <c r="E4944" s="12">
        <v>0</v>
      </c>
      <c r="F4944" s="14">
        <v>0</v>
      </c>
      <c r="G4944" s="13">
        <v>396770.3528</v>
      </c>
      <c r="H4944" s="14">
        <v>540150064.880278</v>
      </c>
      <c r="I4944" s="14" t="e">
        <f>=Round(8115.63780000,0)</f>
        <v>#VALUE!</v>
      </c>
      <c r="J4944" s="14" t="e">
        <f>=Round(0.00000000,0)</f>
        <v>#VALUE!</v>
      </c>
    </row>
    <row r="4945">
      <c r="A4945" s="11" t="s">
        <v>48</v>
      </c>
      <c r="B4945" s="12">
        <v>1361.6195</v>
      </c>
      <c r="C4945" s="12">
        <v>0</v>
      </c>
      <c r="D4945" s="13">
        <v>0</v>
      </c>
      <c r="E4945" s="12">
        <v>0</v>
      </c>
      <c r="F4945" s="14">
        <v>0</v>
      </c>
      <c r="G4945" s="13">
        <v>396770.3528</v>
      </c>
      <c r="H4945" s="14">
        <v>540250249.39436</v>
      </c>
      <c r="I4945" s="14" t="e">
        <f>=Round(8117.00920000,0)</f>
        <v>#VALUE!</v>
      </c>
      <c r="J4945" s="14" t="e">
        <f>=Round(0.00000000,0)</f>
        <v>#VALUE!</v>
      </c>
    </row>
    <row r="4946">
      <c r="A4946" s="11" t="s">
        <v>49</v>
      </c>
      <c r="B4946" s="12">
        <v>1361.6195</v>
      </c>
      <c r="C4946" s="12">
        <v>0</v>
      </c>
      <c r="D4946" s="13">
        <v>0</v>
      </c>
      <c r="E4946" s="12">
        <v>0</v>
      </c>
      <c r="F4946" s="14">
        <v>0</v>
      </c>
      <c r="G4946" s="13">
        <v>396770.3528</v>
      </c>
      <c r="H4946" s="14">
        <v>540250249.39436</v>
      </c>
      <c r="I4946" s="14" t="e">
        <f>=Round(8118.51470000,0)</f>
        <v>#VALUE!</v>
      </c>
      <c r="J4946" s="14" t="e">
        <f>=Round(0.00000000,0)</f>
        <v>#VALUE!</v>
      </c>
    </row>
    <row r="4947">
      <c r="A4947" s="11" t="s">
        <v>50</v>
      </c>
      <c r="B4947" s="12">
        <v>1361.6195</v>
      </c>
      <c r="C4947" s="12">
        <v>0</v>
      </c>
      <c r="D4947" s="13">
        <v>0</v>
      </c>
      <c r="E4947" s="12">
        <v>0</v>
      </c>
      <c r="F4947" s="14">
        <v>0</v>
      </c>
      <c r="G4947" s="13">
        <v>396770.3528</v>
      </c>
      <c r="H4947" s="14">
        <v>540250249.39436</v>
      </c>
      <c r="I4947" s="14" t="e">
        <f>=Round(8118.51470000,0)</f>
        <v>#VALUE!</v>
      </c>
      <c r="J4947" s="14" t="e">
        <f>=Round(0.00000000,0)</f>
        <v>#VALUE!</v>
      </c>
    </row>
    <row r="4948">
      <c r="A4948" s="11" t="s">
        <v>51</v>
      </c>
      <c r="B4948" s="12">
        <v>1362.3425</v>
      </c>
      <c r="C4948" s="12">
        <v>0</v>
      </c>
      <c r="D4948" s="13">
        <v>0</v>
      </c>
      <c r="E4948" s="12">
        <v>0</v>
      </c>
      <c r="F4948" s="14">
        <v>0</v>
      </c>
      <c r="G4948" s="13">
        <v>396770.3528</v>
      </c>
      <c r="H4948" s="14">
        <v>540537114.359434</v>
      </c>
      <c r="I4948" s="14" t="e">
        <f>=Round(8118.51470000,0)</f>
        <v>#VALUE!</v>
      </c>
      <c r="J4948" s="14" t="e">
        <f>=Round(0.00000000,0)</f>
        <v>#VALUE!</v>
      </c>
    </row>
    <row r="4949">
      <c r="A4949" s="11" t="s">
        <v>52</v>
      </c>
      <c r="B4949" s="12">
        <v>1362.5746</v>
      </c>
      <c r="C4949" s="12">
        <v>0</v>
      </c>
      <c r="D4949" s="13">
        <v>0</v>
      </c>
      <c r="E4949" s="12">
        <v>0</v>
      </c>
      <c r="F4949" s="14">
        <v>0</v>
      </c>
      <c r="G4949" s="13">
        <v>396770.3528</v>
      </c>
      <c r="H4949" s="14">
        <v>540629204.758319</v>
      </c>
      <c r="I4949" s="14" t="e">
        <f>=Round(8122.82550000,0)</f>
        <v>#VALUE!</v>
      </c>
      <c r="J4949" s="14" t="e">
        <f>=Round(0.00000000,0)</f>
        <v>#VALUE!</v>
      </c>
    </row>
    <row r="4950">
      <c r="A4950" s="11" t="s">
        <v>53</v>
      </c>
      <c r="B4950" s="12">
        <v>1362.8067</v>
      </c>
      <c r="C4950" s="12">
        <v>0</v>
      </c>
      <c r="D4950" s="13">
        <v>0</v>
      </c>
      <c r="E4950" s="12">
        <v>0</v>
      </c>
      <c r="F4950" s="14">
        <v>0</v>
      </c>
      <c r="G4950" s="13">
        <v>396770.3528</v>
      </c>
      <c r="H4950" s="14">
        <v>540721295.157204</v>
      </c>
      <c r="I4950" s="14" t="e">
        <f>=Round(8124.20940000,0)</f>
        <v>#VALUE!</v>
      </c>
      <c r="J4950" s="14" t="e">
        <f>=Round(0.00000000,0)</f>
        <v>#VALUE!</v>
      </c>
    </row>
    <row r="4951">
      <c r="A4951" s="11" t="s">
        <v>54</v>
      </c>
      <c r="B4951" s="12">
        <v>1363.0394</v>
      </c>
      <c r="C4951" s="12">
        <v>0</v>
      </c>
      <c r="D4951" s="13">
        <v>0</v>
      </c>
      <c r="E4951" s="12">
        <v>0</v>
      </c>
      <c r="F4951" s="14">
        <v>0</v>
      </c>
      <c r="G4951" s="13">
        <v>396770.3528</v>
      </c>
      <c r="H4951" s="14">
        <v>540813623.6183</v>
      </c>
      <c r="I4951" s="14" t="e">
        <f>=Round(8125.59320000,0)</f>
        <v>#VALUE!</v>
      </c>
      <c r="J4951" s="14" t="e">
        <f>=Round(0.00000000,0)</f>
        <v>#VALUE!</v>
      </c>
    </row>
    <row r="4952">
      <c r="A4952" s="11" t="s">
        <v>55</v>
      </c>
      <c r="B4952" s="12">
        <v>1363.274</v>
      </c>
      <c r="C4952" s="12">
        <v>0</v>
      </c>
      <c r="D4952" s="13">
        <v>0</v>
      </c>
      <c r="E4952" s="12">
        <v>0</v>
      </c>
      <c r="F4952" s="14">
        <v>0</v>
      </c>
      <c r="G4952" s="13">
        <v>396770.3528</v>
      </c>
      <c r="H4952" s="14">
        <v>540906705.943067</v>
      </c>
      <c r="I4952" s="14" t="e">
        <f>=Round(8126.98070000,0)</f>
        <v>#VALUE!</v>
      </c>
      <c r="J4952" s="14" t="e">
        <f>=Round(0.00000000,0)</f>
        <v>#VALUE!</v>
      </c>
    </row>
    <row r="4953" ht="-1">
      <c r="A4953" s="15"/>
      <c r="B4953" s="16" t="s">
        <v>56</v>
      </c>
      <c r="C4953" s="15"/>
      <c r="D4953" s="15"/>
      <c r="E4953" s="15"/>
      <c r="F4953" s="15"/>
      <c r="G4953" s="15"/>
      <c r="H4953" s="15"/>
      <c r="I4953" s="17" t="e">
        <f>=Round(SUM(I4927:I4952),0)</f>
        <v>#VALUE!</v>
      </c>
      <c r="J4953" s="17" t="e">
        <f>=Round(SUM(J4927:J4952),0)</f>
        <v>#VALUE!</v>
      </c>
    </row>
    <row r="4954">
      <c r="A4954" s="1" t="s">
        <v>0</v>
      </c>
      <c r="B4954" s="1"/>
      <c r="C4954" s="1"/>
      <c r="D4954" s="1"/>
    </row>
    <row r="4955">
      <c r="A4955" s="0" t="s">
        <v>1</v>
      </c>
      <c r="C4955" s="0" t="s">
        <v>144</v>
      </c>
      <c r="H4955" s="2" t="s">
        <v>3</v>
      </c>
    </row>
    <row r="4956">
      <c r="A4956" s="0" t="s">
        <v>4</v>
      </c>
      <c r="C4956" s="0" t="s">
        <v>183</v>
      </c>
      <c r="H4956" s="3" t="s">
        <v>6</v>
      </c>
    </row>
    <row r="4957">
      <c r="A4957" s="0" t="s">
        <v>7</v>
      </c>
      <c r="C4957" s="4" t="s">
        <v>146</v>
      </c>
      <c r="H4957" s="2" t="s">
        <v>9</v>
      </c>
    </row>
    <row r="4958">
      <c r="A4958" s="0" t="s">
        <v>10</v>
      </c>
      <c r="C4958" s="4" t="s">
        <v>11</v>
      </c>
      <c r="H4958" s="2" t="s">
        <v>12</v>
      </c>
    </row>
    <row r="4959">
      <c r="A4959" s="0" t="s">
        <v>13</v>
      </c>
      <c r="C4959" s="0" t="s">
        <v>14</v>
      </c>
    </row>
    <row r="4960">
      <c r="A4960" s="0" t="s">
        <v>15</v>
      </c>
      <c r="C4960" s="0" t="s">
        <v>16</v>
      </c>
    </row>
    <row r="4961">
      <c r="A4961" s="0" t="s">
        <v>17</v>
      </c>
      <c r="C4961" s="0" t="s">
        <v>18</v>
      </c>
    </row>
    <row r="4964">
      <c r="A4964" s="5" t="s">
        <v>19</v>
      </c>
      <c r="B4964" s="5" t="s">
        <v>20</v>
      </c>
      <c r="C4964" s="7" t="s">
        <v>21</v>
      </c>
      <c r="D4964" s="9"/>
      <c r="E4964" s="7" t="s">
        <v>22</v>
      </c>
      <c r="F4964" s="9"/>
      <c r="G4964" s="5" t="s">
        <v>23</v>
      </c>
      <c r="H4964" s="5" t="s">
        <v>24</v>
      </c>
      <c r="I4964" s="5" t="s">
        <v>147</v>
      </c>
      <c r="J4964" s="5" t="s">
        <v>26</v>
      </c>
    </row>
    <row r="4965">
      <c r="A4965" s="6"/>
      <c r="B4965" s="6"/>
      <c r="C4965" s="8" t="s">
        <v>27</v>
      </c>
      <c r="D4965" s="8" t="s">
        <v>28</v>
      </c>
      <c r="E4965" s="8" t="s">
        <v>27</v>
      </c>
      <c r="F4965" s="8" t="s">
        <v>28</v>
      </c>
      <c r="G4965" s="6"/>
      <c r="H4965" s="6"/>
      <c r="I4965" s="10" t="s">
        <v>29</v>
      </c>
      <c r="J4965" s="6"/>
    </row>
    <row r="4966">
      <c r="A4966" s="11" t="s">
        <v>30</v>
      </c>
      <c r="B4966" s="12">
        <v>1357.4104</v>
      </c>
      <c r="C4966" s="12">
        <v>0</v>
      </c>
      <c r="D4966" s="13">
        <v>0</v>
      </c>
      <c r="E4966" s="12">
        <v>0</v>
      </c>
      <c r="F4966" s="14">
        <v>0</v>
      </c>
      <c r="G4966" s="13">
        <v>23621991.444099996</v>
      </c>
      <c r="H4966" s="14">
        <v>32064736854.932362</v>
      </c>
      <c r="I4966" s="14" t="e">
        <f>=Round(481600.75020000,0)</f>
        <v>#VALUE!</v>
      </c>
      <c r="J4966" s="14" t="e">
        <f>=Round(0.00000000,0)</f>
        <v>#VALUE!</v>
      </c>
    </row>
    <row r="4967">
      <c r="A4967" s="11" t="s">
        <v>31</v>
      </c>
      <c r="B4967" s="12">
        <v>1357.6428</v>
      </c>
      <c r="C4967" s="12">
        <v>0</v>
      </c>
      <c r="D4967" s="13">
        <v>0</v>
      </c>
      <c r="E4967" s="12">
        <v>0</v>
      </c>
      <c r="F4967" s="14">
        <v>0</v>
      </c>
      <c r="G4967" s="13">
        <v>23621991.444099996</v>
      </c>
      <c r="H4967" s="14">
        <v>32070226605.743969</v>
      </c>
      <c r="I4967" s="14" t="e">
        <f>=Round(481847.13850000,0)</f>
        <v>#VALUE!</v>
      </c>
      <c r="J4967" s="14" t="e">
        <f>=Round(0.00000000,0)</f>
        <v>#VALUE!</v>
      </c>
    </row>
    <row r="4968">
      <c r="A4968" s="11" t="s">
        <v>32</v>
      </c>
      <c r="B4968" s="12">
        <v>1357.8735</v>
      </c>
      <c r="C4968" s="12">
        <v>0</v>
      </c>
      <c r="D4968" s="13">
        <v>0</v>
      </c>
      <c r="E4968" s="12">
        <v>0</v>
      </c>
      <c r="F4968" s="14">
        <v>0</v>
      </c>
      <c r="G4968" s="13">
        <v>23621991.444099996</v>
      </c>
      <c r="H4968" s="14">
        <v>32075676199.17012</v>
      </c>
      <c r="I4968" s="14" t="e">
        <f>=Round(481929.63480000,0)</f>
        <v>#VALUE!</v>
      </c>
      <c r="J4968" s="14" t="e">
        <f>=Round(0.00000000,0)</f>
        <v>#VALUE!</v>
      </c>
    </row>
    <row r="4969">
      <c r="A4969" s="11" t="s">
        <v>33</v>
      </c>
      <c r="B4969" s="12">
        <v>1358.1079</v>
      </c>
      <c r="C4969" s="12">
        <v>0</v>
      </c>
      <c r="D4969" s="13">
        <v>0</v>
      </c>
      <c r="E4969" s="12">
        <v>0</v>
      </c>
      <c r="F4969" s="14">
        <v>0</v>
      </c>
      <c r="G4969" s="13">
        <v>23621991.444099996</v>
      </c>
      <c r="H4969" s="14">
        <v>32081213193.964615</v>
      </c>
      <c r="I4969" s="14" t="e">
        <f>=Round(482011.52760000,0)</f>
        <v>#VALUE!</v>
      </c>
      <c r="J4969" s="14" t="e">
        <f>=Round(0.00000000,0)</f>
        <v>#VALUE!</v>
      </c>
    </row>
    <row r="4970">
      <c r="A4970" s="11" t="s">
        <v>34</v>
      </c>
      <c r="B4970" s="12">
        <v>1358.3402</v>
      </c>
      <c r="C4970" s="12">
        <v>0</v>
      </c>
      <c r="D4970" s="13">
        <v>0</v>
      </c>
      <c r="E4970" s="12">
        <v>0</v>
      </c>
      <c r="F4970" s="14">
        <v>0</v>
      </c>
      <c r="G4970" s="13">
        <v>23621991.444099996</v>
      </c>
      <c r="H4970" s="14">
        <v>32086700582.577084</v>
      </c>
      <c r="I4970" s="14" t="e">
        <f>=Round(482094.73380000,0)</f>
        <v>#VALUE!</v>
      </c>
      <c r="J4970" s="14" t="e">
        <f>=Round(0.00000000,0)</f>
        <v>#VALUE!</v>
      </c>
    </row>
    <row r="4971">
      <c r="A4971" s="11" t="s">
        <v>35</v>
      </c>
      <c r="B4971" s="12">
        <v>1358.3402</v>
      </c>
      <c r="C4971" s="12">
        <v>0</v>
      </c>
      <c r="D4971" s="13">
        <v>0</v>
      </c>
      <c r="E4971" s="12">
        <v>0</v>
      </c>
      <c r="F4971" s="14">
        <v>0</v>
      </c>
      <c r="G4971" s="13">
        <v>23621991.444099996</v>
      </c>
      <c r="H4971" s="14">
        <v>32086700582.577084</v>
      </c>
      <c r="I4971" s="14" t="e">
        <f>=Round(482177.19450000,0)</f>
        <v>#VALUE!</v>
      </c>
      <c r="J4971" s="14" t="e">
        <f>=Round(0.00000000,0)</f>
        <v>#VALUE!</v>
      </c>
    </row>
    <row r="4972">
      <c r="A4972" s="11" t="s">
        <v>36</v>
      </c>
      <c r="B4972" s="12">
        <v>1358.3402</v>
      </c>
      <c r="C4972" s="12">
        <v>0</v>
      </c>
      <c r="D4972" s="13">
        <v>0</v>
      </c>
      <c r="E4972" s="12">
        <v>0</v>
      </c>
      <c r="F4972" s="14">
        <v>0</v>
      </c>
      <c r="G4972" s="13">
        <v>23621991.444099996</v>
      </c>
      <c r="H4972" s="14">
        <v>32086700582.577084</v>
      </c>
      <c r="I4972" s="14" t="e">
        <f>=Round(482177.19450000,0)</f>
        <v>#VALUE!</v>
      </c>
      <c r="J4972" s="14" t="e">
        <f>=Round(0.00000000,0)</f>
        <v>#VALUE!</v>
      </c>
    </row>
    <row r="4973">
      <c r="A4973" s="11" t="s">
        <v>37</v>
      </c>
      <c r="B4973" s="12">
        <v>1359.0395</v>
      </c>
      <c r="C4973" s="12">
        <v>0</v>
      </c>
      <c r="D4973" s="13">
        <v>0</v>
      </c>
      <c r="E4973" s="12">
        <v>0</v>
      </c>
      <c r="F4973" s="14">
        <v>0</v>
      </c>
      <c r="G4973" s="13">
        <v>23621991.444099996</v>
      </c>
      <c r="H4973" s="14">
        <v>32103219441.193943</v>
      </c>
      <c r="I4973" s="14" t="e">
        <f>=Round(482177.19450000,0)</f>
        <v>#VALUE!</v>
      </c>
      <c r="J4973" s="14" t="e">
        <f>=Round(0.00000000,0)</f>
        <v>#VALUE!</v>
      </c>
    </row>
    <row r="4974">
      <c r="A4974" s="11" t="s">
        <v>38</v>
      </c>
      <c r="B4974" s="12">
        <v>1359.2726</v>
      </c>
      <c r="C4974" s="12">
        <v>0</v>
      </c>
      <c r="D4974" s="13">
        <v>0</v>
      </c>
      <c r="E4974" s="12">
        <v>0</v>
      </c>
      <c r="F4974" s="14">
        <v>0</v>
      </c>
      <c r="G4974" s="13">
        <v>23621991.444099996</v>
      </c>
      <c r="H4974" s="14">
        <v>32108725727.399559</v>
      </c>
      <c r="I4974" s="14" t="e">
        <f>=Round(482425.42880000,0)</f>
        <v>#VALUE!</v>
      </c>
      <c r="J4974" s="14" t="e">
        <f>=Round(0.00000000,0)</f>
        <v>#VALUE!</v>
      </c>
    </row>
    <row r="4975">
      <c r="A4975" s="11" t="s">
        <v>39</v>
      </c>
      <c r="B4975" s="12">
        <v>1359.5048</v>
      </c>
      <c r="C4975" s="12">
        <v>0</v>
      </c>
      <c r="D4975" s="13">
        <v>0</v>
      </c>
      <c r="E4975" s="12">
        <v>0</v>
      </c>
      <c r="F4975" s="14">
        <v>0</v>
      </c>
      <c r="G4975" s="13">
        <v>23621991.444099996</v>
      </c>
      <c r="H4975" s="14">
        <v>32114210753.812881</v>
      </c>
      <c r="I4975" s="14" t="e">
        <f>=Round(482508.17350000,0)</f>
        <v>#VALUE!</v>
      </c>
      <c r="J4975" s="14" t="e">
        <f>=Round(0.00000000,0)</f>
        <v>#VALUE!</v>
      </c>
    </row>
    <row r="4976">
      <c r="A4976" s="11" t="s">
        <v>40</v>
      </c>
      <c r="B4976" s="12">
        <v>1359.7365</v>
      </c>
      <c r="C4976" s="12">
        <v>0</v>
      </c>
      <c r="D4976" s="13">
        <v>0</v>
      </c>
      <c r="E4976" s="12">
        <v>0</v>
      </c>
      <c r="F4976" s="14">
        <v>0</v>
      </c>
      <c r="G4976" s="13">
        <v>23621991.444099996</v>
      </c>
      <c r="H4976" s="14">
        <v>32119683969.23048</v>
      </c>
      <c r="I4976" s="14" t="e">
        <f>=Round(482590.59880000,0)</f>
        <v>#VALUE!</v>
      </c>
      <c r="J4976" s="14" t="e">
        <f>=Round(0.00000000,0)</f>
        <v>#VALUE!</v>
      </c>
    </row>
    <row r="4977">
      <c r="A4977" s="11" t="s">
        <v>41</v>
      </c>
      <c r="B4977" s="12">
        <v>1359.979</v>
      </c>
      <c r="C4977" s="12">
        <v>0</v>
      </c>
      <c r="D4977" s="13">
        <v>0</v>
      </c>
      <c r="E4977" s="12">
        <v>0</v>
      </c>
      <c r="F4977" s="14">
        <v>0</v>
      </c>
      <c r="G4977" s="13">
        <v>23621991.444099996</v>
      </c>
      <c r="H4977" s="14">
        <v>32125412302.15567</v>
      </c>
      <c r="I4977" s="14" t="e">
        <f>=Round(482672.84650000,0)</f>
        <v>#VALUE!</v>
      </c>
      <c r="J4977" s="14" t="e">
        <f>=Round(0.00000000,0)</f>
        <v>#VALUE!</v>
      </c>
    </row>
    <row r="4978">
      <c r="A4978" s="11" t="s">
        <v>42</v>
      </c>
      <c r="B4978" s="12">
        <v>1359.979</v>
      </c>
      <c r="C4978" s="12">
        <v>0</v>
      </c>
      <c r="D4978" s="13">
        <v>0</v>
      </c>
      <c r="E4978" s="12">
        <v>0</v>
      </c>
      <c r="F4978" s="14">
        <v>0</v>
      </c>
      <c r="G4978" s="13">
        <v>23621991.444099996</v>
      </c>
      <c r="H4978" s="14">
        <v>32125412302.15567</v>
      </c>
      <c r="I4978" s="14" t="e">
        <f>=Round(482758.92800000,0)</f>
        <v>#VALUE!</v>
      </c>
      <c r="J4978" s="14" t="e">
        <f>=Round(0.00000000,0)</f>
        <v>#VALUE!</v>
      </c>
    </row>
    <row r="4979">
      <c r="A4979" s="11" t="s">
        <v>43</v>
      </c>
      <c r="B4979" s="12">
        <v>1359.979</v>
      </c>
      <c r="C4979" s="12">
        <v>0</v>
      </c>
      <c r="D4979" s="13">
        <v>0</v>
      </c>
      <c r="E4979" s="12">
        <v>0</v>
      </c>
      <c r="F4979" s="14">
        <v>0</v>
      </c>
      <c r="G4979" s="13">
        <v>23621991.444099996</v>
      </c>
      <c r="H4979" s="14">
        <v>32125412302.15567</v>
      </c>
      <c r="I4979" s="14" t="e">
        <f>=Round(482758.92800000,0)</f>
        <v>#VALUE!</v>
      </c>
      <c r="J4979" s="14" t="e">
        <f>=Round(0.00000000,0)</f>
        <v>#VALUE!</v>
      </c>
    </row>
    <row r="4980">
      <c r="A4980" s="11" t="s">
        <v>44</v>
      </c>
      <c r="B4980" s="12">
        <v>1360.6758</v>
      </c>
      <c r="C4980" s="12">
        <v>0</v>
      </c>
      <c r="D4980" s="13">
        <v>0</v>
      </c>
      <c r="E4980" s="12">
        <v>0</v>
      </c>
      <c r="F4980" s="14">
        <v>0</v>
      </c>
      <c r="G4980" s="13">
        <v>23621991.444099996</v>
      </c>
      <c r="H4980" s="14">
        <v>32141872105.793922</v>
      </c>
      <c r="I4980" s="14" t="e">
        <f>=Round(482758.92800000,0)</f>
        <v>#VALUE!</v>
      </c>
      <c r="J4980" s="14" t="e">
        <f>=Round(0.00000000,0)</f>
        <v>#VALUE!</v>
      </c>
    </row>
    <row r="4981">
      <c r="A4981" s="11" t="s">
        <v>45</v>
      </c>
      <c r="B4981" s="12">
        <v>1360.9062</v>
      </c>
      <c r="C4981" s="12">
        <v>0</v>
      </c>
      <c r="D4981" s="13">
        <v>0</v>
      </c>
      <c r="E4981" s="12">
        <v>0</v>
      </c>
      <c r="F4981" s="14">
        <v>0</v>
      </c>
      <c r="G4981" s="13">
        <v>23621991.444099996</v>
      </c>
      <c r="H4981" s="14">
        <v>32147314612.622643</v>
      </c>
      <c r="I4981" s="14" t="e">
        <f>=Round(483006.27480000,0)</f>
        <v>#VALUE!</v>
      </c>
      <c r="J4981" s="14" t="e">
        <f>=Round(0.00000000,0)</f>
        <v>#VALUE!</v>
      </c>
    </row>
    <row r="4982">
      <c r="A4982" s="11" t="s">
        <v>46</v>
      </c>
      <c r="B4982" s="12">
        <v>1361.137</v>
      </c>
      <c r="C4982" s="12">
        <v>0</v>
      </c>
      <c r="D4982" s="13">
        <v>0</v>
      </c>
      <c r="E4982" s="12">
        <v>0</v>
      </c>
      <c r="F4982" s="14">
        <v>0</v>
      </c>
      <c r="G4982" s="13">
        <v>23621991.444099996</v>
      </c>
      <c r="H4982" s="14">
        <v>32152766568.247944</v>
      </c>
      <c r="I4982" s="14" t="e">
        <f>=Round(483088.06110000,0)</f>
        <v>#VALUE!</v>
      </c>
      <c r="J4982" s="14" t="e">
        <f>=Round(0.00000000,0)</f>
        <v>#VALUE!</v>
      </c>
    </row>
    <row r="4983">
      <c r="A4983" s="11" t="s">
        <v>47</v>
      </c>
      <c r="B4983" s="12">
        <v>1361.367</v>
      </c>
      <c r="C4983" s="12">
        <v>0</v>
      </c>
      <c r="D4983" s="13">
        <v>0</v>
      </c>
      <c r="E4983" s="12">
        <v>0</v>
      </c>
      <c r="F4983" s="14">
        <v>0</v>
      </c>
      <c r="G4983" s="13">
        <v>23621991.444099996</v>
      </c>
      <c r="H4983" s="14">
        <v>32158199626.280083</v>
      </c>
      <c r="I4983" s="14" t="e">
        <f>=Round(483169.98940000,0)</f>
        <v>#VALUE!</v>
      </c>
      <c r="J4983" s="14" t="e">
        <f>=Round(0.00000000,0)</f>
        <v>#VALUE!</v>
      </c>
    </row>
    <row r="4984">
      <c r="A4984" s="11" t="s">
        <v>48</v>
      </c>
      <c r="B4984" s="12">
        <v>1361.6195</v>
      </c>
      <c r="C4984" s="12">
        <v>0</v>
      </c>
      <c r="D4984" s="13">
        <v>0</v>
      </c>
      <c r="E4984" s="12">
        <v>0</v>
      </c>
      <c r="F4984" s="14">
        <v>0</v>
      </c>
      <c r="G4984" s="13">
        <v>23621991.444099996</v>
      </c>
      <c r="H4984" s="14">
        <v>32164164179.11972</v>
      </c>
      <c r="I4984" s="14" t="e">
        <f>=Round(483251.63370000,0)</f>
        <v>#VALUE!</v>
      </c>
      <c r="J4984" s="14" t="e">
        <f>=Round(0.00000000,0)</f>
        <v>#VALUE!</v>
      </c>
    </row>
    <row r="4985">
      <c r="A4985" s="11" t="s">
        <v>49</v>
      </c>
      <c r="B4985" s="12">
        <v>1361.6195</v>
      </c>
      <c r="C4985" s="12">
        <v>0</v>
      </c>
      <c r="D4985" s="13">
        <v>0</v>
      </c>
      <c r="E4985" s="12">
        <v>0</v>
      </c>
      <c r="F4985" s="14">
        <v>0</v>
      </c>
      <c r="G4985" s="13">
        <v>23621991.444099996</v>
      </c>
      <c r="H4985" s="14">
        <v>32164164179.11972</v>
      </c>
      <c r="I4985" s="14" t="e">
        <f>=Round(483341.26500000,0)</f>
        <v>#VALUE!</v>
      </c>
      <c r="J4985" s="14" t="e">
        <f>=Round(0.00000000,0)</f>
        <v>#VALUE!</v>
      </c>
    </row>
    <row r="4986">
      <c r="A4986" s="11" t="s">
        <v>50</v>
      </c>
      <c r="B4986" s="12">
        <v>1361.6195</v>
      </c>
      <c r="C4986" s="12">
        <v>0</v>
      </c>
      <c r="D4986" s="13">
        <v>0</v>
      </c>
      <c r="E4986" s="12">
        <v>0</v>
      </c>
      <c r="F4986" s="14">
        <v>0</v>
      </c>
      <c r="G4986" s="13">
        <v>23621991.444099996</v>
      </c>
      <c r="H4986" s="14">
        <v>32164164179.11972</v>
      </c>
      <c r="I4986" s="14" t="e">
        <f>=Round(483341.26500000,0)</f>
        <v>#VALUE!</v>
      </c>
      <c r="J4986" s="14" t="e">
        <f>=Round(0.00000000,0)</f>
        <v>#VALUE!</v>
      </c>
    </row>
    <row r="4987">
      <c r="A4987" s="11" t="s">
        <v>51</v>
      </c>
      <c r="B4987" s="12">
        <v>1362.3425</v>
      </c>
      <c r="C4987" s="12">
        <v>0</v>
      </c>
      <c r="D4987" s="13">
        <v>0</v>
      </c>
      <c r="E4987" s="12">
        <v>0</v>
      </c>
      <c r="F4987" s="14">
        <v>0</v>
      </c>
      <c r="G4987" s="13">
        <v>23621991.444099996</v>
      </c>
      <c r="H4987" s="14">
        <v>32181242878.933804</v>
      </c>
      <c r="I4987" s="14" t="e">
        <f>=Round(483341.26500000,0)</f>
        <v>#VALUE!</v>
      </c>
      <c r="J4987" s="14" t="e">
        <f>=Round(0.00000000,0)</f>
        <v>#VALUE!</v>
      </c>
    </row>
    <row r="4988">
      <c r="A4988" s="11" t="s">
        <v>52</v>
      </c>
      <c r="B4988" s="12">
        <v>1362.5746</v>
      </c>
      <c r="C4988" s="12">
        <v>0</v>
      </c>
      <c r="D4988" s="13">
        <v>0</v>
      </c>
      <c r="E4988" s="12">
        <v>0</v>
      </c>
      <c r="F4988" s="14">
        <v>0</v>
      </c>
      <c r="G4988" s="13">
        <v>23621991.444099996</v>
      </c>
      <c r="H4988" s="14">
        <v>32186725543.14798</v>
      </c>
      <c r="I4988" s="14" t="e">
        <f>=Round(483597.91210000,0)</f>
        <v>#VALUE!</v>
      </c>
      <c r="J4988" s="14" t="e">
        <f>=Round(0.00000000,0)</f>
        <v>#VALUE!</v>
      </c>
    </row>
    <row r="4989">
      <c r="A4989" s="11" t="s">
        <v>53</v>
      </c>
      <c r="B4989" s="12">
        <v>1362.8067</v>
      </c>
      <c r="C4989" s="12">
        <v>0</v>
      </c>
      <c r="D4989" s="13">
        <v>0</v>
      </c>
      <c r="E4989" s="12">
        <v>0</v>
      </c>
      <c r="F4989" s="14">
        <v>0</v>
      </c>
      <c r="G4989" s="13">
        <v>23621991.444099996</v>
      </c>
      <c r="H4989" s="14">
        <v>32192208207.362156</v>
      </c>
      <c r="I4989" s="14" t="e">
        <f>=Round(483680.30190000,0)</f>
        <v>#VALUE!</v>
      </c>
      <c r="J4989" s="14" t="e">
        <f>=Round(0.00000000,0)</f>
        <v>#VALUE!</v>
      </c>
    </row>
    <row r="4990">
      <c r="A4990" s="11" t="s">
        <v>54</v>
      </c>
      <c r="B4990" s="12">
        <v>1363.0394</v>
      </c>
      <c r="C4990" s="12">
        <v>0</v>
      </c>
      <c r="D4990" s="13">
        <v>0</v>
      </c>
      <c r="E4990" s="12">
        <v>0</v>
      </c>
      <c r="F4990" s="14">
        <v>0</v>
      </c>
      <c r="G4990" s="13">
        <v>23621991.444099996</v>
      </c>
      <c r="H4990" s="14">
        <v>32197705044.7712</v>
      </c>
      <c r="I4990" s="14" t="e">
        <f>=Round(483762.69160000,0)</f>
        <v>#VALUE!</v>
      </c>
      <c r="J4990" s="14" t="e">
        <f>=Round(0.00000000,0)</f>
        <v>#VALUE!</v>
      </c>
    </row>
    <row r="4991">
      <c r="A4991" s="11" t="s">
        <v>55</v>
      </c>
      <c r="B4991" s="12">
        <v>1363.274</v>
      </c>
      <c r="C4991" s="12">
        <v>0</v>
      </c>
      <c r="D4991" s="13">
        <v>0</v>
      </c>
      <c r="E4991" s="12">
        <v>0</v>
      </c>
      <c r="F4991" s="14">
        <v>0</v>
      </c>
      <c r="G4991" s="13">
        <v>23621991.444099996</v>
      </c>
      <c r="H4991" s="14">
        <v>32203246763.963985</v>
      </c>
      <c r="I4991" s="14" t="e">
        <f>=Round(483845.29440000,0)</f>
        <v>#VALUE!</v>
      </c>
      <c r="J4991" s="14" t="e">
        <f>=Round(0.00000000,0)</f>
        <v>#VALUE!</v>
      </c>
    </row>
    <row r="4992" ht="-1">
      <c r="A4992" s="15"/>
      <c r="B4992" s="16" t="s">
        <v>56</v>
      </c>
      <c r="C4992" s="15"/>
      <c r="D4992" s="15"/>
      <c r="E4992" s="15"/>
      <c r="F4992" s="15"/>
      <c r="G4992" s="15"/>
      <c r="H4992" s="15"/>
      <c r="I4992" s="17" t="e">
        <f>=Round(SUM(I4966:I4991),0)</f>
        <v>#VALUE!</v>
      </c>
      <c r="J4992" s="17" t="e">
        <f>=Round(SUM(J4966:J4991),0)</f>
        <v>#VALUE!</v>
      </c>
    </row>
    <row r="4993">
      <c r="A4993" s="1" t="s">
        <v>0</v>
      </c>
      <c r="B4993" s="1"/>
      <c r="C4993" s="1"/>
      <c r="D4993" s="1"/>
    </row>
    <row r="4994">
      <c r="A4994" s="0" t="s">
        <v>1</v>
      </c>
      <c r="C4994" s="0" t="s">
        <v>184</v>
      </c>
      <c r="H4994" s="2" t="s">
        <v>3</v>
      </c>
    </row>
    <row r="4995">
      <c r="A4995" s="0" t="s">
        <v>4</v>
      </c>
      <c r="C4995" s="0" t="s">
        <v>109</v>
      </c>
      <c r="H4995" s="3" t="s">
        <v>6</v>
      </c>
    </row>
    <row r="4996">
      <c r="A4996" s="0" t="s">
        <v>7</v>
      </c>
      <c r="C4996" s="4" t="s">
        <v>185</v>
      </c>
      <c r="H4996" s="2" t="s">
        <v>9</v>
      </c>
    </row>
    <row r="4997">
      <c r="A4997" s="0" t="s">
        <v>10</v>
      </c>
      <c r="C4997" s="4" t="s">
        <v>11</v>
      </c>
      <c r="H4997" s="2" t="s">
        <v>12</v>
      </c>
    </row>
    <row r="4998">
      <c r="A4998" s="0" t="s">
        <v>13</v>
      </c>
      <c r="C4998" s="0" t="s">
        <v>14</v>
      </c>
    </row>
    <row r="4999">
      <c r="A4999" s="0" t="s">
        <v>15</v>
      </c>
      <c r="C4999" s="0" t="s">
        <v>16</v>
      </c>
    </row>
    <row r="5000">
      <c r="A5000" s="0" t="s">
        <v>17</v>
      </c>
      <c r="C5000" s="0" t="s">
        <v>18</v>
      </c>
    </row>
    <row r="5003">
      <c r="A5003" s="5" t="s">
        <v>19</v>
      </c>
      <c r="B5003" s="5" t="s">
        <v>20</v>
      </c>
      <c r="C5003" s="7" t="s">
        <v>21</v>
      </c>
      <c r="D5003" s="9"/>
      <c r="E5003" s="7" t="s">
        <v>22</v>
      </c>
      <c r="F5003" s="9"/>
      <c r="G5003" s="5" t="s">
        <v>23</v>
      </c>
      <c r="H5003" s="5" t="s">
        <v>24</v>
      </c>
      <c r="I5003" s="5" t="s">
        <v>186</v>
      </c>
      <c r="J5003" s="5" t="s">
        <v>26</v>
      </c>
    </row>
    <row r="5004">
      <c r="A5004" s="6"/>
      <c r="B5004" s="6"/>
      <c r="C5004" s="8" t="s">
        <v>27</v>
      </c>
      <c r="D5004" s="8" t="s">
        <v>28</v>
      </c>
      <c r="E5004" s="8" t="s">
        <v>27</v>
      </c>
      <c r="F5004" s="8" t="s">
        <v>28</v>
      </c>
      <c r="G5004" s="6"/>
      <c r="H5004" s="6"/>
      <c r="I5004" s="10" t="s">
        <v>29</v>
      </c>
      <c r="J5004" s="6"/>
    </row>
    <row r="5005">
      <c r="A5005" s="11" t="s">
        <v>30</v>
      </c>
      <c r="B5005" s="12">
        <v>1033.4318</v>
      </c>
      <c r="C5005" s="12">
        <v>0</v>
      </c>
      <c r="D5005" s="13">
        <v>0</v>
      </c>
      <c r="E5005" s="12">
        <v>0</v>
      </c>
      <c r="F5005" s="14">
        <v>0</v>
      </c>
      <c r="G5005" s="13">
        <v>272609102.4487</v>
      </c>
      <c r="H5005" s="14">
        <v>281722915439.94446</v>
      </c>
      <c r="I5005" s="14" t="e">
        <f>=Round(1483425.24520000,0)</f>
        <v>#VALUE!</v>
      </c>
      <c r="J5005" s="14" t="e">
        <f>=Round(0.00000000,0)</f>
        <v>#VALUE!</v>
      </c>
    </row>
    <row r="5006">
      <c r="A5006" s="11" t="s">
        <v>31</v>
      </c>
      <c r="B5006" s="12">
        <v>1035.4634</v>
      </c>
      <c r="C5006" s="12">
        <v>0</v>
      </c>
      <c r="D5006" s="13">
        <v>0</v>
      </c>
      <c r="E5006" s="12">
        <v>0</v>
      </c>
      <c r="F5006" s="14">
        <v>0</v>
      </c>
      <c r="G5006" s="13">
        <v>272609102.4487</v>
      </c>
      <c r="H5006" s="14">
        <v>282276748092.47925</v>
      </c>
      <c r="I5006" s="14" t="e">
        <f>=Round(1481739.37770000,0)</f>
        <v>#VALUE!</v>
      </c>
      <c r="J5006" s="14" t="e">
        <f>=Round(0.00000000,0)</f>
        <v>#VALUE!</v>
      </c>
    </row>
    <row r="5007">
      <c r="A5007" s="11" t="s">
        <v>32</v>
      </c>
      <c r="B5007" s="12">
        <v>1035.5163</v>
      </c>
      <c r="C5007" s="12">
        <v>0</v>
      </c>
      <c r="D5007" s="13">
        <v>0</v>
      </c>
      <c r="E5007" s="12">
        <v>0</v>
      </c>
      <c r="F5007" s="14">
        <v>0</v>
      </c>
      <c r="G5007" s="13">
        <v>272609102.4487</v>
      </c>
      <c r="H5007" s="14">
        <v>282291169113.99878</v>
      </c>
      <c r="I5007" s="14" t="e">
        <f>=Round(1484652.29530000,0)</f>
        <v>#VALUE!</v>
      </c>
      <c r="J5007" s="14" t="e">
        <f>=Round(0.00000000,0)</f>
        <v>#VALUE!</v>
      </c>
    </row>
    <row r="5008">
      <c r="A5008" s="11" t="s">
        <v>33</v>
      </c>
      <c r="B5008" s="12">
        <v>1037.2906</v>
      </c>
      <c r="C5008" s="12">
        <v>0</v>
      </c>
      <c r="D5008" s="13">
        <v>0</v>
      </c>
      <c r="E5008" s="12">
        <v>0</v>
      </c>
      <c r="F5008" s="14">
        <v>0</v>
      </c>
      <c r="G5008" s="13">
        <v>272609102.4487</v>
      </c>
      <c r="H5008" s="14">
        <v>282774859444.47351</v>
      </c>
      <c r="I5008" s="14" t="e">
        <f>=Round(1484728.14360000,0)</f>
        <v>#VALUE!</v>
      </c>
      <c r="J5008" s="14" t="e">
        <f>=Round(0.00000000,0)</f>
        <v>#VALUE!</v>
      </c>
    </row>
    <row r="5009">
      <c r="A5009" s="11" t="s">
        <v>34</v>
      </c>
      <c r="B5009" s="12">
        <v>1038.4374</v>
      </c>
      <c r="C5009" s="12">
        <v>0</v>
      </c>
      <c r="D5009" s="13">
        <v>0</v>
      </c>
      <c r="E5009" s="12">
        <v>0</v>
      </c>
      <c r="F5009" s="14">
        <v>0</v>
      </c>
      <c r="G5009" s="13">
        <v>272609102.4487</v>
      </c>
      <c r="H5009" s="14">
        <v>283087487563.16168</v>
      </c>
      <c r="I5009" s="14" t="e">
        <f>=Round(1487272.14330000,0)</f>
        <v>#VALUE!</v>
      </c>
      <c r="J5009" s="14" t="e">
        <f>=Round(0.00000000,0)</f>
        <v>#VALUE!</v>
      </c>
    </row>
    <row r="5010">
      <c r="A5010" s="11" t="s">
        <v>35</v>
      </c>
      <c r="B5010" s="12">
        <v>1038.4374</v>
      </c>
      <c r="C5010" s="12">
        <v>0</v>
      </c>
      <c r="D5010" s="13">
        <v>0</v>
      </c>
      <c r="E5010" s="12">
        <v>0</v>
      </c>
      <c r="F5010" s="14">
        <v>0</v>
      </c>
      <c r="G5010" s="13">
        <v>272609102.4487</v>
      </c>
      <c r="H5010" s="14">
        <v>283087487563.16168</v>
      </c>
      <c r="I5010" s="14" t="e">
        <f>=Round(1488916.43050000,0)</f>
        <v>#VALUE!</v>
      </c>
      <c r="J5010" s="14" t="e">
        <f>=Round(0.00000000,0)</f>
        <v>#VALUE!</v>
      </c>
    </row>
    <row r="5011">
      <c r="A5011" s="11" t="s">
        <v>36</v>
      </c>
      <c r="B5011" s="12">
        <v>1038.4374</v>
      </c>
      <c r="C5011" s="12">
        <v>0</v>
      </c>
      <c r="D5011" s="13">
        <v>0</v>
      </c>
      <c r="E5011" s="12">
        <v>0</v>
      </c>
      <c r="F5011" s="14">
        <v>0</v>
      </c>
      <c r="G5011" s="13">
        <v>272609102.4487</v>
      </c>
      <c r="H5011" s="14">
        <v>283087487563.16168</v>
      </c>
      <c r="I5011" s="14" t="e">
        <f>=Round(1488916.43050000,0)</f>
        <v>#VALUE!</v>
      </c>
      <c r="J5011" s="14" t="e">
        <f>=Round(0.00000000,0)</f>
        <v>#VALUE!</v>
      </c>
    </row>
    <row r="5012">
      <c r="A5012" s="11" t="s">
        <v>37</v>
      </c>
      <c r="B5012" s="12">
        <v>1039.2261</v>
      </c>
      <c r="C5012" s="12">
        <v>0</v>
      </c>
      <c r="D5012" s="13">
        <v>0</v>
      </c>
      <c r="E5012" s="12">
        <v>0</v>
      </c>
      <c r="F5012" s="14">
        <v>0</v>
      </c>
      <c r="G5012" s="13">
        <v>272609102.4487</v>
      </c>
      <c r="H5012" s="14">
        <v>283302494362.26294</v>
      </c>
      <c r="I5012" s="14" t="e">
        <f>=Round(1488916.43050000,0)</f>
        <v>#VALUE!</v>
      </c>
      <c r="J5012" s="14" t="e">
        <f>=Round(0.00000000,0)</f>
        <v>#VALUE!</v>
      </c>
    </row>
    <row r="5013">
      <c r="A5013" s="11" t="s">
        <v>38</v>
      </c>
      <c r="B5013" s="12">
        <v>1039.315</v>
      </c>
      <c r="C5013" s="12">
        <v>0</v>
      </c>
      <c r="D5013" s="13">
        <v>0</v>
      </c>
      <c r="E5013" s="12">
        <v>0</v>
      </c>
      <c r="F5013" s="14">
        <v>0</v>
      </c>
      <c r="G5013" s="13">
        <v>272609102.4487</v>
      </c>
      <c r="H5013" s="14">
        <v>283326729311.47064</v>
      </c>
      <c r="I5013" s="14" t="e">
        <f>=Round(1490047.27230000,0)</f>
        <v>#VALUE!</v>
      </c>
      <c r="J5013" s="14" t="e">
        <f>=Round(0.00000000,0)</f>
        <v>#VALUE!</v>
      </c>
    </row>
    <row r="5014">
      <c r="A5014" s="11" t="s">
        <v>39</v>
      </c>
      <c r="B5014" s="12">
        <v>1041.8187</v>
      </c>
      <c r="C5014" s="12">
        <v>0</v>
      </c>
      <c r="D5014" s="13">
        <v>0</v>
      </c>
      <c r="E5014" s="12">
        <v>0</v>
      </c>
      <c r="F5014" s="14">
        <v>0</v>
      </c>
      <c r="G5014" s="13">
        <v>272609102.4487</v>
      </c>
      <c r="H5014" s="14">
        <v>284009260721.27148</v>
      </c>
      <c r="I5014" s="14" t="e">
        <f>=Round(1490174.73750000,0)</f>
        <v>#VALUE!</v>
      </c>
      <c r="J5014" s="14" t="e">
        <f>=Round(0.00000000,0)</f>
        <v>#VALUE!</v>
      </c>
    </row>
    <row r="5015">
      <c r="A5015" s="11" t="s">
        <v>40</v>
      </c>
      <c r="B5015" s="12">
        <v>1043.7098</v>
      </c>
      <c r="C5015" s="12">
        <v>0</v>
      </c>
      <c r="D5015" s="13">
        <v>0</v>
      </c>
      <c r="E5015" s="12">
        <v>0</v>
      </c>
      <c r="F5015" s="14">
        <v>0</v>
      </c>
      <c r="G5015" s="13">
        <v>272609102.4487</v>
      </c>
      <c r="H5015" s="14">
        <v>284524791794.91217</v>
      </c>
      <c r="I5015" s="14" t="e">
        <f>=Round(1493764.55430000,0)</f>
        <v>#VALUE!</v>
      </c>
      <c r="J5015" s="14" t="e">
        <f>=Round(0.00000000,0)</f>
        <v>#VALUE!</v>
      </c>
    </row>
    <row r="5016">
      <c r="A5016" s="11" t="s">
        <v>41</v>
      </c>
      <c r="B5016" s="12">
        <v>1043.5878</v>
      </c>
      <c r="C5016" s="12">
        <v>0</v>
      </c>
      <c r="D5016" s="13">
        <v>0</v>
      </c>
      <c r="E5016" s="12">
        <v>0</v>
      </c>
      <c r="F5016" s="14">
        <v>0</v>
      </c>
      <c r="G5016" s="13">
        <v>272609102.4487</v>
      </c>
      <c r="H5016" s="14">
        <v>284491533484.41345</v>
      </c>
      <c r="I5016" s="14" t="e">
        <f>=Round(1496476.02240000,0)</f>
        <v>#VALUE!</v>
      </c>
      <c r="J5016" s="14" t="e">
        <f>=Round(0.00000000,0)</f>
        <v>#VALUE!</v>
      </c>
    </row>
    <row r="5017">
      <c r="A5017" s="11" t="s">
        <v>42</v>
      </c>
      <c r="B5017" s="12">
        <v>1043.5878</v>
      </c>
      <c r="C5017" s="12">
        <v>0</v>
      </c>
      <c r="D5017" s="13">
        <v>0</v>
      </c>
      <c r="E5017" s="12">
        <v>0</v>
      </c>
      <c r="F5017" s="14">
        <v>0</v>
      </c>
      <c r="G5017" s="13">
        <v>272609102.4487</v>
      </c>
      <c r="H5017" s="14">
        <v>284491533484.41345</v>
      </c>
      <c r="I5017" s="14" t="e">
        <f>=Round(1496301.09820000,0)</f>
        <v>#VALUE!</v>
      </c>
      <c r="J5017" s="14" t="e">
        <f>=Round(0.00000000,0)</f>
        <v>#VALUE!</v>
      </c>
    </row>
    <row r="5018">
      <c r="A5018" s="11" t="s">
        <v>43</v>
      </c>
      <c r="B5018" s="12">
        <v>1043.5878</v>
      </c>
      <c r="C5018" s="12">
        <v>0</v>
      </c>
      <c r="D5018" s="13">
        <v>0</v>
      </c>
      <c r="E5018" s="12">
        <v>0</v>
      </c>
      <c r="F5018" s="14">
        <v>0</v>
      </c>
      <c r="G5018" s="13">
        <v>272609102.4487</v>
      </c>
      <c r="H5018" s="14">
        <v>284491533484.41345</v>
      </c>
      <c r="I5018" s="14" t="e">
        <f>=Round(1496301.09820000,0)</f>
        <v>#VALUE!</v>
      </c>
      <c r="J5018" s="14" t="e">
        <f>=Round(0.00000000,0)</f>
        <v>#VALUE!</v>
      </c>
    </row>
    <row r="5019">
      <c r="A5019" s="11" t="s">
        <v>44</v>
      </c>
      <c r="B5019" s="12">
        <v>1044.3992</v>
      </c>
      <c r="C5019" s="12">
        <v>0</v>
      </c>
      <c r="D5019" s="13">
        <v>0</v>
      </c>
      <c r="E5019" s="12">
        <v>0</v>
      </c>
      <c r="F5019" s="14">
        <v>0</v>
      </c>
      <c r="G5019" s="13">
        <v>272609102.4487</v>
      </c>
      <c r="H5019" s="14">
        <v>284712728510.14032</v>
      </c>
      <c r="I5019" s="14" t="e">
        <f>=Round(1496301.09820000,0)</f>
        <v>#VALUE!</v>
      </c>
      <c r="J5019" s="14" t="e">
        <f>=Round(0.00000000,0)</f>
        <v>#VALUE!</v>
      </c>
    </row>
    <row r="5020">
      <c r="A5020" s="11" t="s">
        <v>45</v>
      </c>
      <c r="B5020" s="12">
        <v>1043.8396</v>
      </c>
      <c r="C5020" s="12">
        <v>0</v>
      </c>
      <c r="D5020" s="13">
        <v>0</v>
      </c>
      <c r="E5020" s="12">
        <v>0</v>
      </c>
      <c r="F5020" s="14">
        <v>0</v>
      </c>
      <c r="G5020" s="13">
        <v>272609102.4487</v>
      </c>
      <c r="H5020" s="14">
        <v>284560176456.41003</v>
      </c>
      <c r="I5020" s="14" t="e">
        <f>=Round(1497464.48740000,0)</f>
        <v>#VALUE!</v>
      </c>
      <c r="J5020" s="14" t="e">
        <f>=Round(0.00000000,0)</f>
        <v>#VALUE!</v>
      </c>
    </row>
    <row r="5021">
      <c r="A5021" s="11" t="s">
        <v>46</v>
      </c>
      <c r="B5021" s="12">
        <v>1044.7679</v>
      </c>
      <c r="C5021" s="12">
        <v>0</v>
      </c>
      <c r="D5021" s="13">
        <v>0</v>
      </c>
      <c r="E5021" s="12">
        <v>0</v>
      </c>
      <c r="F5021" s="14">
        <v>0</v>
      </c>
      <c r="G5021" s="13">
        <v>272609102.4487</v>
      </c>
      <c r="H5021" s="14">
        <v>284813239486.21313</v>
      </c>
      <c r="I5021" s="14" t="e">
        <f>=Round(1496662.13030000,0)</f>
        <v>#VALUE!</v>
      </c>
      <c r="J5021" s="14" t="e">
        <f>=Round(0.00000000,0)</f>
        <v>#VALUE!</v>
      </c>
    </row>
    <row r="5022">
      <c r="A5022" s="11" t="s">
        <v>47</v>
      </c>
      <c r="B5022" s="12">
        <v>1046.5808</v>
      </c>
      <c r="C5022" s="12">
        <v>0</v>
      </c>
      <c r="D5022" s="13">
        <v>0</v>
      </c>
      <c r="E5022" s="12">
        <v>0</v>
      </c>
      <c r="F5022" s="14">
        <v>0</v>
      </c>
      <c r="G5022" s="13">
        <v>272609102.4487</v>
      </c>
      <c r="H5022" s="14">
        <v>285307452528.04242</v>
      </c>
      <c r="I5022" s="14" t="e">
        <f>=Round(1497993.13120000,0)</f>
        <v>#VALUE!</v>
      </c>
      <c r="J5022" s="14" t="e">
        <f>=Round(0.00000000,0)</f>
        <v>#VALUE!</v>
      </c>
    </row>
    <row r="5023">
      <c r="A5023" s="11" t="s">
        <v>48</v>
      </c>
      <c r="B5023" s="12">
        <v>1046.0787</v>
      </c>
      <c r="C5023" s="12">
        <v>0</v>
      </c>
      <c r="D5023" s="13">
        <v>0</v>
      </c>
      <c r="E5023" s="12">
        <v>0</v>
      </c>
      <c r="F5023" s="14">
        <v>0</v>
      </c>
      <c r="G5023" s="13">
        <v>272609102.4487</v>
      </c>
      <c r="H5023" s="14">
        <v>285170575497.70294</v>
      </c>
      <c r="I5023" s="14" t="e">
        <f>=Round(1500592.47570000,0)</f>
        <v>#VALUE!</v>
      </c>
      <c r="J5023" s="14" t="e">
        <f>=Round(0.00000000,0)</f>
        <v>#VALUE!</v>
      </c>
    </row>
    <row r="5024">
      <c r="A5024" s="11" t="s">
        <v>49</v>
      </c>
      <c r="B5024" s="12">
        <v>1046.0787</v>
      </c>
      <c r="C5024" s="12">
        <v>0</v>
      </c>
      <c r="D5024" s="13">
        <v>0</v>
      </c>
      <c r="E5024" s="12">
        <v>0</v>
      </c>
      <c r="F5024" s="14">
        <v>0</v>
      </c>
      <c r="G5024" s="13">
        <v>272609102.4487</v>
      </c>
      <c r="H5024" s="14">
        <v>285170575497.70294</v>
      </c>
      <c r="I5024" s="14" t="e">
        <f>=Round(1499872.56240000,0)</f>
        <v>#VALUE!</v>
      </c>
      <c r="J5024" s="14" t="e">
        <f>=Round(0.00000000,0)</f>
        <v>#VALUE!</v>
      </c>
    </row>
    <row r="5025">
      <c r="A5025" s="11" t="s">
        <v>50</v>
      </c>
      <c r="B5025" s="12">
        <v>1046.0787</v>
      </c>
      <c r="C5025" s="12">
        <v>0</v>
      </c>
      <c r="D5025" s="13">
        <v>0</v>
      </c>
      <c r="E5025" s="12">
        <v>0</v>
      </c>
      <c r="F5025" s="14">
        <v>0</v>
      </c>
      <c r="G5025" s="13">
        <v>272609102.4487</v>
      </c>
      <c r="H5025" s="14">
        <v>285170575497.70294</v>
      </c>
      <c r="I5025" s="14" t="e">
        <f>=Round(1499872.56240000,0)</f>
        <v>#VALUE!</v>
      </c>
      <c r="J5025" s="14" t="e">
        <f>=Round(0.00000000,0)</f>
        <v>#VALUE!</v>
      </c>
    </row>
    <row r="5026">
      <c r="A5026" s="11" t="s">
        <v>51</v>
      </c>
      <c r="B5026" s="12">
        <v>1045.2613</v>
      </c>
      <c r="C5026" s="12">
        <v>0</v>
      </c>
      <c r="D5026" s="13">
        <v>0</v>
      </c>
      <c r="E5026" s="12">
        <v>0</v>
      </c>
      <c r="F5026" s="14">
        <v>0</v>
      </c>
      <c r="G5026" s="13">
        <v>272609102.4487</v>
      </c>
      <c r="H5026" s="14">
        <v>284947744817.36133</v>
      </c>
      <c r="I5026" s="14" t="e">
        <f>=Round(1499872.56240000,0)</f>
        <v>#VALUE!</v>
      </c>
      <c r="J5026" s="14" t="e">
        <f>=Round(0.00000000,0)</f>
        <v>#VALUE!</v>
      </c>
    </row>
    <row r="5027">
      <c r="A5027" s="11" t="s">
        <v>52</v>
      </c>
      <c r="B5027" s="12">
        <v>1045.0794</v>
      </c>
      <c r="C5027" s="12">
        <v>0</v>
      </c>
      <c r="D5027" s="13">
        <v>0</v>
      </c>
      <c r="E5027" s="12">
        <v>0</v>
      </c>
      <c r="F5027" s="14">
        <v>0</v>
      </c>
      <c r="G5027" s="13">
        <v>272609102.4487</v>
      </c>
      <c r="H5027" s="14">
        <v>284898157221.62592</v>
      </c>
      <c r="I5027" s="14" t="e">
        <f>=Round(1498700.57040000,0)</f>
        <v>#VALUE!</v>
      </c>
      <c r="J5027" s="14" t="e">
        <f>=Round(0.00000000,0)</f>
        <v>#VALUE!</v>
      </c>
    </row>
    <row r="5028">
      <c r="A5028" s="11" t="s">
        <v>53</v>
      </c>
      <c r="B5028" s="12">
        <v>1045.0345</v>
      </c>
      <c r="C5028" s="12">
        <v>0</v>
      </c>
      <c r="D5028" s="13">
        <v>0</v>
      </c>
      <c r="E5028" s="12">
        <v>0</v>
      </c>
      <c r="F5028" s="14">
        <v>0</v>
      </c>
      <c r="G5028" s="13">
        <v>272609102.4487</v>
      </c>
      <c r="H5028" s="14">
        <v>284885917072.92596</v>
      </c>
      <c r="I5028" s="14" t="e">
        <f>=Round(1498439.76130000,0)</f>
        <v>#VALUE!</v>
      </c>
      <c r="J5028" s="14" t="e">
        <f>=Round(0.00000000,0)</f>
        <v>#VALUE!</v>
      </c>
    </row>
    <row r="5029">
      <c r="A5029" s="11" t="s">
        <v>54</v>
      </c>
      <c r="B5029" s="12">
        <v>1043.8666</v>
      </c>
      <c r="C5029" s="12">
        <v>0</v>
      </c>
      <c r="D5029" s="13">
        <v>0</v>
      </c>
      <c r="E5029" s="12">
        <v>0</v>
      </c>
      <c r="F5029" s="14">
        <v>0</v>
      </c>
      <c r="G5029" s="13">
        <v>272609102.4487</v>
      </c>
      <c r="H5029" s="14">
        <v>284567536902.17615</v>
      </c>
      <c r="I5029" s="14" t="e">
        <f>=Round(1498375.38350000,0)</f>
        <v>#VALUE!</v>
      </c>
      <c r="J5029" s="14" t="e">
        <f>=Round(0.00000000,0)</f>
        <v>#VALUE!</v>
      </c>
    </row>
    <row r="5030">
      <c r="A5030" s="11" t="s">
        <v>55</v>
      </c>
      <c r="B5030" s="12">
        <v>1040.2333</v>
      </c>
      <c r="C5030" s="12">
        <v>0</v>
      </c>
      <c r="D5030" s="13">
        <v>0</v>
      </c>
      <c r="E5030" s="12">
        <v>0</v>
      </c>
      <c r="F5030" s="14">
        <v>0</v>
      </c>
      <c r="G5030" s="13">
        <v>272609102.4487</v>
      </c>
      <c r="H5030" s="14">
        <v>283577066250.24927</v>
      </c>
      <c r="I5030" s="14" t="e">
        <f>=Round(1496700.84300000,0)</f>
        <v>#VALUE!</v>
      </c>
      <c r="J5030" s="14" t="e">
        <f>=Round(0.00000000,0)</f>
        <v>#VALUE!</v>
      </c>
    </row>
    <row r="5031" ht="-1">
      <c r="A5031" s="15"/>
      <c r="B5031" s="16" t="s">
        <v>56</v>
      </c>
      <c r="C5031" s="15"/>
      <c r="D5031" s="15"/>
      <c r="E5031" s="15"/>
      <c r="F5031" s="15"/>
      <c r="G5031" s="15"/>
      <c r="H5031" s="15"/>
      <c r="I5031" s="17" t="e">
        <f>=Round(SUM(I5005:I5030),0)</f>
        <v>#VALUE!</v>
      </c>
      <c r="J5031" s="17" t="e">
        <f>=Round(SUM(J5005:J5030),0)</f>
        <v>#VALUE!</v>
      </c>
    </row>
    <row r="5032">
      <c r="A5032" s="1" t="s">
        <v>0</v>
      </c>
      <c r="B5032" s="1"/>
      <c r="C5032" s="1"/>
      <c r="D5032" s="1"/>
    </row>
    <row r="5033">
      <c r="A5033" s="0" t="s">
        <v>1</v>
      </c>
      <c r="C5033" s="0" t="s">
        <v>187</v>
      </c>
      <c r="H5033" s="2" t="s">
        <v>3</v>
      </c>
    </row>
    <row r="5034">
      <c r="A5034" s="0" t="s">
        <v>4</v>
      </c>
      <c r="C5034" s="0" t="s">
        <v>143</v>
      </c>
      <c r="H5034" s="3" t="s">
        <v>6</v>
      </c>
    </row>
    <row r="5035">
      <c r="A5035" s="0" t="s">
        <v>7</v>
      </c>
      <c r="C5035" s="4" t="s">
        <v>188</v>
      </c>
      <c r="H5035" s="2" t="s">
        <v>9</v>
      </c>
    </row>
    <row r="5036">
      <c r="A5036" s="0" t="s">
        <v>10</v>
      </c>
      <c r="C5036" s="4" t="s">
        <v>11</v>
      </c>
      <c r="H5036" s="2" t="s">
        <v>12</v>
      </c>
    </row>
    <row r="5037">
      <c r="A5037" s="0" t="s">
        <v>13</v>
      </c>
      <c r="C5037" s="0" t="s">
        <v>14</v>
      </c>
    </row>
    <row r="5038">
      <c r="A5038" s="0" t="s">
        <v>15</v>
      </c>
      <c r="C5038" s="0" t="s">
        <v>16</v>
      </c>
    </row>
    <row r="5039">
      <c r="A5039" s="0" t="s">
        <v>17</v>
      </c>
      <c r="C5039" s="0" t="s">
        <v>18</v>
      </c>
    </row>
    <row r="5042">
      <c r="A5042" s="5" t="s">
        <v>19</v>
      </c>
      <c r="B5042" s="5" t="s">
        <v>20</v>
      </c>
      <c r="C5042" s="7" t="s">
        <v>21</v>
      </c>
      <c r="D5042" s="9"/>
      <c r="E5042" s="7" t="s">
        <v>22</v>
      </c>
      <c r="F5042" s="9"/>
      <c r="G5042" s="5" t="s">
        <v>23</v>
      </c>
      <c r="H5042" s="5" t="s">
        <v>24</v>
      </c>
      <c r="I5042" s="5" t="s">
        <v>189</v>
      </c>
      <c r="J5042" s="5" t="s">
        <v>26</v>
      </c>
    </row>
    <row r="5043">
      <c r="A5043" s="6"/>
      <c r="B5043" s="6"/>
      <c r="C5043" s="8" t="s">
        <v>27</v>
      </c>
      <c r="D5043" s="8" t="s">
        <v>28</v>
      </c>
      <c r="E5043" s="8" t="s">
        <v>27</v>
      </c>
      <c r="F5043" s="8" t="s">
        <v>28</v>
      </c>
      <c r="G5043" s="6"/>
      <c r="H5043" s="6"/>
      <c r="I5043" s="10" t="s">
        <v>29</v>
      </c>
      <c r="J5043" s="6"/>
    </row>
    <row r="5044">
      <c r="A5044" s="11" t="s">
        <v>30</v>
      </c>
      <c r="B5044" s="12">
        <v>937.7968</v>
      </c>
      <c r="C5044" s="12">
        <v>0</v>
      </c>
      <c r="D5044" s="13">
        <v>0</v>
      </c>
      <c r="E5044" s="12">
        <v>0</v>
      </c>
      <c r="F5044" s="14">
        <v>0</v>
      </c>
      <c r="G5044" s="13">
        <v>641728187.97299993</v>
      </c>
      <c r="H5044" s="14">
        <v>601810641150.87781</v>
      </c>
      <c r="I5044" s="14" t="e">
        <f>=Round(18092780.44870000,0)</f>
        <v>#VALUE!</v>
      </c>
      <c r="J5044" s="14" t="e">
        <f>=Round(0.00000000,0)</f>
        <v>#VALUE!</v>
      </c>
    </row>
    <row r="5045">
      <c r="A5045" s="11" t="s">
        <v>31</v>
      </c>
      <c r="B5045" s="12">
        <v>940.9109</v>
      </c>
      <c r="C5045" s="12">
        <v>0</v>
      </c>
      <c r="D5045" s="13">
        <v>0</v>
      </c>
      <c r="E5045" s="12">
        <v>0</v>
      </c>
      <c r="F5045" s="14">
        <v>0</v>
      </c>
      <c r="G5045" s="13">
        <v>641728187.97299993</v>
      </c>
      <c r="H5045" s="14">
        <v>603809046901.04456</v>
      </c>
      <c r="I5045" s="14" t="e">
        <f>=Round(18136759.04840000,0)</f>
        <v>#VALUE!</v>
      </c>
      <c r="J5045" s="14" t="e">
        <f>=Round(0.00000000,0)</f>
        <v>#VALUE!</v>
      </c>
    </row>
    <row r="5046">
      <c r="A5046" s="11" t="s">
        <v>32</v>
      </c>
      <c r="B5046" s="12">
        <v>941.9429</v>
      </c>
      <c r="C5046" s="12">
        <v>0</v>
      </c>
      <c r="D5046" s="13">
        <v>0</v>
      </c>
      <c r="E5046" s="12">
        <v>0</v>
      </c>
      <c r="F5046" s="14">
        <v>0</v>
      </c>
      <c r="G5046" s="13">
        <v>641728187.97299993</v>
      </c>
      <c r="H5046" s="14">
        <v>604471310391.03271</v>
      </c>
      <c r="I5046" s="14" t="e">
        <f>=Round(18196984.97510000,0)</f>
        <v>#VALUE!</v>
      </c>
      <c r="J5046" s="14" t="e">
        <f>=Round(0.00000000,0)</f>
        <v>#VALUE!</v>
      </c>
    </row>
    <row r="5047">
      <c r="A5047" s="11" t="s">
        <v>33</v>
      </c>
      <c r="B5047" s="12">
        <v>943.5985</v>
      </c>
      <c r="C5047" s="12">
        <v>0</v>
      </c>
      <c r="D5047" s="13">
        <v>0</v>
      </c>
      <c r="E5047" s="12">
        <v>0</v>
      </c>
      <c r="F5047" s="14">
        <v>0</v>
      </c>
      <c r="G5047" s="13">
        <v>641728187.97299993</v>
      </c>
      <c r="H5047" s="14">
        <v>605533755579.04089</v>
      </c>
      <c r="I5047" s="14" t="e">
        <f>=Round(18216943.60080000,0)</f>
        <v>#VALUE!</v>
      </c>
      <c r="J5047" s="14" t="e">
        <f>=Round(0.00000000,0)</f>
        <v>#VALUE!</v>
      </c>
    </row>
    <row r="5048">
      <c r="A5048" s="11" t="s">
        <v>34</v>
      </c>
      <c r="B5048" s="12">
        <v>942.1432</v>
      </c>
      <c r="C5048" s="12">
        <v>0</v>
      </c>
      <c r="D5048" s="13">
        <v>0</v>
      </c>
      <c r="E5048" s="12">
        <v>0</v>
      </c>
      <c r="F5048" s="14">
        <v>0</v>
      </c>
      <c r="G5048" s="13">
        <v>641728187.97299993</v>
      </c>
      <c r="H5048" s="14">
        <v>604599848547.08374</v>
      </c>
      <c r="I5048" s="14" t="e">
        <f>=Round(18248962.49690000,0)</f>
        <v>#VALUE!</v>
      </c>
      <c r="J5048" s="14" t="e">
        <f>=Round(0.00000000,0)</f>
        <v>#VALUE!</v>
      </c>
    </row>
    <row r="5049">
      <c r="A5049" s="11" t="s">
        <v>35</v>
      </c>
      <c r="B5049" s="12">
        <v>942.1432</v>
      </c>
      <c r="C5049" s="12">
        <v>0</v>
      </c>
      <c r="D5049" s="13">
        <v>0</v>
      </c>
      <c r="E5049" s="12">
        <v>0</v>
      </c>
      <c r="F5049" s="14">
        <v>0</v>
      </c>
      <c r="G5049" s="13">
        <v>641728187.97299993</v>
      </c>
      <c r="H5049" s="14">
        <v>604599848547.08374</v>
      </c>
      <c r="I5049" s="14" t="e">
        <f>=Round(18220817.35350000,0)</f>
        <v>#VALUE!</v>
      </c>
      <c r="J5049" s="14" t="e">
        <f>=Round(0.00000000,0)</f>
        <v>#VALUE!</v>
      </c>
    </row>
    <row r="5050">
      <c r="A5050" s="11" t="s">
        <v>36</v>
      </c>
      <c r="B5050" s="12">
        <v>942.1432</v>
      </c>
      <c r="C5050" s="12">
        <v>0</v>
      </c>
      <c r="D5050" s="13">
        <v>0</v>
      </c>
      <c r="E5050" s="12">
        <v>0</v>
      </c>
      <c r="F5050" s="14">
        <v>0</v>
      </c>
      <c r="G5050" s="13">
        <v>641728187.97299993</v>
      </c>
      <c r="H5050" s="14">
        <v>604599848547.08374</v>
      </c>
      <c r="I5050" s="14" t="e">
        <f>=Round(18220817.35350000,0)</f>
        <v>#VALUE!</v>
      </c>
      <c r="J5050" s="14" t="e">
        <f>=Round(0.00000000,0)</f>
        <v>#VALUE!</v>
      </c>
    </row>
    <row r="5051">
      <c r="A5051" s="11" t="s">
        <v>37</v>
      </c>
      <c r="B5051" s="12">
        <v>935.961</v>
      </c>
      <c r="C5051" s="12">
        <v>0</v>
      </c>
      <c r="D5051" s="13">
        <v>0</v>
      </c>
      <c r="E5051" s="12">
        <v>0</v>
      </c>
      <c r="F5051" s="14">
        <v>0</v>
      </c>
      <c r="G5051" s="13">
        <v>641728187.97299993</v>
      </c>
      <c r="H5051" s="14">
        <v>600632556543.397</v>
      </c>
      <c r="I5051" s="14" t="e">
        <f>=Round(18220817.35350000,0)</f>
        <v>#VALUE!</v>
      </c>
      <c r="J5051" s="14" t="e">
        <f>=Round(0.00000000,0)</f>
        <v>#VALUE!</v>
      </c>
    </row>
    <row r="5052">
      <c r="A5052" s="11" t="s">
        <v>38</v>
      </c>
      <c r="B5052" s="12">
        <v>936.1108</v>
      </c>
      <c r="C5052" s="12">
        <v>0</v>
      </c>
      <c r="D5052" s="13">
        <v>0</v>
      </c>
      <c r="E5052" s="12">
        <v>0</v>
      </c>
      <c r="F5052" s="14">
        <v>0</v>
      </c>
      <c r="G5052" s="13">
        <v>641728187.97299993</v>
      </c>
      <c r="H5052" s="14">
        <v>600728687425.95544</v>
      </c>
      <c r="I5052" s="14" t="e">
        <f>=Round(18101255.12870000,0)</f>
        <v>#VALUE!</v>
      </c>
      <c r="J5052" s="14" t="e">
        <f>=Round(0.00000000,0)</f>
        <v>#VALUE!</v>
      </c>
    </row>
    <row r="5053">
      <c r="A5053" s="11" t="s">
        <v>39</v>
      </c>
      <c r="B5053" s="12">
        <v>935.3136</v>
      </c>
      <c r="C5053" s="12">
        <v>0</v>
      </c>
      <c r="D5053" s="13">
        <v>0</v>
      </c>
      <c r="E5053" s="12">
        <v>0</v>
      </c>
      <c r="F5053" s="14">
        <v>0</v>
      </c>
      <c r="G5053" s="13">
        <v>641728187.97299993</v>
      </c>
      <c r="H5053" s="14">
        <v>600217101714.5033</v>
      </c>
      <c r="I5053" s="14" t="e">
        <f>=Round(18104152.22380000,0)</f>
        <v>#VALUE!</v>
      </c>
      <c r="J5053" s="14" t="e">
        <f>=Round(0.00000000,0)</f>
        <v>#VALUE!</v>
      </c>
    </row>
    <row r="5054">
      <c r="A5054" s="11" t="s">
        <v>40</v>
      </c>
      <c r="B5054" s="12">
        <v>931.3392</v>
      </c>
      <c r="C5054" s="12">
        <v>0</v>
      </c>
      <c r="D5054" s="13">
        <v>0</v>
      </c>
      <c r="E5054" s="12">
        <v>0</v>
      </c>
      <c r="F5054" s="14">
        <v>0</v>
      </c>
      <c r="G5054" s="13">
        <v>641728187.97299993</v>
      </c>
      <c r="H5054" s="14">
        <v>597666617204.22351</v>
      </c>
      <c r="I5054" s="14" t="e">
        <f>=Round(18088734.57220000,0)</f>
        <v>#VALUE!</v>
      </c>
      <c r="J5054" s="14" t="e">
        <f>=Round(0.00000000,0)</f>
        <v>#VALUE!</v>
      </c>
    </row>
    <row r="5055">
      <c r="A5055" s="11" t="s">
        <v>41</v>
      </c>
      <c r="B5055" s="12">
        <v>931.6584</v>
      </c>
      <c r="C5055" s="12">
        <v>0</v>
      </c>
      <c r="D5055" s="13">
        <v>0</v>
      </c>
      <c r="E5055" s="12">
        <v>0</v>
      </c>
      <c r="F5055" s="14">
        <v>0</v>
      </c>
      <c r="G5055" s="13">
        <v>641728187.97299993</v>
      </c>
      <c r="H5055" s="14">
        <v>597871456841.82434</v>
      </c>
      <c r="I5055" s="14" t="e">
        <f>=Round(18011870.65550000,0)</f>
        <v>#VALUE!</v>
      </c>
      <c r="J5055" s="14" t="e">
        <f>=Round(0.00000000,0)</f>
        <v>#VALUE!</v>
      </c>
    </row>
    <row r="5056">
      <c r="A5056" s="11" t="s">
        <v>42</v>
      </c>
      <c r="B5056" s="12">
        <v>931.6584</v>
      </c>
      <c r="C5056" s="12">
        <v>0</v>
      </c>
      <c r="D5056" s="13">
        <v>0</v>
      </c>
      <c r="E5056" s="12">
        <v>0</v>
      </c>
      <c r="F5056" s="14">
        <v>0</v>
      </c>
      <c r="G5056" s="13">
        <v>641728187.97299993</v>
      </c>
      <c r="H5056" s="14">
        <v>597871456841.82434</v>
      </c>
      <c r="I5056" s="14" t="e">
        <f>=Round(18018043.90480000,0)</f>
        <v>#VALUE!</v>
      </c>
      <c r="J5056" s="14" t="e">
        <f>=Round(0.00000000,0)</f>
        <v>#VALUE!</v>
      </c>
    </row>
    <row r="5057">
      <c r="A5057" s="11" t="s">
        <v>43</v>
      </c>
      <c r="B5057" s="12">
        <v>931.6584</v>
      </c>
      <c r="C5057" s="12">
        <v>0</v>
      </c>
      <c r="D5057" s="13">
        <v>0</v>
      </c>
      <c r="E5057" s="12">
        <v>0</v>
      </c>
      <c r="F5057" s="14">
        <v>0</v>
      </c>
      <c r="G5057" s="13">
        <v>641728187.97299993</v>
      </c>
      <c r="H5057" s="14">
        <v>597871456841.82434</v>
      </c>
      <c r="I5057" s="14" t="e">
        <f>=Round(18018043.90480000,0)</f>
        <v>#VALUE!</v>
      </c>
      <c r="J5057" s="14" t="e">
        <f>=Round(0.00000000,0)</f>
        <v>#VALUE!</v>
      </c>
    </row>
    <row r="5058">
      <c r="A5058" s="11" t="s">
        <v>44</v>
      </c>
      <c r="B5058" s="12">
        <v>932.7706</v>
      </c>
      <c r="C5058" s="12">
        <v>0</v>
      </c>
      <c r="D5058" s="13">
        <v>0</v>
      </c>
      <c r="E5058" s="12">
        <v>0</v>
      </c>
      <c r="F5058" s="14">
        <v>0</v>
      </c>
      <c r="G5058" s="13">
        <v>641728187.97299993</v>
      </c>
      <c r="H5058" s="14">
        <v>598585186932.48792</v>
      </c>
      <c r="I5058" s="14" t="e">
        <f>=Round(18018043.90480000,0)</f>
        <v>#VALUE!</v>
      </c>
      <c r="J5058" s="14" t="e">
        <f>=Round(0.00000000,0)</f>
        <v>#VALUE!</v>
      </c>
    </row>
    <row r="5059">
      <c r="A5059" s="11" t="s">
        <v>45</v>
      </c>
      <c r="B5059" s="12">
        <v>933.757</v>
      </c>
      <c r="C5059" s="12">
        <v>0</v>
      </c>
      <c r="D5059" s="13">
        <v>0</v>
      </c>
      <c r="E5059" s="12">
        <v>0</v>
      </c>
      <c r="F5059" s="14">
        <v>0</v>
      </c>
      <c r="G5059" s="13">
        <v>641728187.97299993</v>
      </c>
      <c r="H5059" s="14">
        <v>599218187617.10449</v>
      </c>
      <c r="I5059" s="14" t="e">
        <f>=Round(18039553.57880000,0)</f>
        <v>#VALUE!</v>
      </c>
      <c r="J5059" s="14" t="e">
        <f>=Round(0.00000000,0)</f>
        <v>#VALUE!</v>
      </c>
    </row>
    <row r="5060">
      <c r="A5060" s="11" t="s">
        <v>46</v>
      </c>
      <c r="B5060" s="12">
        <v>934.6877</v>
      </c>
      <c r="C5060" s="12">
        <v>0</v>
      </c>
      <c r="D5060" s="13">
        <v>0</v>
      </c>
      <c r="E5060" s="12">
        <v>0</v>
      </c>
      <c r="F5060" s="14">
        <v>0</v>
      </c>
      <c r="G5060" s="13">
        <v>641728187.97299993</v>
      </c>
      <c r="H5060" s="14">
        <v>599815444041.65112</v>
      </c>
      <c r="I5060" s="14" t="e">
        <f>=Round(18058630.31170000,0)</f>
        <v>#VALUE!</v>
      </c>
      <c r="J5060" s="14" t="e">
        <f>=Round(0.00000000,0)</f>
        <v>#VALUE!</v>
      </c>
    </row>
    <row r="5061">
      <c r="A5061" s="11" t="s">
        <v>47</v>
      </c>
      <c r="B5061" s="12">
        <v>935.5007</v>
      </c>
      <c r="C5061" s="12">
        <v>0</v>
      </c>
      <c r="D5061" s="13">
        <v>0</v>
      </c>
      <c r="E5061" s="12">
        <v>0</v>
      </c>
      <c r="F5061" s="14">
        <v>0</v>
      </c>
      <c r="G5061" s="13">
        <v>641728187.97299993</v>
      </c>
      <c r="H5061" s="14">
        <v>600337169058.47314</v>
      </c>
      <c r="I5061" s="14" t="e">
        <f>=Round(18076629.82040000,0)</f>
        <v>#VALUE!</v>
      </c>
      <c r="J5061" s="14" t="e">
        <f>=Round(0.00000000,0)</f>
        <v>#VALUE!</v>
      </c>
    </row>
    <row r="5062">
      <c r="A5062" s="11" t="s">
        <v>48</v>
      </c>
      <c r="B5062" s="12">
        <v>933.8807</v>
      </c>
      <c r="C5062" s="12">
        <v>0</v>
      </c>
      <c r="D5062" s="13">
        <v>0</v>
      </c>
      <c r="E5062" s="12">
        <v>0</v>
      </c>
      <c r="F5062" s="14">
        <v>0</v>
      </c>
      <c r="G5062" s="13">
        <v>641728187.97299993</v>
      </c>
      <c r="H5062" s="14">
        <v>599297569393.95691</v>
      </c>
      <c r="I5062" s="14" t="e">
        <f>=Round(18092353.04010000,0)</f>
        <v>#VALUE!</v>
      </c>
      <c r="J5062" s="14" t="e">
        <f>=Round(0.00000000,0)</f>
        <v>#VALUE!</v>
      </c>
    </row>
    <row r="5063">
      <c r="A5063" s="11" t="s">
        <v>49</v>
      </c>
      <c r="B5063" s="12">
        <v>933.8807</v>
      </c>
      <c r="C5063" s="12">
        <v>0</v>
      </c>
      <c r="D5063" s="13">
        <v>0</v>
      </c>
      <c r="E5063" s="12">
        <v>0</v>
      </c>
      <c r="F5063" s="14">
        <v>0</v>
      </c>
      <c r="G5063" s="13">
        <v>641728187.97299993</v>
      </c>
      <c r="H5063" s="14">
        <v>599297569393.95691</v>
      </c>
      <c r="I5063" s="14" t="e">
        <f>=Round(18061022.63930000,0)</f>
        <v>#VALUE!</v>
      </c>
      <c r="J5063" s="14" t="e">
        <f>=Round(0.00000000,0)</f>
        <v>#VALUE!</v>
      </c>
    </row>
    <row r="5064">
      <c r="A5064" s="11" t="s">
        <v>50</v>
      </c>
      <c r="B5064" s="12">
        <v>933.8807</v>
      </c>
      <c r="C5064" s="12">
        <v>0</v>
      </c>
      <c r="D5064" s="13">
        <v>0</v>
      </c>
      <c r="E5064" s="12">
        <v>0</v>
      </c>
      <c r="F5064" s="14">
        <v>0</v>
      </c>
      <c r="G5064" s="13">
        <v>641728187.97299993</v>
      </c>
      <c r="H5064" s="14">
        <v>599297569393.95691</v>
      </c>
      <c r="I5064" s="14" t="e">
        <f>=Round(18061022.63930000,0)</f>
        <v>#VALUE!</v>
      </c>
      <c r="J5064" s="14" t="e">
        <f>=Round(0.00000000,0)</f>
        <v>#VALUE!</v>
      </c>
    </row>
    <row r="5065">
      <c r="A5065" s="11" t="s">
        <v>51</v>
      </c>
      <c r="B5065" s="12">
        <v>929.3138</v>
      </c>
      <c r="C5065" s="12">
        <v>0</v>
      </c>
      <c r="D5065" s="13">
        <v>0</v>
      </c>
      <c r="E5065" s="12">
        <v>0</v>
      </c>
      <c r="F5065" s="14">
        <v>0</v>
      </c>
      <c r="G5065" s="13">
        <v>641728187.97299993</v>
      </c>
      <c r="H5065" s="14">
        <v>596366860932.303</v>
      </c>
      <c r="I5065" s="14" t="e">
        <f>=Round(18061022.63930000,0)</f>
        <v>#VALUE!</v>
      </c>
      <c r="J5065" s="14" t="e">
        <f>=Round(0.00000000,0)</f>
        <v>#VALUE!</v>
      </c>
    </row>
    <row r="5066">
      <c r="A5066" s="11" t="s">
        <v>52</v>
      </c>
      <c r="B5066" s="12">
        <v>930.4652</v>
      </c>
      <c r="C5066" s="12">
        <v>0</v>
      </c>
      <c r="D5066" s="13">
        <v>0</v>
      </c>
      <c r="E5066" s="12">
        <v>0</v>
      </c>
      <c r="F5066" s="14">
        <v>0</v>
      </c>
      <c r="G5066" s="13">
        <v>641728187.97299993</v>
      </c>
      <c r="H5066" s="14">
        <v>597105746767.93494</v>
      </c>
      <c r="I5066" s="14" t="e">
        <f>=Round(17972699.91850000,0)</f>
        <v>#VALUE!</v>
      </c>
      <c r="J5066" s="14" t="e">
        <f>=Round(0.00000000,0)</f>
        <v>#VALUE!</v>
      </c>
    </row>
    <row r="5067">
      <c r="A5067" s="11" t="s">
        <v>53</v>
      </c>
      <c r="B5067" s="12">
        <v>927.2062</v>
      </c>
      <c r="C5067" s="12">
        <v>0</v>
      </c>
      <c r="D5067" s="13">
        <v>0</v>
      </c>
      <c r="E5067" s="12">
        <v>0</v>
      </c>
      <c r="F5067" s="14">
        <v>0</v>
      </c>
      <c r="G5067" s="13">
        <v>641728187.97299993</v>
      </c>
      <c r="H5067" s="14">
        <v>595014354603.331</v>
      </c>
      <c r="I5067" s="14" t="e">
        <f>=Round(17994967.71080000,0)</f>
        <v>#VALUE!</v>
      </c>
      <c r="J5067" s="14" t="e">
        <f>=Round(0.00000000,0)</f>
        <v>#VALUE!</v>
      </c>
    </row>
    <row r="5068">
      <c r="A5068" s="11" t="s">
        <v>54</v>
      </c>
      <c r="B5068" s="12">
        <v>919.2392</v>
      </c>
      <c r="C5068" s="12">
        <v>0</v>
      </c>
      <c r="D5068" s="13">
        <v>0</v>
      </c>
      <c r="E5068" s="12">
        <v>0</v>
      </c>
      <c r="F5068" s="14">
        <v>0</v>
      </c>
      <c r="G5068" s="13">
        <v>641728187.97299993</v>
      </c>
      <c r="H5068" s="14">
        <v>589901706129.75012</v>
      </c>
      <c r="I5068" s="14" t="e">
        <f>=Round(17931939.45380000,0)</f>
        <v>#VALUE!</v>
      </c>
      <c r="J5068" s="14" t="e">
        <f>=Round(0.00000000,0)</f>
        <v>#VALUE!</v>
      </c>
    </row>
    <row r="5069">
      <c r="A5069" s="11" t="s">
        <v>55</v>
      </c>
      <c r="B5069" s="12">
        <v>912.2398</v>
      </c>
      <c r="C5069" s="12">
        <v>0</v>
      </c>
      <c r="D5069" s="13">
        <v>0</v>
      </c>
      <c r="E5069" s="12">
        <v>0</v>
      </c>
      <c r="F5069" s="14">
        <v>0</v>
      </c>
      <c r="G5069" s="13">
        <v>641728187.97299993</v>
      </c>
      <c r="H5069" s="14">
        <v>585409993850.85193</v>
      </c>
      <c r="I5069" s="14" t="e">
        <f>=Round(17777859.63680000,0)</f>
        <v>#VALUE!</v>
      </c>
      <c r="J5069" s="14" t="e">
        <f>=Round(0.00000000,0)</f>
        <v>#VALUE!</v>
      </c>
    </row>
    <row r="5070" ht="-1">
      <c r="A5070" s="15"/>
      <c r="B5070" s="16" t="s">
        <v>56</v>
      </c>
      <c r="C5070" s="15"/>
      <c r="D5070" s="15"/>
      <c r="E5070" s="15"/>
      <c r="F5070" s="15"/>
      <c r="G5070" s="15"/>
      <c r="H5070" s="15"/>
      <c r="I5070" s="17" t="e">
        <f>=Round(SUM(I5044:I5069),0)</f>
        <v>#VALUE!</v>
      </c>
      <c r="J5070" s="17" t="e">
        <f>=Round(SUM(J5044:J5069),0)</f>
        <v>#VALUE!</v>
      </c>
    </row>
    <row r="5071">
      <c r="A5071" s="1" t="s">
        <v>0</v>
      </c>
      <c r="B5071" s="1"/>
      <c r="C5071" s="1"/>
      <c r="D5071" s="1"/>
    </row>
    <row r="5072">
      <c r="A5072" s="0" t="s">
        <v>1</v>
      </c>
      <c r="C5072" s="0" t="s">
        <v>187</v>
      </c>
      <c r="H5072" s="2" t="s">
        <v>3</v>
      </c>
    </row>
    <row r="5073">
      <c r="A5073" s="0" t="s">
        <v>4</v>
      </c>
      <c r="C5073" s="0" t="s">
        <v>190</v>
      </c>
      <c r="H5073" s="3" t="s">
        <v>6</v>
      </c>
    </row>
    <row r="5074">
      <c r="A5074" s="0" t="s">
        <v>7</v>
      </c>
      <c r="C5074" s="4" t="s">
        <v>188</v>
      </c>
      <c r="H5074" s="2" t="s">
        <v>9</v>
      </c>
    </row>
    <row r="5075">
      <c r="A5075" s="0" t="s">
        <v>10</v>
      </c>
      <c r="C5075" s="4" t="s">
        <v>11</v>
      </c>
      <c r="H5075" s="2" t="s">
        <v>12</v>
      </c>
    </row>
    <row r="5076">
      <c r="A5076" s="0" t="s">
        <v>13</v>
      </c>
      <c r="C5076" s="0" t="s">
        <v>14</v>
      </c>
    </row>
    <row r="5077">
      <c r="A5077" s="0" t="s">
        <v>15</v>
      </c>
      <c r="C5077" s="0" t="s">
        <v>16</v>
      </c>
    </row>
    <row r="5078">
      <c r="A5078" s="0" t="s">
        <v>17</v>
      </c>
      <c r="C5078" s="0" t="s">
        <v>18</v>
      </c>
    </row>
    <row r="5081">
      <c r="A5081" s="5" t="s">
        <v>19</v>
      </c>
      <c r="B5081" s="5" t="s">
        <v>20</v>
      </c>
      <c r="C5081" s="7" t="s">
        <v>21</v>
      </c>
      <c r="D5081" s="9"/>
      <c r="E5081" s="7" t="s">
        <v>22</v>
      </c>
      <c r="F5081" s="9"/>
      <c r="G5081" s="5" t="s">
        <v>23</v>
      </c>
      <c r="H5081" s="5" t="s">
        <v>24</v>
      </c>
      <c r="I5081" s="5" t="s">
        <v>189</v>
      </c>
      <c r="J5081" s="5" t="s">
        <v>26</v>
      </c>
    </row>
    <row r="5082">
      <c r="A5082" s="6"/>
      <c r="B5082" s="6"/>
      <c r="C5082" s="8" t="s">
        <v>27</v>
      </c>
      <c r="D5082" s="8" t="s">
        <v>28</v>
      </c>
      <c r="E5082" s="8" t="s">
        <v>27</v>
      </c>
      <c r="F5082" s="8" t="s">
        <v>28</v>
      </c>
      <c r="G5082" s="6"/>
      <c r="H5082" s="6"/>
      <c r="I5082" s="10" t="s">
        <v>29</v>
      </c>
      <c r="J5082" s="6"/>
    </row>
    <row r="5083">
      <c r="A5083" s="11" t="s">
        <v>30</v>
      </c>
      <c r="B5083" s="12">
        <v>937.7968</v>
      </c>
      <c r="C5083" s="12">
        <v>0</v>
      </c>
      <c r="D5083" s="13">
        <v>0</v>
      </c>
      <c r="E5083" s="12">
        <v>0</v>
      </c>
      <c r="F5083" s="14">
        <v>0</v>
      </c>
      <c r="G5083" s="13">
        <v>85127762.1058</v>
      </c>
      <c r="H5083" s="14">
        <v>79832542893.9805</v>
      </c>
      <c r="I5083" s="14" t="e">
        <f>=Round(2400078.31780000,0)</f>
        <v>#VALUE!</v>
      </c>
      <c r="J5083" s="14" t="e">
        <f>=Round(0.00000000,0)</f>
        <v>#VALUE!</v>
      </c>
    </row>
    <row r="5084">
      <c r="A5084" s="11" t="s">
        <v>31</v>
      </c>
      <c r="B5084" s="12">
        <v>940.9109</v>
      </c>
      <c r="C5084" s="12">
        <v>0</v>
      </c>
      <c r="D5084" s="13">
        <v>0</v>
      </c>
      <c r="E5084" s="12">
        <v>0</v>
      </c>
      <c r="F5084" s="14">
        <v>0</v>
      </c>
      <c r="G5084" s="13">
        <v>85127762.1058</v>
      </c>
      <c r="H5084" s="14">
        <v>80097639257.954178</v>
      </c>
      <c r="I5084" s="14" t="e">
        <f>=Round(2405912.25160000,0)</f>
        <v>#VALUE!</v>
      </c>
      <c r="J5084" s="14" t="e">
        <f>=Round(0.00000000,0)</f>
        <v>#VALUE!</v>
      </c>
    </row>
    <row r="5085">
      <c r="A5085" s="11" t="s">
        <v>32</v>
      </c>
      <c r="B5085" s="12">
        <v>941.9429</v>
      </c>
      <c r="C5085" s="12">
        <v>0</v>
      </c>
      <c r="D5085" s="13">
        <v>0</v>
      </c>
      <c r="E5085" s="12">
        <v>0</v>
      </c>
      <c r="F5085" s="14">
        <v>0</v>
      </c>
      <c r="G5085" s="13">
        <v>85127762.1058</v>
      </c>
      <c r="H5085" s="14">
        <v>80185491108.447357</v>
      </c>
      <c r="I5085" s="14" t="e">
        <f>=Round(2413901.45710000,0)</f>
        <v>#VALUE!</v>
      </c>
      <c r="J5085" s="14" t="e">
        <f>=Round(0.00000000,0)</f>
        <v>#VALUE!</v>
      </c>
    </row>
    <row r="5086">
      <c r="A5086" s="11" t="s">
        <v>33</v>
      </c>
      <c r="B5086" s="12">
        <v>943.5985</v>
      </c>
      <c r="C5086" s="12">
        <v>0</v>
      </c>
      <c r="D5086" s="13">
        <v>0</v>
      </c>
      <c r="E5086" s="12">
        <v>0</v>
      </c>
      <c r="F5086" s="14">
        <v>0</v>
      </c>
      <c r="G5086" s="13">
        <v>85127762.1058</v>
      </c>
      <c r="H5086" s="14">
        <v>80326428631.389725</v>
      </c>
      <c r="I5086" s="14" t="e">
        <f>=Round(2416549.04710000,0)</f>
        <v>#VALUE!</v>
      </c>
      <c r="J5086" s="14" t="e">
        <f>=Round(0.00000000,0)</f>
        <v>#VALUE!</v>
      </c>
    </row>
    <row r="5087">
      <c r="A5087" s="11" t="s">
        <v>34</v>
      </c>
      <c r="B5087" s="12">
        <v>942.1432</v>
      </c>
      <c r="C5087" s="12">
        <v>0</v>
      </c>
      <c r="D5087" s="13">
        <v>0</v>
      </c>
      <c r="E5087" s="12">
        <v>0</v>
      </c>
      <c r="F5087" s="14">
        <v>0</v>
      </c>
      <c r="G5087" s="13">
        <v>85127762.1058</v>
      </c>
      <c r="H5087" s="14">
        <v>80202542199.197159</v>
      </c>
      <c r="I5087" s="14" t="e">
        <f>=Round(2420796.47930000,0)</f>
        <v>#VALUE!</v>
      </c>
      <c r="J5087" s="14" t="e">
        <f>=Round(0.00000000,0)</f>
        <v>#VALUE!</v>
      </c>
    </row>
    <row r="5088">
      <c r="A5088" s="11" t="s">
        <v>35</v>
      </c>
      <c r="B5088" s="12">
        <v>942.1432</v>
      </c>
      <c r="C5088" s="12">
        <v>0</v>
      </c>
      <c r="D5088" s="13">
        <v>0</v>
      </c>
      <c r="E5088" s="12">
        <v>0</v>
      </c>
      <c r="F5088" s="14">
        <v>0</v>
      </c>
      <c r="G5088" s="13">
        <v>85127762.1058</v>
      </c>
      <c r="H5088" s="14">
        <v>80202542199.197159</v>
      </c>
      <c r="I5088" s="14" t="e">
        <f>=Round(2417062.91560000,0)</f>
        <v>#VALUE!</v>
      </c>
      <c r="J5088" s="14" t="e">
        <f>=Round(0.00000000,0)</f>
        <v>#VALUE!</v>
      </c>
    </row>
    <row r="5089">
      <c r="A5089" s="11" t="s">
        <v>36</v>
      </c>
      <c r="B5089" s="12">
        <v>942.1432</v>
      </c>
      <c r="C5089" s="12">
        <v>0</v>
      </c>
      <c r="D5089" s="13">
        <v>0</v>
      </c>
      <c r="E5089" s="12">
        <v>0</v>
      </c>
      <c r="F5089" s="14">
        <v>0</v>
      </c>
      <c r="G5089" s="13">
        <v>85127762.1058</v>
      </c>
      <c r="H5089" s="14">
        <v>80202542199.197159</v>
      </c>
      <c r="I5089" s="14" t="e">
        <f>=Round(2417062.91560000,0)</f>
        <v>#VALUE!</v>
      </c>
      <c r="J5089" s="14" t="e">
        <f>=Round(0.00000000,0)</f>
        <v>#VALUE!</v>
      </c>
    </row>
    <row r="5090">
      <c r="A5090" s="11" t="s">
        <v>37</v>
      </c>
      <c r="B5090" s="12">
        <v>935.961</v>
      </c>
      <c r="C5090" s="12">
        <v>0</v>
      </c>
      <c r="D5090" s="13">
        <v>0</v>
      </c>
      <c r="E5090" s="12">
        <v>0</v>
      </c>
      <c r="F5090" s="14">
        <v>0</v>
      </c>
      <c r="G5090" s="13">
        <v>85127762.1058</v>
      </c>
      <c r="H5090" s="14">
        <v>79676265348.306671</v>
      </c>
      <c r="I5090" s="14" t="e">
        <f>=Round(2417062.91560000,0)</f>
        <v>#VALUE!</v>
      </c>
      <c r="J5090" s="14" t="e">
        <f>=Round(0.00000000,0)</f>
        <v>#VALUE!</v>
      </c>
    </row>
    <row r="5091">
      <c r="A5091" s="11" t="s">
        <v>38</v>
      </c>
      <c r="B5091" s="12">
        <v>936.1108</v>
      </c>
      <c r="C5091" s="12">
        <v>0</v>
      </c>
      <c r="D5091" s="13">
        <v>0</v>
      </c>
      <c r="E5091" s="12">
        <v>0</v>
      </c>
      <c r="F5091" s="14">
        <v>0</v>
      </c>
      <c r="G5091" s="13">
        <v>85127762.1058</v>
      </c>
      <c r="H5091" s="14">
        <v>79689017487.070129</v>
      </c>
      <c r="I5091" s="14" t="e">
        <f>=Round(2401202.51730000,0)</f>
        <v>#VALUE!</v>
      </c>
      <c r="J5091" s="14" t="e">
        <f>=Round(0.00000000,0)</f>
        <v>#VALUE!</v>
      </c>
    </row>
    <row r="5092">
      <c r="A5092" s="11" t="s">
        <v>39</v>
      </c>
      <c r="B5092" s="12">
        <v>935.3136</v>
      </c>
      <c r="C5092" s="12">
        <v>0</v>
      </c>
      <c r="D5092" s="13">
        <v>0</v>
      </c>
      <c r="E5092" s="12">
        <v>0</v>
      </c>
      <c r="F5092" s="14">
        <v>0</v>
      </c>
      <c r="G5092" s="13">
        <v>85127762.1058</v>
      </c>
      <c r="H5092" s="14">
        <v>79621153635.11937</v>
      </c>
      <c r="I5092" s="14" t="e">
        <f>=Round(2401586.82840000,0)</f>
        <v>#VALUE!</v>
      </c>
      <c r="J5092" s="14" t="e">
        <f>=Round(0.00000000,0)</f>
        <v>#VALUE!</v>
      </c>
    </row>
    <row r="5093">
      <c r="A5093" s="11" t="s">
        <v>40</v>
      </c>
      <c r="B5093" s="12">
        <v>931.3392</v>
      </c>
      <c r="C5093" s="12">
        <v>0</v>
      </c>
      <c r="D5093" s="13">
        <v>0</v>
      </c>
      <c r="E5093" s="12">
        <v>0</v>
      </c>
      <c r="F5093" s="14">
        <v>0</v>
      </c>
      <c r="G5093" s="13">
        <v>85127762.1058</v>
      </c>
      <c r="H5093" s="14">
        <v>79282821857.406082</v>
      </c>
      <c r="I5093" s="14" t="e">
        <f>=Round(2399541.61640000,0)</f>
        <v>#VALUE!</v>
      </c>
      <c r="J5093" s="14" t="e">
        <f>=Round(0.00000000,0)</f>
        <v>#VALUE!</v>
      </c>
    </row>
    <row r="5094">
      <c r="A5094" s="11" t="s">
        <v>41</v>
      </c>
      <c r="B5094" s="12">
        <v>931.6584</v>
      </c>
      <c r="C5094" s="12">
        <v>0</v>
      </c>
      <c r="D5094" s="13">
        <v>0</v>
      </c>
      <c r="E5094" s="12">
        <v>0</v>
      </c>
      <c r="F5094" s="14">
        <v>0</v>
      </c>
      <c r="G5094" s="13">
        <v>85127762.1058</v>
      </c>
      <c r="H5094" s="14">
        <v>79309994639.070251</v>
      </c>
      <c r="I5094" s="14" t="e">
        <f>=Round(2389345.31630000,0)</f>
        <v>#VALUE!</v>
      </c>
      <c r="J5094" s="14" t="e">
        <f>=Round(0.00000000,0)</f>
        <v>#VALUE!</v>
      </c>
    </row>
    <row r="5095">
      <c r="A5095" s="11" t="s">
        <v>42</v>
      </c>
      <c r="B5095" s="12">
        <v>931.6584</v>
      </c>
      <c r="C5095" s="12">
        <v>0</v>
      </c>
      <c r="D5095" s="13">
        <v>0</v>
      </c>
      <c r="E5095" s="12">
        <v>0</v>
      </c>
      <c r="F5095" s="14">
        <v>0</v>
      </c>
      <c r="G5095" s="13">
        <v>85127762.1058</v>
      </c>
      <c r="H5095" s="14">
        <v>79309994639.070251</v>
      </c>
      <c r="I5095" s="14" t="e">
        <f>=Round(2390164.22200000,0)</f>
        <v>#VALUE!</v>
      </c>
      <c r="J5095" s="14" t="e">
        <f>=Round(0.00000000,0)</f>
        <v>#VALUE!</v>
      </c>
    </row>
    <row r="5096">
      <c r="A5096" s="11" t="s">
        <v>43</v>
      </c>
      <c r="B5096" s="12">
        <v>931.6584</v>
      </c>
      <c r="C5096" s="12">
        <v>0</v>
      </c>
      <c r="D5096" s="13">
        <v>0</v>
      </c>
      <c r="E5096" s="12">
        <v>0</v>
      </c>
      <c r="F5096" s="14">
        <v>0</v>
      </c>
      <c r="G5096" s="13">
        <v>85127762.1058</v>
      </c>
      <c r="H5096" s="14">
        <v>79309994639.070251</v>
      </c>
      <c r="I5096" s="14" t="e">
        <f>=Round(2390164.22200000,0)</f>
        <v>#VALUE!</v>
      </c>
      <c r="J5096" s="14" t="e">
        <f>=Round(0.00000000,0)</f>
        <v>#VALUE!</v>
      </c>
    </row>
    <row r="5097">
      <c r="A5097" s="11" t="s">
        <v>44</v>
      </c>
      <c r="B5097" s="12">
        <v>932.7706</v>
      </c>
      <c r="C5097" s="12">
        <v>0</v>
      </c>
      <c r="D5097" s="13">
        <v>0</v>
      </c>
      <c r="E5097" s="12">
        <v>0</v>
      </c>
      <c r="F5097" s="14">
        <v>0</v>
      </c>
      <c r="G5097" s="13">
        <v>85127762.1058</v>
      </c>
      <c r="H5097" s="14">
        <v>79404673736.084335</v>
      </c>
      <c r="I5097" s="14" t="e">
        <f>=Round(2390164.22200000,0)</f>
        <v>#VALUE!</v>
      </c>
      <c r="J5097" s="14" t="e">
        <f>=Round(0.00000000,0)</f>
        <v>#VALUE!</v>
      </c>
    </row>
    <row r="5098">
      <c r="A5098" s="11" t="s">
        <v>45</v>
      </c>
      <c r="B5098" s="12">
        <v>933.757</v>
      </c>
      <c r="C5098" s="12">
        <v>0</v>
      </c>
      <c r="D5098" s="13">
        <v>0</v>
      </c>
      <c r="E5098" s="12">
        <v>0</v>
      </c>
      <c r="F5098" s="14">
        <v>0</v>
      </c>
      <c r="G5098" s="13">
        <v>85127762.1058</v>
      </c>
      <c r="H5098" s="14">
        <v>79488643760.625488</v>
      </c>
      <c r="I5098" s="14" t="e">
        <f>=Round(2393017.56460000,0)</f>
        <v>#VALUE!</v>
      </c>
      <c r="J5098" s="14" t="e">
        <f>=Round(0.00000000,0)</f>
        <v>#VALUE!</v>
      </c>
    </row>
    <row r="5099">
      <c r="A5099" s="11" t="s">
        <v>46</v>
      </c>
      <c r="B5099" s="12">
        <v>934.6877</v>
      </c>
      <c r="C5099" s="12">
        <v>0</v>
      </c>
      <c r="D5099" s="13">
        <v>0</v>
      </c>
      <c r="E5099" s="12">
        <v>0</v>
      </c>
      <c r="F5099" s="14">
        <v>0</v>
      </c>
      <c r="G5099" s="13">
        <v>85127762.1058</v>
      </c>
      <c r="H5099" s="14">
        <v>79567872168.817368</v>
      </c>
      <c r="I5099" s="14" t="e">
        <f>=Round(2395548.16810000,0)</f>
        <v>#VALUE!</v>
      </c>
      <c r="J5099" s="14" t="e">
        <f>=Round(0.00000000,0)</f>
        <v>#VALUE!</v>
      </c>
    </row>
    <row r="5100">
      <c r="A5100" s="11" t="s">
        <v>47</v>
      </c>
      <c r="B5100" s="12">
        <v>935.5007</v>
      </c>
      <c r="C5100" s="12">
        <v>0</v>
      </c>
      <c r="D5100" s="13">
        <v>0</v>
      </c>
      <c r="E5100" s="12">
        <v>0</v>
      </c>
      <c r="F5100" s="14">
        <v>0</v>
      </c>
      <c r="G5100" s="13">
        <v>85127762.1058</v>
      </c>
      <c r="H5100" s="14">
        <v>79637081039.409378</v>
      </c>
      <c r="I5100" s="14" t="e">
        <f>=Round(2397935.87360000,0)</f>
        <v>#VALUE!</v>
      </c>
      <c r="J5100" s="14" t="e">
        <f>=Round(0.00000000,0)</f>
        <v>#VALUE!</v>
      </c>
    </row>
    <row r="5101">
      <c r="A5101" s="11" t="s">
        <v>48</v>
      </c>
      <c r="B5101" s="12">
        <v>933.8807</v>
      </c>
      <c r="C5101" s="12">
        <v>0</v>
      </c>
      <c r="D5101" s="13">
        <v>0</v>
      </c>
      <c r="E5101" s="12">
        <v>0</v>
      </c>
      <c r="F5101" s="14">
        <v>0</v>
      </c>
      <c r="G5101" s="13">
        <v>85127762.1058</v>
      </c>
      <c r="H5101" s="14">
        <v>79499174064.797989</v>
      </c>
      <c r="I5101" s="14" t="e">
        <f>=Round(2400021.62040000,0)</f>
        <v>#VALUE!</v>
      </c>
      <c r="J5101" s="14" t="e">
        <f>=Round(0.00000000,0)</f>
        <v>#VALUE!</v>
      </c>
    </row>
    <row r="5102">
      <c r="A5102" s="11" t="s">
        <v>49</v>
      </c>
      <c r="B5102" s="12">
        <v>933.8807</v>
      </c>
      <c r="C5102" s="12">
        <v>0</v>
      </c>
      <c r="D5102" s="13">
        <v>0</v>
      </c>
      <c r="E5102" s="12">
        <v>0</v>
      </c>
      <c r="F5102" s="14">
        <v>0</v>
      </c>
      <c r="G5102" s="13">
        <v>85127762.1058</v>
      </c>
      <c r="H5102" s="14">
        <v>79499174064.797989</v>
      </c>
      <c r="I5102" s="14" t="e">
        <f>=Round(2395865.51980000,0)</f>
        <v>#VALUE!</v>
      </c>
      <c r="J5102" s="14" t="e">
        <f>=Round(0.00000000,0)</f>
        <v>#VALUE!</v>
      </c>
    </row>
    <row r="5103">
      <c r="A5103" s="11" t="s">
        <v>50</v>
      </c>
      <c r="B5103" s="12">
        <v>933.8807</v>
      </c>
      <c r="C5103" s="12">
        <v>0</v>
      </c>
      <c r="D5103" s="13">
        <v>0</v>
      </c>
      <c r="E5103" s="12">
        <v>0</v>
      </c>
      <c r="F5103" s="14">
        <v>0</v>
      </c>
      <c r="G5103" s="13">
        <v>85127762.1058</v>
      </c>
      <c r="H5103" s="14">
        <v>79499174064.797989</v>
      </c>
      <c r="I5103" s="14" t="e">
        <f>=Round(2395865.51980000,0)</f>
        <v>#VALUE!</v>
      </c>
      <c r="J5103" s="14" t="e">
        <f>=Round(0.00000000,0)</f>
        <v>#VALUE!</v>
      </c>
    </row>
    <row r="5104">
      <c r="A5104" s="11" t="s">
        <v>51</v>
      </c>
      <c r="B5104" s="12">
        <v>929.3138</v>
      </c>
      <c r="C5104" s="12">
        <v>0</v>
      </c>
      <c r="D5104" s="13">
        <v>0</v>
      </c>
      <c r="E5104" s="12">
        <v>0</v>
      </c>
      <c r="F5104" s="14">
        <v>0</v>
      </c>
      <c r="G5104" s="13">
        <v>85127762.1058</v>
      </c>
      <c r="H5104" s="14">
        <v>79110404088.036987</v>
      </c>
      <c r="I5104" s="14" t="e">
        <f>=Round(2395865.51980000,0)</f>
        <v>#VALUE!</v>
      </c>
      <c r="J5104" s="14" t="e">
        <f>=Round(0.00000000,0)</f>
        <v>#VALUE!</v>
      </c>
    </row>
    <row r="5105">
      <c r="A5105" s="11" t="s">
        <v>52</v>
      </c>
      <c r="B5105" s="12">
        <v>930.4652</v>
      </c>
      <c r="C5105" s="12">
        <v>0</v>
      </c>
      <c r="D5105" s="13">
        <v>0</v>
      </c>
      <c r="E5105" s="12">
        <v>0</v>
      </c>
      <c r="F5105" s="14">
        <v>0</v>
      </c>
      <c r="G5105" s="13">
        <v>85127762.1058</v>
      </c>
      <c r="H5105" s="14">
        <v>79208420193.325623</v>
      </c>
      <c r="I5105" s="14" t="e">
        <f>=Round(2384149.16430000,0)</f>
        <v>#VALUE!</v>
      </c>
      <c r="J5105" s="14" t="e">
        <f>=Round(0.00000000,0)</f>
        <v>#VALUE!</v>
      </c>
    </row>
    <row r="5106">
      <c r="A5106" s="11" t="s">
        <v>53</v>
      </c>
      <c r="B5106" s="12">
        <v>927.2062</v>
      </c>
      <c r="C5106" s="12">
        <v>0</v>
      </c>
      <c r="D5106" s="13">
        <v>0</v>
      </c>
      <c r="E5106" s="12">
        <v>0</v>
      </c>
      <c r="F5106" s="14">
        <v>0</v>
      </c>
      <c r="G5106" s="13">
        <v>85127762.1058</v>
      </c>
      <c r="H5106" s="14">
        <v>78930988816.622818</v>
      </c>
      <c r="I5106" s="14" t="e">
        <f>=Round(2387103.07430000,0)</f>
        <v>#VALUE!</v>
      </c>
      <c r="J5106" s="14" t="e">
        <f>=Round(0.00000000,0)</f>
        <v>#VALUE!</v>
      </c>
    </row>
    <row r="5107">
      <c r="A5107" s="11" t="s">
        <v>54</v>
      </c>
      <c r="B5107" s="12">
        <v>919.2392</v>
      </c>
      <c r="C5107" s="12">
        <v>0</v>
      </c>
      <c r="D5107" s="13">
        <v>0</v>
      </c>
      <c r="E5107" s="12">
        <v>0</v>
      </c>
      <c r="F5107" s="14">
        <v>0</v>
      </c>
      <c r="G5107" s="13">
        <v>85127762.1058</v>
      </c>
      <c r="H5107" s="14">
        <v>78252775935.9259</v>
      </c>
      <c r="I5107" s="14" t="e">
        <f>=Round(2378742.12870000,0)</f>
        <v>#VALUE!</v>
      </c>
      <c r="J5107" s="14" t="e">
        <f>=Round(0.00000000,0)</f>
        <v>#VALUE!</v>
      </c>
    </row>
    <row r="5108">
      <c r="A5108" s="11" t="s">
        <v>55</v>
      </c>
      <c r="B5108" s="12">
        <v>912.2398</v>
      </c>
      <c r="C5108" s="12">
        <v>0</v>
      </c>
      <c r="D5108" s="13">
        <v>0</v>
      </c>
      <c r="E5108" s="12">
        <v>0</v>
      </c>
      <c r="F5108" s="14">
        <v>0</v>
      </c>
      <c r="G5108" s="13">
        <v>85127762.1058</v>
      </c>
      <c r="H5108" s="14">
        <v>77656932677.842575</v>
      </c>
      <c r="I5108" s="14" t="e">
        <f>=Round(2358302.83640000,0)</f>
        <v>#VALUE!</v>
      </c>
      <c r="J5108" s="14" t="e">
        <f>=Round(0.00000000,0)</f>
        <v>#VALUE!</v>
      </c>
    </row>
    <row r="5109" ht="-1">
      <c r="A5109" s="15"/>
      <c r="B5109" s="16" t="s">
        <v>56</v>
      </c>
      <c r="C5109" s="15"/>
      <c r="D5109" s="15"/>
      <c r="E5109" s="15"/>
      <c r="F5109" s="15"/>
      <c r="G5109" s="15"/>
      <c r="H5109" s="15"/>
      <c r="I5109" s="17" t="e">
        <f>=Round(SUM(I5083:I5108),0)</f>
        <v>#VALUE!</v>
      </c>
      <c r="J5109" s="17" t="e">
        <f>=Round(SUM(J5083:J5108),0)</f>
        <v>#VALUE!</v>
      </c>
    </row>
    <row r="5110">
      <c r="A5110" s="1" t="s">
        <v>0</v>
      </c>
      <c r="B5110" s="1"/>
      <c r="C5110" s="1"/>
      <c r="D5110" s="1"/>
    </row>
    <row r="5111">
      <c r="A5111" s="0" t="s">
        <v>1</v>
      </c>
      <c r="C5111" s="0" t="s">
        <v>187</v>
      </c>
      <c r="H5111" s="2" t="s">
        <v>3</v>
      </c>
    </row>
    <row r="5112">
      <c r="A5112" s="0" t="s">
        <v>4</v>
      </c>
      <c r="C5112" s="0" t="s">
        <v>191</v>
      </c>
      <c r="H5112" s="3" t="s">
        <v>6</v>
      </c>
    </row>
    <row r="5113">
      <c r="A5113" s="0" t="s">
        <v>7</v>
      </c>
      <c r="C5113" s="4" t="s">
        <v>188</v>
      </c>
      <c r="H5113" s="2" t="s">
        <v>9</v>
      </c>
    </row>
    <row r="5114">
      <c r="A5114" s="0" t="s">
        <v>10</v>
      </c>
      <c r="C5114" s="4" t="s">
        <v>11</v>
      </c>
      <c r="H5114" s="2" t="s">
        <v>12</v>
      </c>
    </row>
    <row r="5115">
      <c r="A5115" s="0" t="s">
        <v>13</v>
      </c>
      <c r="C5115" s="0" t="s">
        <v>14</v>
      </c>
    </row>
    <row r="5116">
      <c r="A5116" s="0" t="s">
        <v>15</v>
      </c>
      <c r="C5116" s="0" t="s">
        <v>16</v>
      </c>
    </row>
    <row r="5117">
      <c r="A5117" s="0" t="s">
        <v>17</v>
      </c>
      <c r="C5117" s="0" t="s">
        <v>18</v>
      </c>
    </row>
    <row r="5120">
      <c r="A5120" s="5" t="s">
        <v>19</v>
      </c>
      <c r="B5120" s="5" t="s">
        <v>20</v>
      </c>
      <c r="C5120" s="7" t="s">
        <v>21</v>
      </c>
      <c r="D5120" s="9"/>
      <c r="E5120" s="7" t="s">
        <v>22</v>
      </c>
      <c r="F5120" s="9"/>
      <c r="G5120" s="5" t="s">
        <v>23</v>
      </c>
      <c r="H5120" s="5" t="s">
        <v>24</v>
      </c>
      <c r="I5120" s="5" t="s">
        <v>189</v>
      </c>
      <c r="J5120" s="5" t="s">
        <v>26</v>
      </c>
    </row>
    <row r="5121">
      <c r="A5121" s="6"/>
      <c r="B5121" s="6"/>
      <c r="C5121" s="8" t="s">
        <v>27</v>
      </c>
      <c r="D5121" s="8" t="s">
        <v>28</v>
      </c>
      <c r="E5121" s="8" t="s">
        <v>27</v>
      </c>
      <c r="F5121" s="8" t="s">
        <v>28</v>
      </c>
      <c r="G5121" s="6"/>
      <c r="H5121" s="6"/>
      <c r="I5121" s="10" t="s">
        <v>29</v>
      </c>
      <c r="J5121" s="6"/>
    </row>
    <row r="5122">
      <c r="A5122" s="11" t="s">
        <v>30</v>
      </c>
      <c r="B5122" s="12">
        <v>937.7968</v>
      </c>
      <c r="C5122" s="12">
        <v>0</v>
      </c>
      <c r="D5122" s="13">
        <v>0</v>
      </c>
      <c r="E5122" s="12">
        <v>0</v>
      </c>
      <c r="F5122" s="14">
        <v>0</v>
      </c>
      <c r="G5122" s="13">
        <v>48857940.7492</v>
      </c>
      <c r="H5122" s="14">
        <v>45818820489.189362</v>
      </c>
      <c r="I5122" s="14" t="e">
        <f>=Round(1377492.85710000,0)</f>
        <v>#VALUE!</v>
      </c>
      <c r="J5122" s="14" t="e">
        <f>=Round(0.00000000,0)</f>
        <v>#VALUE!</v>
      </c>
    </row>
    <row r="5123">
      <c r="A5123" s="11" t="s">
        <v>31</v>
      </c>
      <c r="B5123" s="12">
        <v>940.9109</v>
      </c>
      <c r="C5123" s="12">
        <v>0</v>
      </c>
      <c r="D5123" s="13">
        <v>0</v>
      </c>
      <c r="E5123" s="12">
        <v>0</v>
      </c>
      <c r="F5123" s="14">
        <v>0</v>
      </c>
      <c r="G5123" s="13">
        <v>48857940.7492</v>
      </c>
      <c r="H5123" s="14">
        <v>45970969002.476448</v>
      </c>
      <c r="I5123" s="14" t="e">
        <f>=Round(1380841.16540000,0)</f>
        <v>#VALUE!</v>
      </c>
      <c r="J5123" s="14" t="e">
        <f>=Round(0.00000000,0)</f>
        <v>#VALUE!</v>
      </c>
    </row>
    <row r="5124">
      <c r="A5124" s="11" t="s">
        <v>32</v>
      </c>
      <c r="B5124" s="12">
        <v>941.9429</v>
      </c>
      <c r="C5124" s="12">
        <v>0</v>
      </c>
      <c r="D5124" s="13">
        <v>0</v>
      </c>
      <c r="E5124" s="12">
        <v>0</v>
      </c>
      <c r="F5124" s="14">
        <v>0</v>
      </c>
      <c r="G5124" s="13">
        <v>48857940.7492</v>
      </c>
      <c r="H5124" s="14">
        <v>46021390397.32962</v>
      </c>
      <c r="I5124" s="14" t="e">
        <f>=Round(1385426.46310000,0)</f>
        <v>#VALUE!</v>
      </c>
      <c r="J5124" s="14" t="e">
        <f>=Round(0.00000000,0)</f>
        <v>#VALUE!</v>
      </c>
    </row>
    <row r="5125">
      <c r="A5125" s="11" t="s">
        <v>33</v>
      </c>
      <c r="B5125" s="12">
        <v>943.5985</v>
      </c>
      <c r="C5125" s="12">
        <v>0</v>
      </c>
      <c r="D5125" s="13">
        <v>0</v>
      </c>
      <c r="E5125" s="12">
        <v>0</v>
      </c>
      <c r="F5125" s="14">
        <v>0</v>
      </c>
      <c r="G5125" s="13">
        <v>48857940.7492</v>
      </c>
      <c r="H5125" s="14">
        <v>46102279604.034</v>
      </c>
      <c r="I5125" s="14" t="e">
        <f>=Round(1386946.01200000,0)</f>
        <v>#VALUE!</v>
      </c>
      <c r="J5125" s="14" t="e">
        <f>=Round(0.00000000,0)</f>
        <v>#VALUE!</v>
      </c>
    </row>
    <row r="5126">
      <c r="A5126" s="11" t="s">
        <v>34</v>
      </c>
      <c r="B5126" s="12">
        <v>942.1432</v>
      </c>
      <c r="C5126" s="12">
        <v>0</v>
      </c>
      <c r="D5126" s="13">
        <v>0</v>
      </c>
      <c r="E5126" s="12">
        <v>0</v>
      </c>
      <c r="F5126" s="14">
        <v>0</v>
      </c>
      <c r="G5126" s="13">
        <v>48857940.7492</v>
      </c>
      <c r="H5126" s="14">
        <v>46031176642.861687</v>
      </c>
      <c r="I5126" s="14" t="e">
        <f>=Round(1389383.76890000,0)</f>
        <v>#VALUE!</v>
      </c>
      <c r="J5126" s="14" t="e">
        <f>=Round(0.00000000,0)</f>
        <v>#VALUE!</v>
      </c>
    </row>
    <row r="5127">
      <c r="A5127" s="11" t="s">
        <v>35</v>
      </c>
      <c r="B5127" s="12">
        <v>942.1432</v>
      </c>
      <c r="C5127" s="12">
        <v>0</v>
      </c>
      <c r="D5127" s="13">
        <v>0</v>
      </c>
      <c r="E5127" s="12">
        <v>0</v>
      </c>
      <c r="F5127" s="14">
        <v>0</v>
      </c>
      <c r="G5127" s="13">
        <v>48857940.7492</v>
      </c>
      <c r="H5127" s="14">
        <v>46031176642.861687</v>
      </c>
      <c r="I5127" s="14" t="e">
        <f>=Round(1387240.93990000,0)</f>
        <v>#VALUE!</v>
      </c>
      <c r="J5127" s="14" t="e">
        <f>=Round(0.00000000,0)</f>
        <v>#VALUE!</v>
      </c>
    </row>
    <row r="5128">
      <c r="A5128" s="11" t="s">
        <v>36</v>
      </c>
      <c r="B5128" s="12">
        <v>942.1432</v>
      </c>
      <c r="C5128" s="12">
        <v>0</v>
      </c>
      <c r="D5128" s="13">
        <v>0</v>
      </c>
      <c r="E5128" s="12">
        <v>0</v>
      </c>
      <c r="F5128" s="14">
        <v>0</v>
      </c>
      <c r="G5128" s="13">
        <v>48857940.7492</v>
      </c>
      <c r="H5128" s="14">
        <v>46031176642.861687</v>
      </c>
      <c r="I5128" s="14" t="e">
        <f>=Round(1387240.93990000,0)</f>
        <v>#VALUE!</v>
      </c>
      <c r="J5128" s="14" t="e">
        <f>=Round(0.00000000,0)</f>
        <v>#VALUE!</v>
      </c>
    </row>
    <row r="5129">
      <c r="A5129" s="11" t="s">
        <v>37</v>
      </c>
      <c r="B5129" s="12">
        <v>935.961</v>
      </c>
      <c r="C5129" s="12">
        <v>0</v>
      </c>
      <c r="D5129" s="13">
        <v>0</v>
      </c>
      <c r="E5129" s="12">
        <v>0</v>
      </c>
      <c r="F5129" s="14">
        <v>0</v>
      </c>
      <c r="G5129" s="13">
        <v>48857940.7492</v>
      </c>
      <c r="H5129" s="14">
        <v>45729127081.561981</v>
      </c>
      <c r="I5129" s="14" t="e">
        <f>=Round(1387240.93990000,0)</f>
        <v>#VALUE!</v>
      </c>
      <c r="J5129" s="14" t="e">
        <f>=Round(0.00000000,0)</f>
        <v>#VALUE!</v>
      </c>
    </row>
    <row r="5130">
      <c r="A5130" s="11" t="s">
        <v>38</v>
      </c>
      <c r="B5130" s="12">
        <v>936.1108</v>
      </c>
      <c r="C5130" s="12">
        <v>0</v>
      </c>
      <c r="D5130" s="13">
        <v>0</v>
      </c>
      <c r="E5130" s="12">
        <v>0</v>
      </c>
      <c r="F5130" s="14">
        <v>0</v>
      </c>
      <c r="G5130" s="13">
        <v>48857940.7492</v>
      </c>
      <c r="H5130" s="14">
        <v>45736446001.086205</v>
      </c>
      <c r="I5130" s="14" t="e">
        <f>=Round(1378138.07640000,0)</f>
        <v>#VALUE!</v>
      </c>
      <c r="J5130" s="14" t="e">
        <f>=Round(0.00000000,0)</f>
        <v>#VALUE!</v>
      </c>
    </row>
    <row r="5131">
      <c r="A5131" s="11" t="s">
        <v>39</v>
      </c>
      <c r="B5131" s="12">
        <v>935.3136</v>
      </c>
      <c r="C5131" s="12">
        <v>0</v>
      </c>
      <c r="D5131" s="13">
        <v>0</v>
      </c>
      <c r="E5131" s="12">
        <v>0</v>
      </c>
      <c r="F5131" s="14">
        <v>0</v>
      </c>
      <c r="G5131" s="13">
        <v>48857940.7492</v>
      </c>
      <c r="H5131" s="14">
        <v>45697496450.720955</v>
      </c>
      <c r="I5131" s="14" t="e">
        <f>=Round(1378358.64660000,0)</f>
        <v>#VALUE!</v>
      </c>
      <c r="J5131" s="14" t="e">
        <f>=Round(0.00000000,0)</f>
        <v>#VALUE!</v>
      </c>
    </row>
    <row r="5132">
      <c r="A5132" s="11" t="s">
        <v>40</v>
      </c>
      <c r="B5132" s="12">
        <v>931.3392</v>
      </c>
      <c r="C5132" s="12">
        <v>0</v>
      </c>
      <c r="D5132" s="13">
        <v>0</v>
      </c>
      <c r="E5132" s="12">
        <v>0</v>
      </c>
      <c r="F5132" s="14">
        <v>0</v>
      </c>
      <c r="G5132" s="13">
        <v>48857940.7492</v>
      </c>
      <c r="H5132" s="14">
        <v>45503315451.007324</v>
      </c>
      <c r="I5132" s="14" t="e">
        <f>=Round(1377184.82450000,0)</f>
        <v>#VALUE!</v>
      </c>
      <c r="J5132" s="14" t="e">
        <f>=Round(0.00000000,0)</f>
        <v>#VALUE!</v>
      </c>
    </row>
    <row r="5133">
      <c r="A5133" s="11" t="s">
        <v>41</v>
      </c>
      <c r="B5133" s="12">
        <v>931.6584</v>
      </c>
      <c r="C5133" s="12">
        <v>0</v>
      </c>
      <c r="D5133" s="13">
        <v>0</v>
      </c>
      <c r="E5133" s="12">
        <v>0</v>
      </c>
      <c r="F5133" s="14">
        <v>0</v>
      </c>
      <c r="G5133" s="13">
        <v>48857940.7492</v>
      </c>
      <c r="H5133" s="14">
        <v>45518910905.694473</v>
      </c>
      <c r="I5133" s="14" t="e">
        <f>=Round(1371332.79440000,0)</f>
        <v>#VALUE!</v>
      </c>
      <c r="J5133" s="14" t="e">
        <f>=Round(0.00000000,0)</f>
        <v>#VALUE!</v>
      </c>
    </row>
    <row r="5134">
      <c r="A5134" s="11" t="s">
        <v>42</v>
      </c>
      <c r="B5134" s="12">
        <v>931.6584</v>
      </c>
      <c r="C5134" s="12">
        <v>0</v>
      </c>
      <c r="D5134" s="13">
        <v>0</v>
      </c>
      <c r="E5134" s="12">
        <v>0</v>
      </c>
      <c r="F5134" s="14">
        <v>0</v>
      </c>
      <c r="G5134" s="13">
        <v>48857940.7492</v>
      </c>
      <c r="H5134" s="14">
        <v>45518910905.694473</v>
      </c>
      <c r="I5134" s="14" t="e">
        <f>=Round(1371802.79440000,0)</f>
        <v>#VALUE!</v>
      </c>
      <c r="J5134" s="14" t="e">
        <f>=Round(0.00000000,0)</f>
        <v>#VALUE!</v>
      </c>
    </row>
    <row r="5135">
      <c r="A5135" s="11" t="s">
        <v>43</v>
      </c>
      <c r="B5135" s="12">
        <v>931.6584</v>
      </c>
      <c r="C5135" s="12">
        <v>0</v>
      </c>
      <c r="D5135" s="13">
        <v>0</v>
      </c>
      <c r="E5135" s="12">
        <v>0</v>
      </c>
      <c r="F5135" s="14">
        <v>0</v>
      </c>
      <c r="G5135" s="13">
        <v>48857940.7492</v>
      </c>
      <c r="H5135" s="14">
        <v>45518910905.694473</v>
      </c>
      <c r="I5135" s="14" t="e">
        <f>=Round(1371802.79440000,0)</f>
        <v>#VALUE!</v>
      </c>
      <c r="J5135" s="14" t="e">
        <f>=Round(0.00000000,0)</f>
        <v>#VALUE!</v>
      </c>
    </row>
    <row r="5136">
      <c r="A5136" s="11" t="s">
        <v>44</v>
      </c>
      <c r="B5136" s="12">
        <v>932.7706</v>
      </c>
      <c r="C5136" s="12">
        <v>0</v>
      </c>
      <c r="D5136" s="13">
        <v>0</v>
      </c>
      <c r="E5136" s="12">
        <v>0</v>
      </c>
      <c r="F5136" s="14">
        <v>0</v>
      </c>
      <c r="G5136" s="13">
        <v>48857940.7492</v>
      </c>
      <c r="H5136" s="14">
        <v>45573250707.395737</v>
      </c>
      <c r="I5136" s="14" t="e">
        <f>=Round(1371802.79440000,0)</f>
        <v>#VALUE!</v>
      </c>
      <c r="J5136" s="14" t="e">
        <f>=Round(0.00000000,0)</f>
        <v>#VALUE!</v>
      </c>
    </row>
    <row r="5137">
      <c r="A5137" s="11" t="s">
        <v>45</v>
      </c>
      <c r="B5137" s="12">
        <v>933.757</v>
      </c>
      <c r="C5137" s="12">
        <v>0</v>
      </c>
      <c r="D5137" s="13">
        <v>0</v>
      </c>
      <c r="E5137" s="12">
        <v>0</v>
      </c>
      <c r="F5137" s="14">
        <v>0</v>
      </c>
      <c r="G5137" s="13">
        <v>48857940.7492</v>
      </c>
      <c r="H5137" s="14">
        <v>45621444180.150742</v>
      </c>
      <c r="I5137" s="14" t="e">
        <f>=Round(1373440.43230000,0)</f>
        <v>#VALUE!</v>
      </c>
      <c r="J5137" s="14" t="e">
        <f>=Round(0.00000000,0)</f>
        <v>#VALUE!</v>
      </c>
    </row>
    <row r="5138">
      <c r="A5138" s="11" t="s">
        <v>46</v>
      </c>
      <c r="B5138" s="12">
        <v>934.6877</v>
      </c>
      <c r="C5138" s="12">
        <v>0</v>
      </c>
      <c r="D5138" s="13">
        <v>0</v>
      </c>
      <c r="E5138" s="12">
        <v>0</v>
      </c>
      <c r="F5138" s="14">
        <v>0</v>
      </c>
      <c r="G5138" s="13">
        <v>48857940.7492</v>
      </c>
      <c r="H5138" s="14">
        <v>45666916265.606026</v>
      </c>
      <c r="I5138" s="14" t="e">
        <f>=Round(1374892.83830000,0)</f>
        <v>#VALUE!</v>
      </c>
      <c r="J5138" s="14" t="e">
        <f>=Round(0.00000000,0)</f>
        <v>#VALUE!</v>
      </c>
    </row>
    <row r="5139">
      <c r="A5139" s="11" t="s">
        <v>47</v>
      </c>
      <c r="B5139" s="12">
        <v>935.5007</v>
      </c>
      <c r="C5139" s="12">
        <v>0</v>
      </c>
      <c r="D5139" s="13">
        <v>0</v>
      </c>
      <c r="E5139" s="12">
        <v>0</v>
      </c>
      <c r="F5139" s="14">
        <v>0</v>
      </c>
      <c r="G5139" s="13">
        <v>48857940.7492</v>
      </c>
      <c r="H5139" s="14">
        <v>45706637771.43512</v>
      </c>
      <c r="I5139" s="14" t="e">
        <f>=Round(1376263.22990000,0)</f>
        <v>#VALUE!</v>
      </c>
      <c r="J5139" s="14" t="e">
        <f>=Round(0.00000000,0)</f>
        <v>#VALUE!</v>
      </c>
    </row>
    <row r="5140">
      <c r="A5140" s="11" t="s">
        <v>48</v>
      </c>
      <c r="B5140" s="12">
        <v>933.8807</v>
      </c>
      <c r="C5140" s="12">
        <v>0</v>
      </c>
      <c r="D5140" s="13">
        <v>0</v>
      </c>
      <c r="E5140" s="12">
        <v>0</v>
      </c>
      <c r="F5140" s="14">
        <v>0</v>
      </c>
      <c r="G5140" s="13">
        <v>48857940.7492</v>
      </c>
      <c r="H5140" s="14">
        <v>45627487907.421425</v>
      </c>
      <c r="I5140" s="14" t="e">
        <f>=Round(1377460.31640000,0)</f>
        <v>#VALUE!</v>
      </c>
      <c r="J5140" s="14" t="e">
        <f>=Round(0.00000000,0)</f>
        <v>#VALUE!</v>
      </c>
    </row>
    <row r="5141">
      <c r="A5141" s="11" t="s">
        <v>49</v>
      </c>
      <c r="B5141" s="12">
        <v>933.8807</v>
      </c>
      <c r="C5141" s="12">
        <v>0</v>
      </c>
      <c r="D5141" s="13">
        <v>0</v>
      </c>
      <c r="E5141" s="12">
        <v>0</v>
      </c>
      <c r="F5141" s="14">
        <v>0</v>
      </c>
      <c r="G5141" s="13">
        <v>48857940.7492</v>
      </c>
      <c r="H5141" s="14">
        <v>45627487907.421425</v>
      </c>
      <c r="I5141" s="14" t="e">
        <f>=Round(1375074.97800000,0)</f>
        <v>#VALUE!</v>
      </c>
      <c r="J5141" s="14" t="e">
        <f>=Round(0.00000000,0)</f>
        <v>#VALUE!</v>
      </c>
    </row>
    <row r="5142">
      <c r="A5142" s="11" t="s">
        <v>50</v>
      </c>
      <c r="B5142" s="12">
        <v>933.8807</v>
      </c>
      <c r="C5142" s="12">
        <v>0</v>
      </c>
      <c r="D5142" s="13">
        <v>0</v>
      </c>
      <c r="E5142" s="12">
        <v>0</v>
      </c>
      <c r="F5142" s="14">
        <v>0</v>
      </c>
      <c r="G5142" s="13">
        <v>48857940.7492</v>
      </c>
      <c r="H5142" s="14">
        <v>45627487907.421425</v>
      </c>
      <c r="I5142" s="14" t="e">
        <f>=Round(1375074.97800000,0)</f>
        <v>#VALUE!</v>
      </c>
      <c r="J5142" s="14" t="e">
        <f>=Round(0.00000000,0)</f>
        <v>#VALUE!</v>
      </c>
    </row>
    <row r="5143">
      <c r="A5143" s="11" t="s">
        <v>51</v>
      </c>
      <c r="B5143" s="12">
        <v>929.3138</v>
      </c>
      <c r="C5143" s="12">
        <v>0</v>
      </c>
      <c r="D5143" s="13">
        <v>0</v>
      </c>
      <c r="E5143" s="12">
        <v>0</v>
      </c>
      <c r="F5143" s="14">
        <v>0</v>
      </c>
      <c r="G5143" s="13">
        <v>48857940.7492</v>
      </c>
      <c r="H5143" s="14">
        <v>45404358577.813896</v>
      </c>
      <c r="I5143" s="14" t="e">
        <f>=Round(1375074.97800000,0)</f>
        <v>#VALUE!</v>
      </c>
      <c r="J5143" s="14" t="e">
        <f>=Round(0.00000000,0)</f>
        <v>#VALUE!</v>
      </c>
    </row>
    <row r="5144">
      <c r="A5144" s="11" t="s">
        <v>52</v>
      </c>
      <c r="B5144" s="12">
        <v>930.4652</v>
      </c>
      <c r="C5144" s="12">
        <v>0</v>
      </c>
      <c r="D5144" s="13">
        <v>0</v>
      </c>
      <c r="E5144" s="12">
        <v>0</v>
      </c>
      <c r="F5144" s="14">
        <v>0</v>
      </c>
      <c r="G5144" s="13">
        <v>48857940.7492</v>
      </c>
      <c r="H5144" s="14">
        <v>45460613610.792526</v>
      </c>
      <c r="I5144" s="14" t="e">
        <f>=Round(1368350.53250000,0)</f>
        <v>#VALUE!</v>
      </c>
      <c r="J5144" s="14" t="e">
        <f>=Round(0.00000000,0)</f>
        <v>#VALUE!</v>
      </c>
    </row>
    <row r="5145">
      <c r="A5145" s="11" t="s">
        <v>53</v>
      </c>
      <c r="B5145" s="12">
        <v>927.2062</v>
      </c>
      <c r="C5145" s="12">
        <v>0</v>
      </c>
      <c r="D5145" s="13">
        <v>0</v>
      </c>
      <c r="E5145" s="12">
        <v>0</v>
      </c>
      <c r="F5145" s="14">
        <v>0</v>
      </c>
      <c r="G5145" s="13">
        <v>48857940.7492</v>
      </c>
      <c r="H5145" s="14">
        <v>45301385581.890884</v>
      </c>
      <c r="I5145" s="14" t="e">
        <f>=Round(1370045.88960000,0)</f>
        <v>#VALUE!</v>
      </c>
      <c r="J5145" s="14" t="e">
        <f>=Round(0.00000000,0)</f>
        <v>#VALUE!</v>
      </c>
    </row>
    <row r="5146">
      <c r="A5146" s="11" t="s">
        <v>54</v>
      </c>
      <c r="B5146" s="12">
        <v>919.2392</v>
      </c>
      <c r="C5146" s="12">
        <v>0</v>
      </c>
      <c r="D5146" s="13">
        <v>0</v>
      </c>
      <c r="E5146" s="12">
        <v>0</v>
      </c>
      <c r="F5146" s="14">
        <v>0</v>
      </c>
      <c r="G5146" s="13">
        <v>48857940.7492</v>
      </c>
      <c r="H5146" s="14">
        <v>44912134367.942009</v>
      </c>
      <c r="I5146" s="14" t="e">
        <f>=Round(1365247.23670000,0)</f>
        <v>#VALUE!</v>
      </c>
      <c r="J5146" s="14" t="e">
        <f>=Round(0.00000000,0)</f>
        <v>#VALUE!</v>
      </c>
    </row>
    <row r="5147">
      <c r="A5147" s="11" t="s">
        <v>55</v>
      </c>
      <c r="B5147" s="12">
        <v>912.2398</v>
      </c>
      <c r="C5147" s="12">
        <v>0</v>
      </c>
      <c r="D5147" s="13">
        <v>0</v>
      </c>
      <c r="E5147" s="12">
        <v>0</v>
      </c>
      <c r="F5147" s="14">
        <v>0</v>
      </c>
      <c r="G5147" s="13">
        <v>48857940.7492</v>
      </c>
      <c r="H5147" s="14">
        <v>44570158097.462059</v>
      </c>
      <c r="I5147" s="14" t="e">
        <f>=Round(1353516.37820000,0)</f>
        <v>#VALUE!</v>
      </c>
      <c r="J5147" s="14" t="e">
        <f>=Round(0.00000000,0)</f>
        <v>#VALUE!</v>
      </c>
    </row>
    <row r="5148" ht="-1">
      <c r="A5148" s="15"/>
      <c r="B5148" s="16" t="s">
        <v>56</v>
      </c>
      <c r="C5148" s="15"/>
      <c r="D5148" s="15"/>
      <c r="E5148" s="15"/>
      <c r="F5148" s="15"/>
      <c r="G5148" s="15"/>
      <c r="H5148" s="15"/>
      <c r="I5148" s="17" t="e">
        <f>=Round(SUM(I5122:I5147),0)</f>
        <v>#VALUE!</v>
      </c>
      <c r="J5148" s="17" t="e">
        <f>=Round(SUM(J5122:J5147),0)</f>
        <v>#VALUE!</v>
      </c>
    </row>
    <row r="5149">
      <c r="A5149" s="1" t="s">
        <v>0</v>
      </c>
      <c r="B5149" s="1"/>
      <c r="C5149" s="1"/>
      <c r="D5149" s="1"/>
    </row>
    <row r="5150">
      <c r="A5150" s="0" t="s">
        <v>1</v>
      </c>
      <c r="C5150" s="0" t="s">
        <v>192</v>
      </c>
      <c r="H5150" s="2" t="s">
        <v>3</v>
      </c>
    </row>
    <row r="5151">
      <c r="A5151" s="0" t="s">
        <v>4</v>
      </c>
      <c r="C5151" s="0" t="s">
        <v>193</v>
      </c>
      <c r="H5151" s="3" t="s">
        <v>6</v>
      </c>
    </row>
    <row r="5152">
      <c r="A5152" s="0" t="s">
        <v>7</v>
      </c>
      <c r="C5152" s="4" t="s">
        <v>194</v>
      </c>
      <c r="H5152" s="2" t="s">
        <v>9</v>
      </c>
    </row>
    <row r="5153">
      <c r="A5153" s="0" t="s">
        <v>10</v>
      </c>
      <c r="C5153" s="4" t="s">
        <v>11</v>
      </c>
      <c r="H5153" s="2" t="s">
        <v>12</v>
      </c>
    </row>
    <row r="5154">
      <c r="A5154" s="0" t="s">
        <v>13</v>
      </c>
      <c r="C5154" s="0" t="s">
        <v>14</v>
      </c>
    </row>
    <row r="5155">
      <c r="A5155" s="0" t="s">
        <v>15</v>
      </c>
      <c r="C5155" s="0" t="s">
        <v>16</v>
      </c>
    </row>
    <row r="5156">
      <c r="A5156" s="0" t="s">
        <v>17</v>
      </c>
      <c r="C5156" s="0" t="s">
        <v>18</v>
      </c>
    </row>
    <row r="5159">
      <c r="A5159" s="5" t="s">
        <v>19</v>
      </c>
      <c r="B5159" s="5" t="s">
        <v>20</v>
      </c>
      <c r="C5159" s="7" t="s">
        <v>21</v>
      </c>
      <c r="D5159" s="9"/>
      <c r="E5159" s="7" t="s">
        <v>22</v>
      </c>
      <c r="F5159" s="9"/>
      <c r="G5159" s="5" t="s">
        <v>23</v>
      </c>
      <c r="H5159" s="5" t="s">
        <v>24</v>
      </c>
      <c r="I5159" s="5" t="s">
        <v>195</v>
      </c>
      <c r="J5159" s="5" t="s">
        <v>26</v>
      </c>
    </row>
    <row r="5160">
      <c r="A5160" s="6"/>
      <c r="B5160" s="6"/>
      <c r="C5160" s="8" t="s">
        <v>27</v>
      </c>
      <c r="D5160" s="8" t="s">
        <v>28</v>
      </c>
      <c r="E5160" s="8" t="s">
        <v>27</v>
      </c>
      <c r="F5160" s="8" t="s">
        <v>28</v>
      </c>
      <c r="G5160" s="6"/>
      <c r="H5160" s="6"/>
      <c r="I5160" s="10" t="s">
        <v>29</v>
      </c>
      <c r="J5160" s="6"/>
    </row>
    <row r="5161">
      <c r="A5161" s="11" t="s">
        <v>30</v>
      </c>
      <c r="B5161" s="12">
        <v>1677.4582</v>
      </c>
      <c r="C5161" s="12">
        <v>0</v>
      </c>
      <c r="D5161" s="13">
        <v>0</v>
      </c>
      <c r="E5161" s="12">
        <v>0</v>
      </c>
      <c r="F5161" s="14">
        <v>0</v>
      </c>
      <c r="G5161" s="13">
        <v>2354.429</v>
      </c>
      <c r="H5161" s="14">
        <v>3949456.232368</v>
      </c>
      <c r="I5161" s="14" t="e">
        <f>=Round(149.55140000,0)</f>
        <v>#VALUE!</v>
      </c>
      <c r="J5161" s="14" t="e">
        <f>=Round(0.00000000,0)</f>
        <v>#VALUE!</v>
      </c>
    </row>
    <row r="5162">
      <c r="A5162" s="11" t="s">
        <v>31</v>
      </c>
      <c r="B5162" s="12">
        <v>1685.5728</v>
      </c>
      <c r="C5162" s="12">
        <v>0</v>
      </c>
      <c r="D5162" s="13">
        <v>0</v>
      </c>
      <c r="E5162" s="12">
        <v>0</v>
      </c>
      <c r="F5162" s="14">
        <v>0</v>
      </c>
      <c r="G5162" s="13">
        <v>2354.429</v>
      </c>
      <c r="H5162" s="14">
        <v>3968561.481931</v>
      </c>
      <c r="I5162" s="14" t="e">
        <f>=Round(148.78090000,0)</f>
        <v>#VALUE!</v>
      </c>
      <c r="J5162" s="14" t="e">
        <f>=Round(0.00000000,0)</f>
        <v>#VALUE!</v>
      </c>
    </row>
    <row r="5163">
      <c r="A5163" s="11" t="s">
        <v>32</v>
      </c>
      <c r="B5163" s="12">
        <v>1695.5297</v>
      </c>
      <c r="C5163" s="12">
        <v>0</v>
      </c>
      <c r="D5163" s="13">
        <v>0</v>
      </c>
      <c r="E5163" s="12">
        <v>0</v>
      </c>
      <c r="F5163" s="14">
        <v>0</v>
      </c>
      <c r="G5163" s="13">
        <v>2354.429</v>
      </c>
      <c r="H5163" s="14">
        <v>3992004.296041</v>
      </c>
      <c r="I5163" s="14" t="e">
        <f>=Round(149.50060000,0)</f>
        <v>#VALUE!</v>
      </c>
      <c r="J5163" s="14" t="e">
        <f>=Round(0.00000000,0)</f>
        <v>#VALUE!</v>
      </c>
    </row>
    <row r="5164">
      <c r="A5164" s="11" t="s">
        <v>33</v>
      </c>
      <c r="B5164" s="12">
        <v>1694.4162</v>
      </c>
      <c r="C5164" s="12">
        <v>0</v>
      </c>
      <c r="D5164" s="13">
        <v>0</v>
      </c>
      <c r="E5164" s="12">
        <v>0</v>
      </c>
      <c r="F5164" s="14">
        <v>0</v>
      </c>
      <c r="G5164" s="13">
        <v>2354.429</v>
      </c>
      <c r="H5164" s="14">
        <v>3989382.63935</v>
      </c>
      <c r="I5164" s="14" t="e">
        <f>=Round(150.38370000,0)</f>
        <v>#VALUE!</v>
      </c>
      <c r="J5164" s="14" t="e">
        <f>=Round(0.00000000,0)</f>
        <v>#VALUE!</v>
      </c>
    </row>
    <row r="5165">
      <c r="A5165" s="11" t="s">
        <v>34</v>
      </c>
      <c r="B5165" s="12">
        <v>1694.5359</v>
      </c>
      <c r="C5165" s="12">
        <v>0</v>
      </c>
      <c r="D5165" s="13">
        <v>0</v>
      </c>
      <c r="E5165" s="12">
        <v>0</v>
      </c>
      <c r="F5165" s="14">
        <v>0</v>
      </c>
      <c r="G5165" s="13">
        <v>2354.429</v>
      </c>
      <c r="H5165" s="14">
        <v>3989664.464501</v>
      </c>
      <c r="I5165" s="14" t="e">
        <f>=Round(150.28500000,0)</f>
        <v>#VALUE!</v>
      </c>
      <c r="J5165" s="14" t="e">
        <f>=Round(0.00000000,0)</f>
        <v>#VALUE!</v>
      </c>
    </row>
    <row r="5166">
      <c r="A5166" s="11" t="s">
        <v>35</v>
      </c>
      <c r="B5166" s="12">
        <v>1694.5359</v>
      </c>
      <c r="C5166" s="12">
        <v>0</v>
      </c>
      <c r="D5166" s="13">
        <v>0</v>
      </c>
      <c r="E5166" s="12">
        <v>0</v>
      </c>
      <c r="F5166" s="14">
        <v>0</v>
      </c>
      <c r="G5166" s="13">
        <v>2354.429</v>
      </c>
      <c r="H5166" s="14">
        <v>3989664.464501</v>
      </c>
      <c r="I5166" s="14" t="e">
        <f>=Round(150.29560000,0)</f>
        <v>#VALUE!</v>
      </c>
      <c r="J5166" s="14" t="e">
        <f>=Round(0.00000000,0)</f>
        <v>#VALUE!</v>
      </c>
    </row>
    <row r="5167">
      <c r="A5167" s="11" t="s">
        <v>36</v>
      </c>
      <c r="B5167" s="12">
        <v>1694.5359</v>
      </c>
      <c r="C5167" s="12">
        <v>0</v>
      </c>
      <c r="D5167" s="13">
        <v>0</v>
      </c>
      <c r="E5167" s="12">
        <v>0</v>
      </c>
      <c r="F5167" s="14">
        <v>0</v>
      </c>
      <c r="G5167" s="13">
        <v>2354.429</v>
      </c>
      <c r="H5167" s="14">
        <v>3989664.464501</v>
      </c>
      <c r="I5167" s="14" t="e">
        <f>=Round(150.29560000,0)</f>
        <v>#VALUE!</v>
      </c>
      <c r="J5167" s="14" t="e">
        <f>=Round(0.00000000,0)</f>
        <v>#VALUE!</v>
      </c>
    </row>
    <row r="5168">
      <c r="A5168" s="11" t="s">
        <v>37</v>
      </c>
      <c r="B5168" s="12">
        <v>1686.858</v>
      </c>
      <c r="C5168" s="12">
        <v>0</v>
      </c>
      <c r="D5168" s="13">
        <v>0</v>
      </c>
      <c r="E5168" s="12">
        <v>0</v>
      </c>
      <c r="F5168" s="14">
        <v>0</v>
      </c>
      <c r="G5168" s="13">
        <v>2354.429</v>
      </c>
      <c r="H5168" s="14">
        <v>3971587.394082</v>
      </c>
      <c r="I5168" s="14" t="e">
        <f>=Round(150.29560000,0)</f>
        <v>#VALUE!</v>
      </c>
      <c r="J5168" s="14" t="e">
        <f>=Round(0.00000000,0)</f>
        <v>#VALUE!</v>
      </c>
    </row>
    <row r="5169">
      <c r="A5169" s="11" t="s">
        <v>38</v>
      </c>
      <c r="B5169" s="12">
        <v>1685.4893</v>
      </c>
      <c r="C5169" s="12">
        <v>0</v>
      </c>
      <c r="D5169" s="13">
        <v>0</v>
      </c>
      <c r="E5169" s="12">
        <v>0</v>
      </c>
      <c r="F5169" s="14">
        <v>0</v>
      </c>
      <c r="G5169" s="13">
        <v>2354.429</v>
      </c>
      <c r="H5169" s="14">
        <v>3968364.88711</v>
      </c>
      <c r="I5169" s="14" t="e">
        <f>=Round(149.61460000,0)</f>
        <v>#VALUE!</v>
      </c>
      <c r="J5169" s="14" t="e">
        <f>=Round(0.00000000,0)</f>
        <v>#VALUE!</v>
      </c>
    </row>
    <row r="5170">
      <c r="A5170" s="11" t="s">
        <v>39</v>
      </c>
      <c r="B5170" s="12">
        <v>1677.9056</v>
      </c>
      <c r="C5170" s="12">
        <v>0</v>
      </c>
      <c r="D5170" s="13">
        <v>0</v>
      </c>
      <c r="E5170" s="12">
        <v>0</v>
      </c>
      <c r="F5170" s="14">
        <v>0</v>
      </c>
      <c r="G5170" s="13">
        <v>2354.429</v>
      </c>
      <c r="H5170" s="14">
        <v>3950509.603902</v>
      </c>
      <c r="I5170" s="14" t="e">
        <f>=Round(149.49320000,0)</f>
        <v>#VALUE!</v>
      </c>
      <c r="J5170" s="14" t="e">
        <f>=Round(0.00000000,0)</f>
        <v>#VALUE!</v>
      </c>
    </row>
    <row r="5171">
      <c r="A5171" s="11" t="s">
        <v>40</v>
      </c>
      <c r="B5171" s="12">
        <v>1667.6693</v>
      </c>
      <c r="C5171" s="12">
        <v>0</v>
      </c>
      <c r="D5171" s="13">
        <v>0</v>
      </c>
      <c r="E5171" s="12">
        <v>0</v>
      </c>
      <c r="F5171" s="14">
        <v>0</v>
      </c>
      <c r="G5171" s="13">
        <v>2354.429</v>
      </c>
      <c r="H5171" s="14">
        <v>3926408.96233</v>
      </c>
      <c r="I5171" s="14" t="e">
        <f>=Round(148.82060000,0)</f>
        <v>#VALUE!</v>
      </c>
      <c r="J5171" s="14" t="e">
        <f>=Round(0.00000000,0)</f>
        <v>#VALUE!</v>
      </c>
    </row>
    <row r="5172">
      <c r="A5172" s="11" t="s">
        <v>41</v>
      </c>
      <c r="B5172" s="12">
        <v>1672.9358</v>
      </c>
      <c r="C5172" s="12">
        <v>0</v>
      </c>
      <c r="D5172" s="13">
        <v>0</v>
      </c>
      <c r="E5172" s="12">
        <v>0</v>
      </c>
      <c r="F5172" s="14">
        <v>0</v>
      </c>
      <c r="G5172" s="13">
        <v>2354.429</v>
      </c>
      <c r="H5172" s="14">
        <v>3938808.562658</v>
      </c>
      <c r="I5172" s="14" t="e">
        <f>=Round(147.91270000,0)</f>
        <v>#VALUE!</v>
      </c>
      <c r="J5172" s="14" t="e">
        <f>=Round(0.00000000,0)</f>
        <v>#VALUE!</v>
      </c>
    </row>
    <row r="5173">
      <c r="A5173" s="11" t="s">
        <v>42</v>
      </c>
      <c r="B5173" s="12">
        <v>1672.9358</v>
      </c>
      <c r="C5173" s="12">
        <v>0</v>
      </c>
      <c r="D5173" s="13">
        <v>0</v>
      </c>
      <c r="E5173" s="12">
        <v>0</v>
      </c>
      <c r="F5173" s="14">
        <v>0</v>
      </c>
      <c r="G5173" s="13">
        <v>2354.429</v>
      </c>
      <c r="H5173" s="14">
        <v>3938808.562658</v>
      </c>
      <c r="I5173" s="14" t="e">
        <f>=Round(148.37980000,0)</f>
        <v>#VALUE!</v>
      </c>
      <c r="J5173" s="14" t="e">
        <f>=Round(0.00000000,0)</f>
        <v>#VALUE!</v>
      </c>
    </row>
    <row r="5174">
      <c r="A5174" s="11" t="s">
        <v>43</v>
      </c>
      <c r="B5174" s="12">
        <v>1672.9358</v>
      </c>
      <c r="C5174" s="12">
        <v>0</v>
      </c>
      <c r="D5174" s="13">
        <v>0</v>
      </c>
      <c r="E5174" s="12">
        <v>0</v>
      </c>
      <c r="F5174" s="14">
        <v>0</v>
      </c>
      <c r="G5174" s="13">
        <v>2354.429</v>
      </c>
      <c r="H5174" s="14">
        <v>3938808.562658</v>
      </c>
      <c r="I5174" s="14" t="e">
        <f>=Round(148.37980000,0)</f>
        <v>#VALUE!</v>
      </c>
      <c r="J5174" s="14" t="e">
        <f>=Round(0.00000000,0)</f>
        <v>#VALUE!</v>
      </c>
    </row>
    <row r="5175">
      <c r="A5175" s="11" t="s">
        <v>44</v>
      </c>
      <c r="B5175" s="12">
        <v>1672.7866</v>
      </c>
      <c r="C5175" s="12">
        <v>0</v>
      </c>
      <c r="D5175" s="13">
        <v>0</v>
      </c>
      <c r="E5175" s="12">
        <v>0</v>
      </c>
      <c r="F5175" s="14">
        <v>0</v>
      </c>
      <c r="G5175" s="13">
        <v>2354.429</v>
      </c>
      <c r="H5175" s="14">
        <v>3938457.281851</v>
      </c>
      <c r="I5175" s="14" t="e">
        <f>=Round(148.37980000,0)</f>
        <v>#VALUE!</v>
      </c>
      <c r="J5175" s="14" t="e">
        <f>=Round(0.00000000,0)</f>
        <v>#VALUE!</v>
      </c>
    </row>
    <row r="5176">
      <c r="A5176" s="11" t="s">
        <v>45</v>
      </c>
      <c r="B5176" s="12">
        <v>1678.8917</v>
      </c>
      <c r="C5176" s="12">
        <v>0</v>
      </c>
      <c r="D5176" s="13">
        <v>0</v>
      </c>
      <c r="E5176" s="12">
        <v>0</v>
      </c>
      <c r="F5176" s="14">
        <v>0</v>
      </c>
      <c r="G5176" s="13">
        <v>2354.429</v>
      </c>
      <c r="H5176" s="14">
        <v>3952831.306339</v>
      </c>
      <c r="I5176" s="14" t="e">
        <f>=Round(148.36650000,0)</f>
        <v>#VALUE!</v>
      </c>
      <c r="J5176" s="14" t="e">
        <f>=Round(0.00000000,0)</f>
        <v>#VALUE!</v>
      </c>
    </row>
    <row r="5177">
      <c r="A5177" s="11" t="s">
        <v>46</v>
      </c>
      <c r="B5177" s="12">
        <v>1685.7783</v>
      </c>
      <c r="C5177" s="12">
        <v>0</v>
      </c>
      <c r="D5177" s="13">
        <v>0</v>
      </c>
      <c r="E5177" s="12">
        <v>0</v>
      </c>
      <c r="F5177" s="14">
        <v>0</v>
      </c>
      <c r="G5177" s="13">
        <v>2354.429</v>
      </c>
      <c r="H5177" s="14">
        <v>3969045.317091</v>
      </c>
      <c r="I5177" s="14" t="e">
        <f>=Round(148.90800000,0)</f>
        <v>#VALUE!</v>
      </c>
      <c r="J5177" s="14" t="e">
        <f>=Round(0.00000000,0)</f>
        <v>#VALUE!</v>
      </c>
    </row>
    <row r="5178">
      <c r="A5178" s="11" t="s">
        <v>47</v>
      </c>
      <c r="B5178" s="12">
        <v>1691.2871</v>
      </c>
      <c r="C5178" s="12">
        <v>0</v>
      </c>
      <c r="D5178" s="13">
        <v>0</v>
      </c>
      <c r="E5178" s="12">
        <v>0</v>
      </c>
      <c r="F5178" s="14">
        <v>0</v>
      </c>
      <c r="G5178" s="13">
        <v>2354.429</v>
      </c>
      <c r="H5178" s="14">
        <v>3982015.395566</v>
      </c>
      <c r="I5178" s="14" t="e">
        <f>=Round(149.51880000,0)</f>
        <v>#VALUE!</v>
      </c>
      <c r="J5178" s="14" t="e">
        <f>=Round(0.00000000,0)</f>
        <v>#VALUE!</v>
      </c>
    </row>
    <row r="5179">
      <c r="A5179" s="11" t="s">
        <v>48</v>
      </c>
      <c r="B5179" s="12">
        <v>1681.0981</v>
      </c>
      <c r="C5179" s="12">
        <v>0</v>
      </c>
      <c r="D5179" s="13">
        <v>0</v>
      </c>
      <c r="E5179" s="12">
        <v>0</v>
      </c>
      <c r="F5179" s="14">
        <v>0</v>
      </c>
      <c r="G5179" s="13">
        <v>2354.429</v>
      </c>
      <c r="H5179" s="14">
        <v>3958026.118485</v>
      </c>
      <c r="I5179" s="14" t="e">
        <f>=Round(150.00740000,0)</f>
        <v>#VALUE!</v>
      </c>
      <c r="J5179" s="14" t="e">
        <f>=Round(0.00000000,0)</f>
        <v>#VALUE!</v>
      </c>
    </row>
    <row r="5180">
      <c r="A5180" s="11" t="s">
        <v>49</v>
      </c>
      <c r="B5180" s="12">
        <v>1681.0981</v>
      </c>
      <c r="C5180" s="12">
        <v>0</v>
      </c>
      <c r="D5180" s="13">
        <v>0</v>
      </c>
      <c r="E5180" s="12">
        <v>0</v>
      </c>
      <c r="F5180" s="14">
        <v>0</v>
      </c>
      <c r="G5180" s="13">
        <v>2354.429</v>
      </c>
      <c r="H5180" s="14">
        <v>3958026.118485</v>
      </c>
      <c r="I5180" s="14" t="e">
        <f>=Round(149.10370000,0)</f>
        <v>#VALUE!</v>
      </c>
      <c r="J5180" s="14" t="e">
        <f>=Round(0.00000000,0)</f>
        <v>#VALUE!</v>
      </c>
    </row>
    <row r="5181">
      <c r="A5181" s="11" t="s">
        <v>50</v>
      </c>
      <c r="B5181" s="12">
        <v>1681.0981</v>
      </c>
      <c r="C5181" s="12">
        <v>0</v>
      </c>
      <c r="D5181" s="13">
        <v>0</v>
      </c>
      <c r="E5181" s="12">
        <v>0</v>
      </c>
      <c r="F5181" s="14">
        <v>0</v>
      </c>
      <c r="G5181" s="13">
        <v>2354.429</v>
      </c>
      <c r="H5181" s="14">
        <v>3958026.118485</v>
      </c>
      <c r="I5181" s="14" t="e">
        <f>=Round(149.10370000,0)</f>
        <v>#VALUE!</v>
      </c>
      <c r="J5181" s="14" t="e">
        <f>=Round(0.00000000,0)</f>
        <v>#VALUE!</v>
      </c>
    </row>
    <row r="5182">
      <c r="A5182" s="11" t="s">
        <v>51</v>
      </c>
      <c r="B5182" s="12">
        <v>1671.3084</v>
      </c>
      <c r="C5182" s="12">
        <v>0</v>
      </c>
      <c r="D5182" s="13">
        <v>0</v>
      </c>
      <c r="E5182" s="12">
        <v>0</v>
      </c>
      <c r="F5182" s="14">
        <v>0</v>
      </c>
      <c r="G5182" s="13">
        <v>2354.429</v>
      </c>
      <c r="H5182" s="14">
        <v>3934976.964904</v>
      </c>
      <c r="I5182" s="14" t="e">
        <f>=Round(149.10370000,0)</f>
        <v>#VALUE!</v>
      </c>
      <c r="J5182" s="14" t="e">
        <f>=Round(0.00000000,0)</f>
        <v>#VALUE!</v>
      </c>
    </row>
    <row r="5183">
      <c r="A5183" s="11" t="s">
        <v>52</v>
      </c>
      <c r="B5183" s="12">
        <v>1666.7814</v>
      </c>
      <c r="C5183" s="12">
        <v>0</v>
      </c>
      <c r="D5183" s="13">
        <v>0</v>
      </c>
      <c r="E5183" s="12">
        <v>0</v>
      </c>
      <c r="F5183" s="14">
        <v>0</v>
      </c>
      <c r="G5183" s="13">
        <v>2354.429</v>
      </c>
      <c r="H5183" s="14">
        <v>3924318.464821</v>
      </c>
      <c r="I5183" s="14" t="e">
        <f>=Round(148.23540000,0)</f>
        <v>#VALUE!</v>
      </c>
      <c r="J5183" s="14" t="e">
        <f>=Round(0.00000000,0)</f>
        <v>#VALUE!</v>
      </c>
    </row>
    <row r="5184">
      <c r="A5184" s="11" t="s">
        <v>53</v>
      </c>
      <c r="B5184" s="12">
        <v>1647.4448</v>
      </c>
      <c r="C5184" s="12">
        <v>0</v>
      </c>
      <c r="D5184" s="13">
        <v>0</v>
      </c>
      <c r="E5184" s="12">
        <v>0</v>
      </c>
      <c r="F5184" s="14">
        <v>0</v>
      </c>
      <c r="G5184" s="13">
        <v>2354.429</v>
      </c>
      <c r="H5184" s="14">
        <v>3878791.813019</v>
      </c>
      <c r="I5184" s="14" t="e">
        <f>=Round(147.83390000,0)</f>
        <v>#VALUE!</v>
      </c>
      <c r="J5184" s="14" t="e">
        <f>=Round(0.00000000,0)</f>
        <v>#VALUE!</v>
      </c>
    </row>
    <row r="5185">
      <c r="A5185" s="11" t="s">
        <v>54</v>
      </c>
      <c r="B5185" s="12">
        <v>1631.4758</v>
      </c>
      <c r="C5185" s="12">
        <v>0</v>
      </c>
      <c r="D5185" s="13">
        <v>0</v>
      </c>
      <c r="E5185" s="12">
        <v>0</v>
      </c>
      <c r="F5185" s="14">
        <v>0</v>
      </c>
      <c r="G5185" s="13">
        <v>2354.429</v>
      </c>
      <c r="H5185" s="14">
        <v>3841193.936318</v>
      </c>
      <c r="I5185" s="14" t="e">
        <f>=Round(146.11890000,0)</f>
        <v>#VALUE!</v>
      </c>
      <c r="J5185" s="14" t="e">
        <f>=Round(0.00000000,0)</f>
        <v>#VALUE!</v>
      </c>
    </row>
    <row r="5186">
      <c r="A5186" s="11" t="s">
        <v>55</v>
      </c>
      <c r="B5186" s="12">
        <v>1613.9929</v>
      </c>
      <c r="C5186" s="12">
        <v>0</v>
      </c>
      <c r="D5186" s="13">
        <v>0</v>
      </c>
      <c r="E5186" s="12">
        <v>0</v>
      </c>
      <c r="F5186" s="14">
        <v>0</v>
      </c>
      <c r="G5186" s="13">
        <v>2354.429</v>
      </c>
      <c r="H5186" s="14">
        <v>3800031.689554</v>
      </c>
      <c r="I5186" s="14" t="e">
        <f>=Round(144.70250000,0)</f>
        <v>#VALUE!</v>
      </c>
      <c r="J5186" s="14" t="e">
        <f>=Round(0.00000000,0)</f>
        <v>#VALUE!</v>
      </c>
    </row>
    <row r="5187" ht="-1">
      <c r="A5187" s="15"/>
      <c r="B5187" s="16" t="s">
        <v>56</v>
      </c>
      <c r="C5187" s="15"/>
      <c r="D5187" s="15"/>
      <c r="E5187" s="15"/>
      <c r="F5187" s="15"/>
      <c r="G5187" s="15"/>
      <c r="H5187" s="15"/>
      <c r="I5187" s="17" t="e">
        <f>=Round(SUM(I5161:I5186),0)</f>
        <v>#VALUE!</v>
      </c>
      <c r="J5187" s="17" t="e">
        <f>=Round(SUM(J5161:J5186),0)</f>
        <v>#VALUE!</v>
      </c>
    </row>
    <row r="5188">
      <c r="A5188" s="1" t="s">
        <v>0</v>
      </c>
      <c r="B5188" s="1"/>
      <c r="C5188" s="1"/>
      <c r="D5188" s="1"/>
    </row>
    <row r="5189">
      <c r="A5189" s="0" t="s">
        <v>1</v>
      </c>
      <c r="C5189" s="0" t="s">
        <v>192</v>
      </c>
      <c r="H5189" s="2" t="s">
        <v>3</v>
      </c>
    </row>
    <row r="5190">
      <c r="A5190" s="0" t="s">
        <v>4</v>
      </c>
      <c r="C5190" s="0" t="s">
        <v>196</v>
      </c>
      <c r="H5190" s="3" t="s">
        <v>6</v>
      </c>
    </row>
    <row r="5191">
      <c r="A5191" s="0" t="s">
        <v>7</v>
      </c>
      <c r="C5191" s="4" t="s">
        <v>194</v>
      </c>
      <c r="H5191" s="2" t="s">
        <v>9</v>
      </c>
    </row>
    <row r="5192">
      <c r="A5192" s="0" t="s">
        <v>10</v>
      </c>
      <c r="C5192" s="4" t="s">
        <v>11</v>
      </c>
      <c r="H5192" s="2" t="s">
        <v>12</v>
      </c>
    </row>
    <row r="5193">
      <c r="A5193" s="0" t="s">
        <v>13</v>
      </c>
      <c r="C5193" s="0" t="s">
        <v>14</v>
      </c>
    </row>
    <row r="5194">
      <c r="A5194" s="0" t="s">
        <v>15</v>
      </c>
      <c r="C5194" s="0" t="s">
        <v>16</v>
      </c>
    </row>
    <row r="5195">
      <c r="A5195" s="0" t="s">
        <v>17</v>
      </c>
      <c r="C5195" s="0" t="s">
        <v>18</v>
      </c>
    </row>
    <row r="5198">
      <c r="A5198" s="5" t="s">
        <v>19</v>
      </c>
      <c r="B5198" s="5" t="s">
        <v>20</v>
      </c>
      <c r="C5198" s="7" t="s">
        <v>21</v>
      </c>
      <c r="D5198" s="9"/>
      <c r="E5198" s="7" t="s">
        <v>22</v>
      </c>
      <c r="F5198" s="9"/>
      <c r="G5198" s="5" t="s">
        <v>23</v>
      </c>
      <c r="H5198" s="5" t="s">
        <v>24</v>
      </c>
      <c r="I5198" s="5" t="s">
        <v>195</v>
      </c>
      <c r="J5198" s="5" t="s">
        <v>26</v>
      </c>
    </row>
    <row r="5199">
      <c r="A5199" s="6"/>
      <c r="B5199" s="6"/>
      <c r="C5199" s="8" t="s">
        <v>27</v>
      </c>
      <c r="D5199" s="8" t="s">
        <v>28</v>
      </c>
      <c r="E5199" s="8" t="s">
        <v>27</v>
      </c>
      <c r="F5199" s="8" t="s">
        <v>28</v>
      </c>
      <c r="G5199" s="6"/>
      <c r="H5199" s="6"/>
      <c r="I5199" s="10" t="s">
        <v>29</v>
      </c>
      <c r="J5199" s="6"/>
    </row>
    <row r="5200">
      <c r="A5200" s="11" t="s">
        <v>30</v>
      </c>
      <c r="B5200" s="12">
        <v>1677.4582</v>
      </c>
      <c r="C5200" s="12">
        <v>0</v>
      </c>
      <c r="D5200" s="13">
        <v>0</v>
      </c>
      <c r="E5200" s="12">
        <v>0</v>
      </c>
      <c r="F5200" s="14">
        <v>0</v>
      </c>
      <c r="G5200" s="13">
        <v>6092.9977</v>
      </c>
      <c r="H5200" s="14">
        <v>10220748.954446</v>
      </c>
      <c r="I5200" s="14" t="e">
        <f>=Round(387.02220000,0)</f>
        <v>#VALUE!</v>
      </c>
      <c r="J5200" s="14" t="e">
        <f>=Round(0.00000000,0)</f>
        <v>#VALUE!</v>
      </c>
    </row>
    <row r="5201">
      <c r="A5201" s="11" t="s">
        <v>31</v>
      </c>
      <c r="B5201" s="12">
        <v>1685.5728</v>
      </c>
      <c r="C5201" s="12">
        <v>0</v>
      </c>
      <c r="D5201" s="13">
        <v>0</v>
      </c>
      <c r="E5201" s="12">
        <v>0</v>
      </c>
      <c r="F5201" s="14">
        <v>0</v>
      </c>
      <c r="G5201" s="13">
        <v>6092.9977</v>
      </c>
      <c r="H5201" s="14">
        <v>10270191.193583</v>
      </c>
      <c r="I5201" s="14" t="e">
        <f>=Round(385.02820000,0)</f>
        <v>#VALUE!</v>
      </c>
      <c r="J5201" s="14" t="e">
        <f>=Round(0.00000000,0)</f>
        <v>#VALUE!</v>
      </c>
    </row>
    <row r="5202">
      <c r="A5202" s="11" t="s">
        <v>32</v>
      </c>
      <c r="B5202" s="12">
        <v>1695.5297</v>
      </c>
      <c r="C5202" s="12">
        <v>0</v>
      </c>
      <c r="D5202" s="13">
        <v>0</v>
      </c>
      <c r="E5202" s="12">
        <v>0</v>
      </c>
      <c r="F5202" s="14">
        <v>0</v>
      </c>
      <c r="G5202" s="13">
        <v>6092.9977</v>
      </c>
      <c r="H5202" s="14">
        <v>10330858.562382</v>
      </c>
      <c r="I5202" s="14" t="e">
        <f>=Round(386.89080000,0)</f>
        <v>#VALUE!</v>
      </c>
      <c r="J5202" s="14" t="e">
        <f>=Round(0.00000000,0)</f>
        <v>#VALUE!</v>
      </c>
    </row>
    <row r="5203">
      <c r="A5203" s="11" t="s">
        <v>33</v>
      </c>
      <c r="B5203" s="12">
        <v>1694.4162</v>
      </c>
      <c r="C5203" s="12">
        <v>0</v>
      </c>
      <c r="D5203" s="13">
        <v>0</v>
      </c>
      <c r="E5203" s="12">
        <v>0</v>
      </c>
      <c r="F5203" s="14">
        <v>0</v>
      </c>
      <c r="G5203" s="13">
        <v>6092.9977</v>
      </c>
      <c r="H5203" s="14">
        <v>10324074.009443</v>
      </c>
      <c r="I5203" s="14" t="e">
        <f>=Round(389.17620000,0)</f>
        <v>#VALUE!</v>
      </c>
      <c r="J5203" s="14" t="e">
        <f>=Round(0.00000000,0)</f>
        <v>#VALUE!</v>
      </c>
    </row>
    <row r="5204">
      <c r="A5204" s="11" t="s">
        <v>34</v>
      </c>
      <c r="B5204" s="12">
        <v>1694.5359</v>
      </c>
      <c r="C5204" s="12">
        <v>0</v>
      </c>
      <c r="D5204" s="13">
        <v>0</v>
      </c>
      <c r="E5204" s="12">
        <v>0</v>
      </c>
      <c r="F5204" s="14">
        <v>0</v>
      </c>
      <c r="G5204" s="13">
        <v>6092.9977</v>
      </c>
      <c r="H5204" s="14">
        <v>10324803.341267</v>
      </c>
      <c r="I5204" s="14" t="e">
        <f>=Round(388.92060000,0)</f>
        <v>#VALUE!</v>
      </c>
      <c r="J5204" s="14" t="e">
        <f>=Round(0.00000000,0)</f>
        <v>#VALUE!</v>
      </c>
    </row>
    <row r="5205">
      <c r="A5205" s="11" t="s">
        <v>35</v>
      </c>
      <c r="B5205" s="12">
        <v>1694.5359</v>
      </c>
      <c r="C5205" s="12">
        <v>0</v>
      </c>
      <c r="D5205" s="13">
        <v>0</v>
      </c>
      <c r="E5205" s="12">
        <v>0</v>
      </c>
      <c r="F5205" s="14">
        <v>0</v>
      </c>
      <c r="G5205" s="13">
        <v>6092.9977</v>
      </c>
      <c r="H5205" s="14">
        <v>10324803.341267</v>
      </c>
      <c r="I5205" s="14" t="e">
        <f>=Round(388.94810000,0)</f>
        <v>#VALUE!</v>
      </c>
      <c r="J5205" s="14" t="e">
        <f>=Round(0.00000000,0)</f>
        <v>#VALUE!</v>
      </c>
    </row>
    <row r="5206">
      <c r="A5206" s="11" t="s">
        <v>36</v>
      </c>
      <c r="B5206" s="12">
        <v>1694.5359</v>
      </c>
      <c r="C5206" s="12">
        <v>0</v>
      </c>
      <c r="D5206" s="13">
        <v>0</v>
      </c>
      <c r="E5206" s="12">
        <v>0</v>
      </c>
      <c r="F5206" s="14">
        <v>0</v>
      </c>
      <c r="G5206" s="13">
        <v>6092.9977</v>
      </c>
      <c r="H5206" s="14">
        <v>10324803.341267</v>
      </c>
      <c r="I5206" s="14" t="e">
        <f>=Round(388.94810000,0)</f>
        <v>#VALUE!</v>
      </c>
      <c r="J5206" s="14" t="e">
        <f>=Round(0.00000000,0)</f>
        <v>#VALUE!</v>
      </c>
    </row>
    <row r="5207">
      <c r="A5207" s="11" t="s">
        <v>37</v>
      </c>
      <c r="B5207" s="12">
        <v>1686.858</v>
      </c>
      <c r="C5207" s="12">
        <v>0</v>
      </c>
      <c r="D5207" s="13">
        <v>0</v>
      </c>
      <c r="E5207" s="12">
        <v>0</v>
      </c>
      <c r="F5207" s="14">
        <v>0</v>
      </c>
      <c r="G5207" s="13">
        <v>6092.9977</v>
      </c>
      <c r="H5207" s="14">
        <v>10278021.914227</v>
      </c>
      <c r="I5207" s="14" t="e">
        <f>=Round(388.94810000,0)</f>
        <v>#VALUE!</v>
      </c>
      <c r="J5207" s="14" t="e">
        <f>=Round(0.00000000,0)</f>
        <v>#VALUE!</v>
      </c>
    </row>
    <row r="5208">
      <c r="A5208" s="11" t="s">
        <v>38</v>
      </c>
      <c r="B5208" s="12">
        <v>1685.4893</v>
      </c>
      <c r="C5208" s="12">
        <v>0</v>
      </c>
      <c r="D5208" s="13">
        <v>0</v>
      </c>
      <c r="E5208" s="12">
        <v>0</v>
      </c>
      <c r="F5208" s="14">
        <v>0</v>
      </c>
      <c r="G5208" s="13">
        <v>6092.9977</v>
      </c>
      <c r="H5208" s="14">
        <v>10269682.428275</v>
      </c>
      <c r="I5208" s="14" t="e">
        <f>=Round(387.18580000,0)</f>
        <v>#VALUE!</v>
      </c>
      <c r="J5208" s="14" t="e">
        <f>=Round(0.00000000,0)</f>
        <v>#VALUE!</v>
      </c>
    </row>
    <row r="5209">
      <c r="A5209" s="11" t="s">
        <v>39</v>
      </c>
      <c r="B5209" s="12">
        <v>1677.9056</v>
      </c>
      <c r="C5209" s="12">
        <v>0</v>
      </c>
      <c r="D5209" s="13">
        <v>0</v>
      </c>
      <c r="E5209" s="12">
        <v>0</v>
      </c>
      <c r="F5209" s="14">
        <v>0</v>
      </c>
      <c r="G5209" s="13">
        <v>6092.9977</v>
      </c>
      <c r="H5209" s="14">
        <v>10223474.961617</v>
      </c>
      <c r="I5209" s="14" t="e">
        <f>=Round(386.87160000,0)</f>
        <v>#VALUE!</v>
      </c>
      <c r="J5209" s="14" t="e">
        <f>=Round(0.00000000,0)</f>
        <v>#VALUE!</v>
      </c>
    </row>
    <row r="5210">
      <c r="A5210" s="11" t="s">
        <v>40</v>
      </c>
      <c r="B5210" s="12">
        <v>1667.6693</v>
      </c>
      <c r="C5210" s="12">
        <v>0</v>
      </c>
      <c r="D5210" s="13">
        <v>0</v>
      </c>
      <c r="E5210" s="12">
        <v>0</v>
      </c>
      <c r="F5210" s="14">
        <v>0</v>
      </c>
      <c r="G5210" s="13">
        <v>6092.9977</v>
      </c>
      <c r="H5210" s="14">
        <v>10161105.209261</v>
      </c>
      <c r="I5210" s="14" t="e">
        <f>=Round(385.13090000,0)</f>
        <v>#VALUE!</v>
      </c>
      <c r="J5210" s="14" t="e">
        <f>=Round(0.00000000,0)</f>
        <v>#VALUE!</v>
      </c>
    </row>
    <row r="5211">
      <c r="A5211" s="11" t="s">
        <v>41</v>
      </c>
      <c r="B5211" s="12">
        <v>1672.9358</v>
      </c>
      <c r="C5211" s="12">
        <v>0</v>
      </c>
      <c r="D5211" s="13">
        <v>0</v>
      </c>
      <c r="E5211" s="12">
        <v>0</v>
      </c>
      <c r="F5211" s="14">
        <v>0</v>
      </c>
      <c r="G5211" s="13">
        <v>6092.9977</v>
      </c>
      <c r="H5211" s="14">
        <v>10193193.981648</v>
      </c>
      <c r="I5211" s="14" t="e">
        <f>=Round(382.78140000,0)</f>
        <v>#VALUE!</v>
      </c>
      <c r="J5211" s="14" t="e">
        <f>=Round(0.00000000,0)</f>
        <v>#VALUE!</v>
      </c>
    </row>
    <row r="5212">
      <c r="A5212" s="11" t="s">
        <v>42</v>
      </c>
      <c r="B5212" s="12">
        <v>1672.9358</v>
      </c>
      <c r="C5212" s="12">
        <v>0</v>
      </c>
      <c r="D5212" s="13">
        <v>0</v>
      </c>
      <c r="E5212" s="12">
        <v>0</v>
      </c>
      <c r="F5212" s="14">
        <v>0</v>
      </c>
      <c r="G5212" s="13">
        <v>6092.9977</v>
      </c>
      <c r="H5212" s="14">
        <v>10193193.981648</v>
      </c>
      <c r="I5212" s="14" t="e">
        <f>=Round(383.99020000,0)</f>
        <v>#VALUE!</v>
      </c>
      <c r="J5212" s="14" t="e">
        <f>=Round(0.00000000,0)</f>
        <v>#VALUE!</v>
      </c>
    </row>
    <row r="5213">
      <c r="A5213" s="11" t="s">
        <v>43</v>
      </c>
      <c r="B5213" s="12">
        <v>1672.9358</v>
      </c>
      <c r="C5213" s="12">
        <v>0</v>
      </c>
      <c r="D5213" s="13">
        <v>0</v>
      </c>
      <c r="E5213" s="12">
        <v>0</v>
      </c>
      <c r="F5213" s="14">
        <v>0</v>
      </c>
      <c r="G5213" s="13">
        <v>6092.9977</v>
      </c>
      <c r="H5213" s="14">
        <v>10193193.981648</v>
      </c>
      <c r="I5213" s="14" t="e">
        <f>=Round(383.99020000,0)</f>
        <v>#VALUE!</v>
      </c>
      <c r="J5213" s="14" t="e">
        <f>=Round(0.00000000,0)</f>
        <v>#VALUE!</v>
      </c>
    </row>
    <row r="5214">
      <c r="A5214" s="11" t="s">
        <v>44</v>
      </c>
      <c r="B5214" s="12">
        <v>1672.7866</v>
      </c>
      <c r="C5214" s="12">
        <v>0</v>
      </c>
      <c r="D5214" s="13">
        <v>0</v>
      </c>
      <c r="E5214" s="12">
        <v>0</v>
      </c>
      <c r="F5214" s="14">
        <v>0</v>
      </c>
      <c r="G5214" s="13">
        <v>6092.9977</v>
      </c>
      <c r="H5214" s="14">
        <v>10192284.906391</v>
      </c>
      <c r="I5214" s="14" t="e">
        <f>=Round(383.99020000,0)</f>
        <v>#VALUE!</v>
      </c>
      <c r="J5214" s="14" t="e">
        <f>=Round(0.00000000,0)</f>
        <v>#VALUE!</v>
      </c>
    </row>
    <row r="5215">
      <c r="A5215" s="11" t="s">
        <v>45</v>
      </c>
      <c r="B5215" s="12">
        <v>1678.8917</v>
      </c>
      <c r="C5215" s="12">
        <v>0</v>
      </c>
      <c r="D5215" s="13">
        <v>0</v>
      </c>
      <c r="E5215" s="12">
        <v>0</v>
      </c>
      <c r="F5215" s="14">
        <v>0</v>
      </c>
      <c r="G5215" s="13">
        <v>6092.9977</v>
      </c>
      <c r="H5215" s="14">
        <v>10229483.266649</v>
      </c>
      <c r="I5215" s="14" t="e">
        <f>=Round(383.95590000,0)</f>
        <v>#VALUE!</v>
      </c>
      <c r="J5215" s="14" t="e">
        <f>=Round(0.00000000,0)</f>
        <v>#VALUE!</v>
      </c>
    </row>
    <row r="5216">
      <c r="A5216" s="11" t="s">
        <v>46</v>
      </c>
      <c r="B5216" s="12">
        <v>1685.7783</v>
      </c>
      <c r="C5216" s="12">
        <v>0</v>
      </c>
      <c r="D5216" s="13">
        <v>0</v>
      </c>
      <c r="E5216" s="12">
        <v>0</v>
      </c>
      <c r="F5216" s="14">
        <v>0</v>
      </c>
      <c r="G5216" s="13">
        <v>6092.9977</v>
      </c>
      <c r="H5216" s="14">
        <v>10271443.30461</v>
      </c>
      <c r="I5216" s="14" t="e">
        <f>=Round(385.35720000,0)</f>
        <v>#VALUE!</v>
      </c>
      <c r="J5216" s="14" t="e">
        <f>=Round(0.00000000,0)</f>
        <v>#VALUE!</v>
      </c>
    </row>
    <row r="5217">
      <c r="A5217" s="11" t="s">
        <v>47</v>
      </c>
      <c r="B5217" s="12">
        <v>1691.2871</v>
      </c>
      <c r="C5217" s="12">
        <v>0</v>
      </c>
      <c r="D5217" s="13">
        <v>0</v>
      </c>
      <c r="E5217" s="12">
        <v>0</v>
      </c>
      <c r="F5217" s="14">
        <v>0</v>
      </c>
      <c r="G5217" s="13">
        <v>6092.9977</v>
      </c>
      <c r="H5217" s="14">
        <v>10305008.41034</v>
      </c>
      <c r="I5217" s="14" t="e">
        <f>=Round(386.93790000,0)</f>
        <v>#VALUE!</v>
      </c>
      <c r="J5217" s="14" t="e">
        <f>=Round(0.00000000,0)</f>
        <v>#VALUE!</v>
      </c>
    </row>
    <row r="5218">
      <c r="A5218" s="11" t="s">
        <v>48</v>
      </c>
      <c r="B5218" s="12">
        <v>1681.0981</v>
      </c>
      <c r="C5218" s="12">
        <v>0</v>
      </c>
      <c r="D5218" s="13">
        <v>0</v>
      </c>
      <c r="E5218" s="12">
        <v>0</v>
      </c>
      <c r="F5218" s="14">
        <v>0</v>
      </c>
      <c r="G5218" s="13">
        <v>6092.9977</v>
      </c>
      <c r="H5218" s="14">
        <v>10242926.856774</v>
      </c>
      <c r="I5218" s="14" t="e">
        <f>=Round(388.20240000,0)</f>
        <v>#VALUE!</v>
      </c>
      <c r="J5218" s="14" t="e">
        <f>=Round(0.00000000,0)</f>
        <v>#VALUE!</v>
      </c>
    </row>
    <row r="5219">
      <c r="A5219" s="11" t="s">
        <v>49</v>
      </c>
      <c r="B5219" s="12">
        <v>1681.0981</v>
      </c>
      <c r="C5219" s="12">
        <v>0</v>
      </c>
      <c r="D5219" s="13">
        <v>0</v>
      </c>
      <c r="E5219" s="12">
        <v>0</v>
      </c>
      <c r="F5219" s="14">
        <v>0</v>
      </c>
      <c r="G5219" s="13">
        <v>6092.9977</v>
      </c>
      <c r="H5219" s="14">
        <v>10242926.856774</v>
      </c>
      <c r="I5219" s="14" t="e">
        <f>=Round(385.86370000,0)</f>
        <v>#VALUE!</v>
      </c>
      <c r="J5219" s="14" t="e">
        <f>=Round(0.00000000,0)</f>
        <v>#VALUE!</v>
      </c>
    </row>
    <row r="5220">
      <c r="A5220" s="11" t="s">
        <v>50</v>
      </c>
      <c r="B5220" s="12">
        <v>1681.0981</v>
      </c>
      <c r="C5220" s="12">
        <v>0</v>
      </c>
      <c r="D5220" s="13">
        <v>0</v>
      </c>
      <c r="E5220" s="12">
        <v>0</v>
      </c>
      <c r="F5220" s="14">
        <v>0</v>
      </c>
      <c r="G5220" s="13">
        <v>6092.9977</v>
      </c>
      <c r="H5220" s="14">
        <v>10242926.856774</v>
      </c>
      <c r="I5220" s="14" t="e">
        <f>=Round(385.86370000,0)</f>
        <v>#VALUE!</v>
      </c>
      <c r="J5220" s="14" t="e">
        <f>=Round(0.00000000,0)</f>
        <v>#VALUE!</v>
      </c>
    </row>
    <row r="5221">
      <c r="A5221" s="11" t="s">
        <v>51</v>
      </c>
      <c r="B5221" s="12">
        <v>1671.3084</v>
      </c>
      <c r="C5221" s="12">
        <v>0</v>
      </c>
      <c r="D5221" s="13">
        <v>0</v>
      </c>
      <c r="E5221" s="12">
        <v>0</v>
      </c>
      <c r="F5221" s="14">
        <v>0</v>
      </c>
      <c r="G5221" s="13">
        <v>6092.9977</v>
      </c>
      <c r="H5221" s="14">
        <v>10183278.237191</v>
      </c>
      <c r="I5221" s="14" t="e">
        <f>=Round(385.86370000,0)</f>
        <v>#VALUE!</v>
      </c>
      <c r="J5221" s="14" t="e">
        <f>=Round(0.00000000,0)</f>
        <v>#VALUE!</v>
      </c>
    </row>
    <row r="5222">
      <c r="A5222" s="11" t="s">
        <v>52</v>
      </c>
      <c r="B5222" s="12">
        <v>1666.7814</v>
      </c>
      <c r="C5222" s="12">
        <v>0</v>
      </c>
      <c r="D5222" s="13">
        <v>0</v>
      </c>
      <c r="E5222" s="12">
        <v>0</v>
      </c>
      <c r="F5222" s="14">
        <v>0</v>
      </c>
      <c r="G5222" s="13">
        <v>6092.9977</v>
      </c>
      <c r="H5222" s="14">
        <v>10155695.236603</v>
      </c>
      <c r="I5222" s="14" t="e">
        <f>=Round(383.61660000,0)</f>
        <v>#VALUE!</v>
      </c>
      <c r="J5222" s="14" t="e">
        <f>=Round(0.00000000,0)</f>
        <v>#VALUE!</v>
      </c>
    </row>
    <row r="5223">
      <c r="A5223" s="11" t="s">
        <v>53</v>
      </c>
      <c r="B5223" s="12">
        <v>1647.4448</v>
      </c>
      <c r="C5223" s="12">
        <v>0</v>
      </c>
      <c r="D5223" s="13">
        <v>0</v>
      </c>
      <c r="E5223" s="12">
        <v>0</v>
      </c>
      <c r="F5223" s="14">
        <v>0</v>
      </c>
      <c r="G5223" s="13">
        <v>6092.9977</v>
      </c>
      <c r="H5223" s="14">
        <v>10037877.377277</v>
      </c>
      <c r="I5223" s="14" t="e">
        <f>=Round(382.57760000,0)</f>
        <v>#VALUE!</v>
      </c>
      <c r="J5223" s="14" t="e">
        <f>=Round(0.00000000,0)</f>
        <v>#VALUE!</v>
      </c>
    </row>
    <row r="5224">
      <c r="A5224" s="11" t="s">
        <v>54</v>
      </c>
      <c r="B5224" s="12">
        <v>1631.4758</v>
      </c>
      <c r="C5224" s="12">
        <v>0</v>
      </c>
      <c r="D5224" s="13">
        <v>0</v>
      </c>
      <c r="E5224" s="12">
        <v>0</v>
      </c>
      <c r="F5224" s="14">
        <v>0</v>
      </c>
      <c r="G5224" s="13">
        <v>6092.9977</v>
      </c>
      <c r="H5224" s="14">
        <v>9940578.297006</v>
      </c>
      <c r="I5224" s="14" t="e">
        <f>=Round(378.13920000,0)</f>
        <v>#VALUE!</v>
      </c>
      <c r="J5224" s="14" t="e">
        <f>=Round(0.00000000,0)</f>
        <v>#VALUE!</v>
      </c>
    </row>
    <row r="5225">
      <c r="A5225" s="11" t="s">
        <v>55</v>
      </c>
      <c r="B5225" s="12">
        <v>1613.9929</v>
      </c>
      <c r="C5225" s="12">
        <v>0</v>
      </c>
      <c r="D5225" s="13">
        <v>0</v>
      </c>
      <c r="E5225" s="12">
        <v>0</v>
      </c>
      <c r="F5225" s="14">
        <v>0</v>
      </c>
      <c r="G5225" s="13">
        <v>6092.9977</v>
      </c>
      <c r="H5225" s="14">
        <v>9834055.027516</v>
      </c>
      <c r="I5225" s="14" t="e">
        <f>=Round(374.47380000,0)</f>
        <v>#VALUE!</v>
      </c>
      <c r="J5225" s="14" t="e">
        <f>=Round(0.00000000,0)</f>
        <v>#VALUE!</v>
      </c>
    </row>
    <row r="5226" ht="-1">
      <c r="A5226" s="15"/>
      <c r="B5226" s="16" t="s">
        <v>56</v>
      </c>
      <c r="C5226" s="15"/>
      <c r="D5226" s="15"/>
      <c r="E5226" s="15"/>
      <c r="F5226" s="15"/>
      <c r="G5226" s="15"/>
      <c r="H5226" s="15"/>
      <c r="I5226" s="17" t="e">
        <f>=Round(SUM(I5200:I5225),0)</f>
        <v>#VALUE!</v>
      </c>
      <c r="J5226" s="17" t="e">
        <f>=Round(SUM(J5200:J5225),0)</f>
        <v>#VALUE!</v>
      </c>
    </row>
    <row r="5227">
      <c r="A5227" s="1" t="s">
        <v>0</v>
      </c>
      <c r="B5227" s="1"/>
      <c r="C5227" s="1"/>
      <c r="D5227" s="1"/>
    </row>
    <row r="5228">
      <c r="A5228" s="0" t="s">
        <v>1</v>
      </c>
      <c r="C5228" s="0" t="s">
        <v>192</v>
      </c>
      <c r="H5228" s="2" t="s">
        <v>3</v>
      </c>
    </row>
    <row r="5229">
      <c r="A5229" s="0" t="s">
        <v>4</v>
      </c>
      <c r="C5229" s="0" t="s">
        <v>197</v>
      </c>
      <c r="H5229" s="3" t="s">
        <v>6</v>
      </c>
    </row>
    <row r="5230">
      <c r="A5230" s="0" t="s">
        <v>7</v>
      </c>
      <c r="C5230" s="4" t="s">
        <v>194</v>
      </c>
      <c r="H5230" s="2" t="s">
        <v>9</v>
      </c>
    </row>
    <row r="5231">
      <c r="A5231" s="0" t="s">
        <v>10</v>
      </c>
      <c r="C5231" s="4" t="s">
        <v>11</v>
      </c>
      <c r="H5231" s="2" t="s">
        <v>12</v>
      </c>
    </row>
    <row r="5232">
      <c r="A5232" s="0" t="s">
        <v>13</v>
      </c>
      <c r="C5232" s="0" t="s">
        <v>14</v>
      </c>
    </row>
    <row r="5233">
      <c r="A5233" s="0" t="s">
        <v>15</v>
      </c>
      <c r="C5233" s="0" t="s">
        <v>16</v>
      </c>
    </row>
    <row r="5234">
      <c r="A5234" s="0" t="s">
        <v>17</v>
      </c>
      <c r="C5234" s="0" t="s">
        <v>18</v>
      </c>
    </row>
    <row r="5237">
      <c r="A5237" s="5" t="s">
        <v>19</v>
      </c>
      <c r="B5237" s="5" t="s">
        <v>20</v>
      </c>
      <c r="C5237" s="7" t="s">
        <v>21</v>
      </c>
      <c r="D5237" s="9"/>
      <c r="E5237" s="7" t="s">
        <v>22</v>
      </c>
      <c r="F5237" s="9"/>
      <c r="G5237" s="5" t="s">
        <v>23</v>
      </c>
      <c r="H5237" s="5" t="s">
        <v>24</v>
      </c>
      <c r="I5237" s="5" t="s">
        <v>195</v>
      </c>
      <c r="J5237" s="5" t="s">
        <v>26</v>
      </c>
    </row>
    <row r="5238">
      <c r="A5238" s="6"/>
      <c r="B5238" s="6"/>
      <c r="C5238" s="8" t="s">
        <v>27</v>
      </c>
      <c r="D5238" s="8" t="s">
        <v>28</v>
      </c>
      <c r="E5238" s="8" t="s">
        <v>27</v>
      </c>
      <c r="F5238" s="8" t="s">
        <v>28</v>
      </c>
      <c r="G5238" s="6"/>
      <c r="H5238" s="6"/>
      <c r="I5238" s="10" t="s">
        <v>29</v>
      </c>
      <c r="J5238" s="6"/>
    </row>
    <row r="5239">
      <c r="A5239" s="11" t="s">
        <v>30</v>
      </c>
      <c r="B5239" s="12">
        <v>1677.4582</v>
      </c>
      <c r="C5239" s="12">
        <v>0</v>
      </c>
      <c r="D5239" s="13">
        <v>0</v>
      </c>
      <c r="E5239" s="12">
        <v>0</v>
      </c>
      <c r="F5239" s="14">
        <v>0</v>
      </c>
      <c r="G5239" s="13">
        <v>1011.0771</v>
      </c>
      <c r="H5239" s="14">
        <v>1696039.572227</v>
      </c>
      <c r="I5239" s="14" t="e">
        <f>=Round(64.22280000,0)</f>
        <v>#VALUE!</v>
      </c>
      <c r="J5239" s="14" t="e">
        <f>=Round(0.00000000,0)</f>
        <v>#VALUE!</v>
      </c>
    </row>
    <row r="5240">
      <c r="A5240" s="11" t="s">
        <v>31</v>
      </c>
      <c r="B5240" s="12">
        <v>1685.5728</v>
      </c>
      <c r="C5240" s="12">
        <v>0</v>
      </c>
      <c r="D5240" s="13">
        <v>0</v>
      </c>
      <c r="E5240" s="12">
        <v>0</v>
      </c>
      <c r="F5240" s="14">
        <v>0</v>
      </c>
      <c r="G5240" s="13">
        <v>1011.0771</v>
      </c>
      <c r="H5240" s="14">
        <v>1704244.058463</v>
      </c>
      <c r="I5240" s="14" t="e">
        <f>=Round(63.89190000,0)</f>
        <v>#VALUE!</v>
      </c>
      <c r="J5240" s="14" t="e">
        <f>=Round(0.00000000,0)</f>
        <v>#VALUE!</v>
      </c>
    </row>
    <row r="5241">
      <c r="A5241" s="11" t="s">
        <v>32</v>
      </c>
      <c r="B5241" s="12">
        <v>1695.5297</v>
      </c>
      <c r="C5241" s="12">
        <v>0</v>
      </c>
      <c r="D5241" s="13">
        <v>0</v>
      </c>
      <c r="E5241" s="12">
        <v>0</v>
      </c>
      <c r="F5241" s="14">
        <v>0</v>
      </c>
      <c r="G5241" s="13">
        <v>1011.0771</v>
      </c>
      <c r="H5241" s="14">
        <v>1714311.25204</v>
      </c>
      <c r="I5241" s="14" t="e">
        <f>=Round(64.20100000,0)</f>
        <v>#VALUE!</v>
      </c>
      <c r="J5241" s="14" t="e">
        <f>=Round(0.00000000,0)</f>
        <v>#VALUE!</v>
      </c>
    </row>
    <row r="5242">
      <c r="A5242" s="11" t="s">
        <v>33</v>
      </c>
      <c r="B5242" s="12">
        <v>1694.4162</v>
      </c>
      <c r="C5242" s="12">
        <v>0</v>
      </c>
      <c r="D5242" s="13">
        <v>0</v>
      </c>
      <c r="E5242" s="12">
        <v>0</v>
      </c>
      <c r="F5242" s="14">
        <v>0</v>
      </c>
      <c r="G5242" s="13">
        <v>1011.0771</v>
      </c>
      <c r="H5242" s="14">
        <v>1713185.417689</v>
      </c>
      <c r="I5242" s="14" t="e">
        <f>=Round(64.58020000,0)</f>
        <v>#VALUE!</v>
      </c>
      <c r="J5242" s="14" t="e">
        <f>=Round(0.00000000,0)</f>
        <v>#VALUE!</v>
      </c>
    </row>
    <row r="5243">
      <c r="A5243" s="11" t="s">
        <v>34</v>
      </c>
      <c r="B5243" s="12">
        <v>1694.5359</v>
      </c>
      <c r="C5243" s="12">
        <v>0</v>
      </c>
      <c r="D5243" s="13">
        <v>0</v>
      </c>
      <c r="E5243" s="12">
        <v>0</v>
      </c>
      <c r="F5243" s="14">
        <v>0</v>
      </c>
      <c r="G5243" s="13">
        <v>1011.0771</v>
      </c>
      <c r="H5243" s="14">
        <v>1713306.443618</v>
      </c>
      <c r="I5243" s="14" t="e">
        <f>=Round(64.53780000,0)</f>
        <v>#VALUE!</v>
      </c>
      <c r="J5243" s="14" t="e">
        <f>=Round(0.00000000,0)</f>
        <v>#VALUE!</v>
      </c>
    </row>
    <row r="5244">
      <c r="A5244" s="11" t="s">
        <v>35</v>
      </c>
      <c r="B5244" s="12">
        <v>1694.5359</v>
      </c>
      <c r="C5244" s="12">
        <v>0</v>
      </c>
      <c r="D5244" s="13">
        <v>0</v>
      </c>
      <c r="E5244" s="12">
        <v>0</v>
      </c>
      <c r="F5244" s="14">
        <v>0</v>
      </c>
      <c r="G5244" s="13">
        <v>1011.0771</v>
      </c>
      <c r="H5244" s="14">
        <v>1713306.443618</v>
      </c>
      <c r="I5244" s="14" t="e">
        <f>=Round(64.54240000,0)</f>
        <v>#VALUE!</v>
      </c>
      <c r="J5244" s="14" t="e">
        <f>=Round(0.00000000,0)</f>
        <v>#VALUE!</v>
      </c>
    </row>
    <row r="5245">
      <c r="A5245" s="11" t="s">
        <v>36</v>
      </c>
      <c r="B5245" s="12">
        <v>1694.5359</v>
      </c>
      <c r="C5245" s="12">
        <v>0</v>
      </c>
      <c r="D5245" s="13">
        <v>0</v>
      </c>
      <c r="E5245" s="12">
        <v>0</v>
      </c>
      <c r="F5245" s="14">
        <v>0</v>
      </c>
      <c r="G5245" s="13">
        <v>1011.0771</v>
      </c>
      <c r="H5245" s="14">
        <v>1713306.443618</v>
      </c>
      <c r="I5245" s="14" t="e">
        <f>=Round(64.54240000,0)</f>
        <v>#VALUE!</v>
      </c>
      <c r="J5245" s="14" t="e">
        <f>=Round(0.00000000,0)</f>
        <v>#VALUE!</v>
      </c>
    </row>
    <row r="5246">
      <c r="A5246" s="11" t="s">
        <v>37</v>
      </c>
      <c r="B5246" s="12">
        <v>1686.858</v>
      </c>
      <c r="C5246" s="12">
        <v>0</v>
      </c>
      <c r="D5246" s="13">
        <v>0</v>
      </c>
      <c r="E5246" s="12">
        <v>0</v>
      </c>
      <c r="F5246" s="14">
        <v>0</v>
      </c>
      <c r="G5246" s="13">
        <v>1011.0771</v>
      </c>
      <c r="H5246" s="14">
        <v>1705543.494752</v>
      </c>
      <c r="I5246" s="14" t="e">
        <f>=Round(64.54240000,0)</f>
        <v>#VALUE!</v>
      </c>
      <c r="J5246" s="14" t="e">
        <f>=Round(0.00000000,0)</f>
        <v>#VALUE!</v>
      </c>
    </row>
    <row r="5247">
      <c r="A5247" s="11" t="s">
        <v>38</v>
      </c>
      <c r="B5247" s="12">
        <v>1685.4893</v>
      </c>
      <c r="C5247" s="12">
        <v>0</v>
      </c>
      <c r="D5247" s="13">
        <v>0</v>
      </c>
      <c r="E5247" s="12">
        <v>0</v>
      </c>
      <c r="F5247" s="14">
        <v>0</v>
      </c>
      <c r="G5247" s="13">
        <v>1011.0771</v>
      </c>
      <c r="H5247" s="14">
        <v>1704159.633525</v>
      </c>
      <c r="I5247" s="14" t="e">
        <f>=Round(64.24990000,0)</f>
        <v>#VALUE!</v>
      </c>
      <c r="J5247" s="14" t="e">
        <f>=Round(0.00000000,0)</f>
        <v>#VALUE!</v>
      </c>
    </row>
    <row r="5248">
      <c r="A5248" s="11" t="s">
        <v>39</v>
      </c>
      <c r="B5248" s="12">
        <v>1677.9056</v>
      </c>
      <c r="C5248" s="12">
        <v>0</v>
      </c>
      <c r="D5248" s="13">
        <v>0</v>
      </c>
      <c r="E5248" s="12">
        <v>0</v>
      </c>
      <c r="F5248" s="14">
        <v>0</v>
      </c>
      <c r="G5248" s="13">
        <v>1011.0771</v>
      </c>
      <c r="H5248" s="14">
        <v>1696491.928122</v>
      </c>
      <c r="I5248" s="14" t="e">
        <f>=Round(64.19780000,0)</f>
        <v>#VALUE!</v>
      </c>
      <c r="J5248" s="14" t="e">
        <f>=Round(0.00000000,0)</f>
        <v>#VALUE!</v>
      </c>
    </row>
    <row r="5249">
      <c r="A5249" s="11" t="s">
        <v>40</v>
      </c>
      <c r="B5249" s="12">
        <v>1667.6693</v>
      </c>
      <c r="C5249" s="12">
        <v>0</v>
      </c>
      <c r="D5249" s="13">
        <v>0</v>
      </c>
      <c r="E5249" s="12">
        <v>0</v>
      </c>
      <c r="F5249" s="14">
        <v>0</v>
      </c>
      <c r="G5249" s="13">
        <v>1011.0771</v>
      </c>
      <c r="H5249" s="14">
        <v>1686142.239603</v>
      </c>
      <c r="I5249" s="14" t="e">
        <f>=Round(63.90890000,0)</f>
        <v>#VALUE!</v>
      </c>
      <c r="J5249" s="14" t="e">
        <f>=Round(0.00000000,0)</f>
        <v>#VALUE!</v>
      </c>
    </row>
    <row r="5250">
      <c r="A5250" s="11" t="s">
        <v>41</v>
      </c>
      <c r="B5250" s="12">
        <v>1672.9358</v>
      </c>
      <c r="C5250" s="12">
        <v>0</v>
      </c>
      <c r="D5250" s="13">
        <v>0</v>
      </c>
      <c r="E5250" s="12">
        <v>0</v>
      </c>
      <c r="F5250" s="14">
        <v>0</v>
      </c>
      <c r="G5250" s="13">
        <v>1011.0771</v>
      </c>
      <c r="H5250" s="14">
        <v>1691467.07715</v>
      </c>
      <c r="I5250" s="14" t="e">
        <f>=Round(63.51910000,0)</f>
        <v>#VALUE!</v>
      </c>
      <c r="J5250" s="14" t="e">
        <f>=Round(0.00000000,0)</f>
        <v>#VALUE!</v>
      </c>
    </row>
    <row r="5251">
      <c r="A5251" s="11" t="s">
        <v>42</v>
      </c>
      <c r="B5251" s="12">
        <v>1672.9358</v>
      </c>
      <c r="C5251" s="12">
        <v>0</v>
      </c>
      <c r="D5251" s="13">
        <v>0</v>
      </c>
      <c r="E5251" s="12">
        <v>0</v>
      </c>
      <c r="F5251" s="14">
        <v>0</v>
      </c>
      <c r="G5251" s="13">
        <v>1011.0771</v>
      </c>
      <c r="H5251" s="14">
        <v>1691467.07715</v>
      </c>
      <c r="I5251" s="14" t="e">
        <f>=Round(63.71970000,0)</f>
        <v>#VALUE!</v>
      </c>
      <c r="J5251" s="14" t="e">
        <f>=Round(0.00000000,0)</f>
        <v>#VALUE!</v>
      </c>
    </row>
    <row r="5252">
      <c r="A5252" s="11" t="s">
        <v>43</v>
      </c>
      <c r="B5252" s="12">
        <v>1672.9358</v>
      </c>
      <c r="C5252" s="12">
        <v>0</v>
      </c>
      <c r="D5252" s="13">
        <v>0</v>
      </c>
      <c r="E5252" s="12">
        <v>0</v>
      </c>
      <c r="F5252" s="14">
        <v>0</v>
      </c>
      <c r="G5252" s="13">
        <v>1011.0771</v>
      </c>
      <c r="H5252" s="14">
        <v>1691467.07715</v>
      </c>
      <c r="I5252" s="14" t="e">
        <f>=Round(63.71970000,0)</f>
        <v>#VALUE!</v>
      </c>
      <c r="J5252" s="14" t="e">
        <f>=Round(0.00000000,0)</f>
        <v>#VALUE!</v>
      </c>
    </row>
    <row r="5253">
      <c r="A5253" s="11" t="s">
        <v>44</v>
      </c>
      <c r="B5253" s="12">
        <v>1672.7866</v>
      </c>
      <c r="C5253" s="12">
        <v>0</v>
      </c>
      <c r="D5253" s="13">
        <v>0</v>
      </c>
      <c r="E5253" s="12">
        <v>0</v>
      </c>
      <c r="F5253" s="14">
        <v>0</v>
      </c>
      <c r="G5253" s="13">
        <v>1011.0771</v>
      </c>
      <c r="H5253" s="14">
        <v>1691316.224447</v>
      </c>
      <c r="I5253" s="14" t="e">
        <f>=Round(63.71970000,0)</f>
        <v>#VALUE!</v>
      </c>
      <c r="J5253" s="14" t="e">
        <f>=Round(0.00000000,0)</f>
        <v>#VALUE!</v>
      </c>
    </row>
    <row r="5254">
      <c r="A5254" s="11" t="s">
        <v>45</v>
      </c>
      <c r="B5254" s="12">
        <v>1678.8917</v>
      </c>
      <c r="C5254" s="12">
        <v>0</v>
      </c>
      <c r="D5254" s="13">
        <v>0</v>
      </c>
      <c r="E5254" s="12">
        <v>0</v>
      </c>
      <c r="F5254" s="14">
        <v>0</v>
      </c>
      <c r="G5254" s="13">
        <v>1011.0771</v>
      </c>
      <c r="H5254" s="14">
        <v>1697488.95125</v>
      </c>
      <c r="I5254" s="14" t="e">
        <f>=Round(63.71400000,0)</f>
        <v>#VALUE!</v>
      </c>
      <c r="J5254" s="14" t="e">
        <f>=Round(0.00000000,0)</f>
        <v>#VALUE!</v>
      </c>
    </row>
    <row r="5255">
      <c r="A5255" s="11" t="s">
        <v>46</v>
      </c>
      <c r="B5255" s="12">
        <v>1685.7783</v>
      </c>
      <c r="C5255" s="12">
        <v>0</v>
      </c>
      <c r="D5255" s="13">
        <v>0</v>
      </c>
      <c r="E5255" s="12">
        <v>0</v>
      </c>
      <c r="F5255" s="14">
        <v>0</v>
      </c>
      <c r="G5255" s="13">
        <v>1011.0771</v>
      </c>
      <c r="H5255" s="14">
        <v>1704451.834807</v>
      </c>
      <c r="I5255" s="14" t="e">
        <f>=Round(63.94650000,0)</f>
        <v>#VALUE!</v>
      </c>
      <c r="J5255" s="14" t="e">
        <f>=Round(0.00000000,0)</f>
        <v>#VALUE!</v>
      </c>
    </row>
    <row r="5256">
      <c r="A5256" s="11" t="s">
        <v>47</v>
      </c>
      <c r="B5256" s="12">
        <v>1691.2871</v>
      </c>
      <c r="C5256" s="12">
        <v>0</v>
      </c>
      <c r="D5256" s="13">
        <v>0</v>
      </c>
      <c r="E5256" s="12">
        <v>0</v>
      </c>
      <c r="F5256" s="14">
        <v>0</v>
      </c>
      <c r="G5256" s="13">
        <v>1011.0771</v>
      </c>
      <c r="H5256" s="14">
        <v>1710021.656335</v>
      </c>
      <c r="I5256" s="14" t="e">
        <f>=Round(64.20880000,0)</f>
        <v>#VALUE!</v>
      </c>
      <c r="J5256" s="14" t="e">
        <f>=Round(0.00000000,0)</f>
        <v>#VALUE!</v>
      </c>
    </row>
    <row r="5257">
      <c r="A5257" s="11" t="s">
        <v>48</v>
      </c>
      <c r="B5257" s="12">
        <v>1681.0981</v>
      </c>
      <c r="C5257" s="12">
        <v>0</v>
      </c>
      <c r="D5257" s="13">
        <v>0</v>
      </c>
      <c r="E5257" s="12">
        <v>0</v>
      </c>
      <c r="F5257" s="14">
        <v>0</v>
      </c>
      <c r="G5257" s="13">
        <v>1011.0771</v>
      </c>
      <c r="H5257" s="14">
        <v>1699719.791764</v>
      </c>
      <c r="I5257" s="14" t="e">
        <f>=Round(64.41860000,0)</f>
        <v>#VALUE!</v>
      </c>
      <c r="J5257" s="14" t="e">
        <f>=Round(0.00000000,0)</f>
        <v>#VALUE!</v>
      </c>
    </row>
    <row r="5258">
      <c r="A5258" s="11" t="s">
        <v>49</v>
      </c>
      <c r="B5258" s="12">
        <v>1681.0981</v>
      </c>
      <c r="C5258" s="12">
        <v>0</v>
      </c>
      <c r="D5258" s="13">
        <v>0</v>
      </c>
      <c r="E5258" s="12">
        <v>0</v>
      </c>
      <c r="F5258" s="14">
        <v>0</v>
      </c>
      <c r="G5258" s="13">
        <v>1011.0771</v>
      </c>
      <c r="H5258" s="14">
        <v>1699719.791764</v>
      </c>
      <c r="I5258" s="14" t="e">
        <f>=Round(64.03050000,0)</f>
        <v>#VALUE!</v>
      </c>
      <c r="J5258" s="14" t="e">
        <f>=Round(0.00000000,0)</f>
        <v>#VALUE!</v>
      </c>
    </row>
    <row r="5259">
      <c r="A5259" s="11" t="s">
        <v>50</v>
      </c>
      <c r="B5259" s="12">
        <v>1681.0981</v>
      </c>
      <c r="C5259" s="12">
        <v>0</v>
      </c>
      <c r="D5259" s="13">
        <v>0</v>
      </c>
      <c r="E5259" s="12">
        <v>0</v>
      </c>
      <c r="F5259" s="14">
        <v>0</v>
      </c>
      <c r="G5259" s="13">
        <v>1011.0771</v>
      </c>
      <c r="H5259" s="14">
        <v>1699719.791764</v>
      </c>
      <c r="I5259" s="14" t="e">
        <f>=Round(64.03050000,0)</f>
        <v>#VALUE!</v>
      </c>
      <c r="J5259" s="14" t="e">
        <f>=Round(0.00000000,0)</f>
        <v>#VALUE!</v>
      </c>
    </row>
    <row r="5260">
      <c r="A5260" s="11" t="s">
        <v>51</v>
      </c>
      <c r="B5260" s="12">
        <v>1671.3084</v>
      </c>
      <c r="C5260" s="12">
        <v>0</v>
      </c>
      <c r="D5260" s="13">
        <v>0</v>
      </c>
      <c r="E5260" s="12">
        <v>0</v>
      </c>
      <c r="F5260" s="14">
        <v>0</v>
      </c>
      <c r="G5260" s="13">
        <v>1011.0771</v>
      </c>
      <c r="H5260" s="14">
        <v>1689821.650278</v>
      </c>
      <c r="I5260" s="14" t="e">
        <f>=Round(64.03050000,0)</f>
        <v>#VALUE!</v>
      </c>
      <c r="J5260" s="14" t="e">
        <f>=Round(0.00000000,0)</f>
        <v>#VALUE!</v>
      </c>
    </row>
    <row r="5261">
      <c r="A5261" s="11" t="s">
        <v>52</v>
      </c>
      <c r="B5261" s="12">
        <v>1666.7814</v>
      </c>
      <c r="C5261" s="12">
        <v>0</v>
      </c>
      <c r="D5261" s="13">
        <v>0</v>
      </c>
      <c r="E5261" s="12">
        <v>0</v>
      </c>
      <c r="F5261" s="14">
        <v>0</v>
      </c>
      <c r="G5261" s="13">
        <v>1011.0771</v>
      </c>
      <c r="H5261" s="14">
        <v>1685244.504246</v>
      </c>
      <c r="I5261" s="14" t="e">
        <f>=Round(63.65770000,0)</f>
        <v>#VALUE!</v>
      </c>
      <c r="J5261" s="14" t="e">
        <f>=Round(0.00000000,0)</f>
        <v>#VALUE!</v>
      </c>
    </row>
    <row r="5262">
      <c r="A5262" s="11" t="s">
        <v>53</v>
      </c>
      <c r="B5262" s="12">
        <v>1647.4448</v>
      </c>
      <c r="C5262" s="12">
        <v>0</v>
      </c>
      <c r="D5262" s="13">
        <v>0</v>
      </c>
      <c r="E5262" s="12">
        <v>0</v>
      </c>
      <c r="F5262" s="14">
        <v>0</v>
      </c>
      <c r="G5262" s="13">
        <v>1011.0771</v>
      </c>
      <c r="H5262" s="14">
        <v>1665693.710794</v>
      </c>
      <c r="I5262" s="14" t="e">
        <f>=Round(63.48520000,0)</f>
        <v>#VALUE!</v>
      </c>
      <c r="J5262" s="14" t="e">
        <f>=Round(0.00000000,0)</f>
        <v>#VALUE!</v>
      </c>
    </row>
    <row r="5263">
      <c r="A5263" s="11" t="s">
        <v>54</v>
      </c>
      <c r="B5263" s="12">
        <v>1631.4758</v>
      </c>
      <c r="C5263" s="12">
        <v>0</v>
      </c>
      <c r="D5263" s="13">
        <v>0</v>
      </c>
      <c r="E5263" s="12">
        <v>0</v>
      </c>
      <c r="F5263" s="14">
        <v>0</v>
      </c>
      <c r="G5263" s="13">
        <v>1011.0771</v>
      </c>
      <c r="H5263" s="14">
        <v>1649547.820584</v>
      </c>
      <c r="I5263" s="14" t="e">
        <f>=Round(62.74870000,0)</f>
        <v>#VALUE!</v>
      </c>
      <c r="J5263" s="14" t="e">
        <f>=Round(0.00000000,0)</f>
        <v>#VALUE!</v>
      </c>
    </row>
    <row r="5264">
      <c r="A5264" s="11" t="s">
        <v>55</v>
      </c>
      <c r="B5264" s="12">
        <v>1613.9929</v>
      </c>
      <c r="C5264" s="12">
        <v>0</v>
      </c>
      <c r="D5264" s="13">
        <v>0</v>
      </c>
      <c r="E5264" s="12">
        <v>0</v>
      </c>
      <c r="F5264" s="14">
        <v>0</v>
      </c>
      <c r="G5264" s="13">
        <v>1011.0771</v>
      </c>
      <c r="H5264" s="14">
        <v>1631871.260753</v>
      </c>
      <c r="I5264" s="14" t="e">
        <f>=Round(62.14050000,0)</f>
        <v>#VALUE!</v>
      </c>
      <c r="J5264" s="14" t="e">
        <f>=Round(0.00000000,0)</f>
        <v>#VALUE!</v>
      </c>
    </row>
    <row r="5265" ht="-1">
      <c r="A5265" s="15"/>
      <c r="B5265" s="16" t="s">
        <v>56</v>
      </c>
      <c r="C5265" s="15"/>
      <c r="D5265" s="15"/>
      <c r="E5265" s="15"/>
      <c r="F5265" s="15"/>
      <c r="G5265" s="15"/>
      <c r="H5265" s="15"/>
      <c r="I5265" s="17" t="e">
        <f>=Round(SUM(I5239:I5264),0)</f>
        <v>#VALUE!</v>
      </c>
      <c r="J5265" s="17" t="e">
        <f>=Round(SUM(J5239:J5264),0)</f>
        <v>#VALUE!</v>
      </c>
    </row>
    <row r="5266">
      <c r="A5266" s="1" t="s">
        <v>0</v>
      </c>
      <c r="B5266" s="1"/>
      <c r="C5266" s="1"/>
      <c r="D5266" s="1"/>
    </row>
    <row r="5267">
      <c r="A5267" s="0" t="s">
        <v>1</v>
      </c>
      <c r="C5267" s="0" t="s">
        <v>192</v>
      </c>
      <c r="H5267" s="2" t="s">
        <v>3</v>
      </c>
    </row>
    <row r="5268">
      <c r="A5268" s="0" t="s">
        <v>4</v>
      </c>
      <c r="C5268" s="0" t="s">
        <v>73</v>
      </c>
      <c r="H5268" s="3" t="s">
        <v>6</v>
      </c>
    </row>
    <row r="5269">
      <c r="A5269" s="0" t="s">
        <v>7</v>
      </c>
      <c r="C5269" s="4" t="s">
        <v>194</v>
      </c>
      <c r="H5269" s="2" t="s">
        <v>9</v>
      </c>
    </row>
    <row r="5270">
      <c r="A5270" s="0" t="s">
        <v>10</v>
      </c>
      <c r="C5270" s="4" t="s">
        <v>11</v>
      </c>
      <c r="H5270" s="2" t="s">
        <v>12</v>
      </c>
    </row>
    <row r="5271">
      <c r="A5271" s="0" t="s">
        <v>13</v>
      </c>
      <c r="C5271" s="0" t="s">
        <v>14</v>
      </c>
    </row>
    <row r="5272">
      <c r="A5272" s="0" t="s">
        <v>15</v>
      </c>
      <c r="C5272" s="0" t="s">
        <v>16</v>
      </c>
    </row>
    <row r="5273">
      <c r="A5273" s="0" t="s">
        <v>17</v>
      </c>
      <c r="C5273" s="0" t="s">
        <v>18</v>
      </c>
    </row>
    <row r="5276">
      <c r="A5276" s="5" t="s">
        <v>19</v>
      </c>
      <c r="B5276" s="5" t="s">
        <v>20</v>
      </c>
      <c r="C5276" s="7" t="s">
        <v>21</v>
      </c>
      <c r="D5276" s="9"/>
      <c r="E5276" s="7" t="s">
        <v>22</v>
      </c>
      <c r="F5276" s="9"/>
      <c r="G5276" s="5" t="s">
        <v>23</v>
      </c>
      <c r="H5276" s="5" t="s">
        <v>24</v>
      </c>
      <c r="I5276" s="5" t="s">
        <v>195</v>
      </c>
      <c r="J5276" s="5" t="s">
        <v>26</v>
      </c>
    </row>
    <row r="5277">
      <c r="A5277" s="6"/>
      <c r="B5277" s="6"/>
      <c r="C5277" s="8" t="s">
        <v>27</v>
      </c>
      <c r="D5277" s="8" t="s">
        <v>28</v>
      </c>
      <c r="E5277" s="8" t="s">
        <v>27</v>
      </c>
      <c r="F5277" s="8" t="s">
        <v>28</v>
      </c>
      <c r="G5277" s="6"/>
      <c r="H5277" s="6"/>
      <c r="I5277" s="10" t="s">
        <v>29</v>
      </c>
      <c r="J5277" s="6"/>
    </row>
    <row r="5278">
      <c r="A5278" s="11" t="s">
        <v>30</v>
      </c>
      <c r="B5278" s="12">
        <v>1677.4582</v>
      </c>
      <c r="C5278" s="12">
        <v>0</v>
      </c>
      <c r="D5278" s="13">
        <v>0</v>
      </c>
      <c r="E5278" s="12">
        <v>0</v>
      </c>
      <c r="F5278" s="14">
        <v>0</v>
      </c>
      <c r="G5278" s="13">
        <v>25797.9433</v>
      </c>
      <c r="H5278" s="14">
        <v>43274971.53172</v>
      </c>
      <c r="I5278" s="14" t="e">
        <f>=Round(1638.66430000,0)</f>
        <v>#VALUE!</v>
      </c>
      <c r="J5278" s="14" t="e">
        <f>=Round(0.00000000,0)</f>
        <v>#VALUE!</v>
      </c>
    </row>
    <row r="5279">
      <c r="A5279" s="11" t="s">
        <v>31</v>
      </c>
      <c r="B5279" s="12">
        <v>1685.5728</v>
      </c>
      <c r="C5279" s="12">
        <v>0</v>
      </c>
      <c r="D5279" s="13">
        <v>0</v>
      </c>
      <c r="E5279" s="12">
        <v>0</v>
      </c>
      <c r="F5279" s="14">
        <v>0</v>
      </c>
      <c r="G5279" s="13">
        <v>25797.9433</v>
      </c>
      <c r="H5279" s="14">
        <v>43484311.522422</v>
      </c>
      <c r="I5279" s="14" t="e">
        <f>=Round(1630.22150000,0)</f>
        <v>#VALUE!</v>
      </c>
      <c r="J5279" s="14" t="e">
        <f>=Round(0.00000000,0)</f>
        <v>#VALUE!</v>
      </c>
    </row>
    <row r="5280">
      <c r="A5280" s="11" t="s">
        <v>32</v>
      </c>
      <c r="B5280" s="12">
        <v>1695.5297</v>
      </c>
      <c r="C5280" s="12">
        <v>0</v>
      </c>
      <c r="D5280" s="13">
        <v>0</v>
      </c>
      <c r="E5280" s="12">
        <v>0</v>
      </c>
      <c r="F5280" s="14">
        <v>0</v>
      </c>
      <c r="G5280" s="13">
        <v>25797.9433</v>
      </c>
      <c r="H5280" s="14">
        <v>43741179.064066</v>
      </c>
      <c r="I5280" s="14" t="e">
        <f>=Round(1638.10760000,0)</f>
        <v>#VALUE!</v>
      </c>
      <c r="J5280" s="14" t="e">
        <f>=Round(0.00000000,0)</f>
        <v>#VALUE!</v>
      </c>
    </row>
    <row r="5281">
      <c r="A5281" s="11" t="s">
        <v>33</v>
      </c>
      <c r="B5281" s="12">
        <v>1694.4162</v>
      </c>
      <c r="C5281" s="12">
        <v>0</v>
      </c>
      <c r="D5281" s="13">
        <v>0</v>
      </c>
      <c r="E5281" s="12">
        <v>0</v>
      </c>
      <c r="F5281" s="14">
        <v>0</v>
      </c>
      <c r="G5281" s="13">
        <v>25797.9433</v>
      </c>
      <c r="H5281" s="14">
        <v>43712453.054201</v>
      </c>
      <c r="I5281" s="14" t="e">
        <f>=Round(1647.78410000,0)</f>
        <v>#VALUE!</v>
      </c>
      <c r="J5281" s="14" t="e">
        <f>=Round(0.00000000,0)</f>
        <v>#VALUE!</v>
      </c>
    </row>
    <row r="5282">
      <c r="A5282" s="11" t="s">
        <v>34</v>
      </c>
      <c r="B5282" s="12">
        <v>1694.5359</v>
      </c>
      <c r="C5282" s="12">
        <v>0</v>
      </c>
      <c r="D5282" s="13">
        <v>0</v>
      </c>
      <c r="E5282" s="12">
        <v>0</v>
      </c>
      <c r="F5282" s="14">
        <v>0</v>
      </c>
      <c r="G5282" s="13">
        <v>25797.9433</v>
      </c>
      <c r="H5282" s="14">
        <v>43715541.068014</v>
      </c>
      <c r="I5282" s="14" t="e">
        <f>=Round(1646.70200000,0)</f>
        <v>#VALUE!</v>
      </c>
      <c r="J5282" s="14" t="e">
        <f>=Round(0.00000000,0)</f>
        <v>#VALUE!</v>
      </c>
    </row>
    <row r="5283">
      <c r="A5283" s="11" t="s">
        <v>35</v>
      </c>
      <c r="B5283" s="12">
        <v>1694.5359</v>
      </c>
      <c r="C5283" s="12">
        <v>0</v>
      </c>
      <c r="D5283" s="13">
        <v>0</v>
      </c>
      <c r="E5283" s="12">
        <v>0</v>
      </c>
      <c r="F5283" s="14">
        <v>0</v>
      </c>
      <c r="G5283" s="13">
        <v>25797.9433</v>
      </c>
      <c r="H5283" s="14">
        <v>43715541.068014</v>
      </c>
      <c r="I5283" s="14" t="e">
        <f>=Round(1646.81830000,0)</f>
        <v>#VALUE!</v>
      </c>
      <c r="J5283" s="14" t="e">
        <f>=Round(0.00000000,0)</f>
        <v>#VALUE!</v>
      </c>
    </row>
    <row r="5284">
      <c r="A5284" s="11" t="s">
        <v>36</v>
      </c>
      <c r="B5284" s="12">
        <v>1694.5359</v>
      </c>
      <c r="C5284" s="12">
        <v>0</v>
      </c>
      <c r="D5284" s="13">
        <v>0</v>
      </c>
      <c r="E5284" s="12">
        <v>0</v>
      </c>
      <c r="F5284" s="14">
        <v>0</v>
      </c>
      <c r="G5284" s="13">
        <v>25797.9433</v>
      </c>
      <c r="H5284" s="14">
        <v>43715541.068014</v>
      </c>
      <c r="I5284" s="14" t="e">
        <f>=Round(1646.81830000,0)</f>
        <v>#VALUE!</v>
      </c>
      <c r="J5284" s="14" t="e">
        <f>=Round(0.00000000,0)</f>
        <v>#VALUE!</v>
      </c>
    </row>
    <row r="5285">
      <c r="A5285" s="11" t="s">
        <v>37</v>
      </c>
      <c r="B5285" s="12">
        <v>1686.858</v>
      </c>
      <c r="C5285" s="12">
        <v>0</v>
      </c>
      <c r="D5285" s="13">
        <v>0</v>
      </c>
      <c r="E5285" s="12">
        <v>0</v>
      </c>
      <c r="F5285" s="14">
        <v>0</v>
      </c>
      <c r="G5285" s="13">
        <v>25797.9433</v>
      </c>
      <c r="H5285" s="14">
        <v>43517467.039151</v>
      </c>
      <c r="I5285" s="14" t="e">
        <f>=Round(1646.81830000,0)</f>
        <v>#VALUE!</v>
      </c>
      <c r="J5285" s="14" t="e">
        <f>=Round(0.00000000,0)</f>
        <v>#VALUE!</v>
      </c>
    </row>
    <row r="5286">
      <c r="A5286" s="11" t="s">
        <v>38</v>
      </c>
      <c r="B5286" s="12">
        <v>1685.4893</v>
      </c>
      <c r="C5286" s="12">
        <v>0</v>
      </c>
      <c r="D5286" s="13">
        <v>0</v>
      </c>
      <c r="E5286" s="12">
        <v>0</v>
      </c>
      <c r="F5286" s="14">
        <v>0</v>
      </c>
      <c r="G5286" s="13">
        <v>25797.9433</v>
      </c>
      <c r="H5286" s="14">
        <v>43482157.394157</v>
      </c>
      <c r="I5286" s="14" t="e">
        <f>=Round(1639.35660000,0)</f>
        <v>#VALUE!</v>
      </c>
      <c r="J5286" s="14" t="e">
        <f>=Round(0.00000000,0)</f>
        <v>#VALUE!</v>
      </c>
    </row>
    <row r="5287">
      <c r="A5287" s="11" t="s">
        <v>39</v>
      </c>
      <c r="B5287" s="12">
        <v>1677.9056</v>
      </c>
      <c r="C5287" s="12">
        <v>0</v>
      </c>
      <c r="D5287" s="13">
        <v>0</v>
      </c>
      <c r="E5287" s="12">
        <v>0</v>
      </c>
      <c r="F5287" s="14">
        <v>0</v>
      </c>
      <c r="G5287" s="13">
        <v>25797.9433</v>
      </c>
      <c r="H5287" s="14">
        <v>43286513.531552</v>
      </c>
      <c r="I5287" s="14" t="e">
        <f>=Round(1638.02650000,0)</f>
        <v>#VALUE!</v>
      </c>
      <c r="J5287" s="14" t="e">
        <f>=Round(0.00000000,0)</f>
        <v>#VALUE!</v>
      </c>
    </row>
    <row r="5288">
      <c r="A5288" s="11" t="s">
        <v>40</v>
      </c>
      <c r="B5288" s="12">
        <v>1667.6693</v>
      </c>
      <c r="C5288" s="12">
        <v>0</v>
      </c>
      <c r="D5288" s="13">
        <v>0</v>
      </c>
      <c r="E5288" s="12">
        <v>0</v>
      </c>
      <c r="F5288" s="14">
        <v>0</v>
      </c>
      <c r="G5288" s="13">
        <v>25797.9433</v>
      </c>
      <c r="H5288" s="14">
        <v>43022438.044551</v>
      </c>
      <c r="I5288" s="14" t="e">
        <f>=Round(1630.65630000,0)</f>
        <v>#VALUE!</v>
      </c>
      <c r="J5288" s="14" t="e">
        <f>=Round(0.00000000,0)</f>
        <v>#VALUE!</v>
      </c>
    </row>
    <row r="5289">
      <c r="A5289" s="11" t="s">
        <v>41</v>
      </c>
      <c r="B5289" s="12">
        <v>1672.9358</v>
      </c>
      <c r="C5289" s="12">
        <v>0</v>
      </c>
      <c r="D5289" s="13">
        <v>0</v>
      </c>
      <c r="E5289" s="12">
        <v>0</v>
      </c>
      <c r="F5289" s="14">
        <v>0</v>
      </c>
      <c r="G5289" s="13">
        <v>25797.9433</v>
      </c>
      <c r="H5289" s="14">
        <v>43158302.91294</v>
      </c>
      <c r="I5289" s="14" t="e">
        <f>=Round(1620.70830000,0)</f>
        <v>#VALUE!</v>
      </c>
      <c r="J5289" s="14" t="e">
        <f>=Round(0.00000000,0)</f>
        <v>#VALUE!</v>
      </c>
    </row>
    <row r="5290">
      <c r="A5290" s="11" t="s">
        <v>42</v>
      </c>
      <c r="B5290" s="12">
        <v>1672.9358</v>
      </c>
      <c r="C5290" s="12">
        <v>0</v>
      </c>
      <c r="D5290" s="13">
        <v>0</v>
      </c>
      <c r="E5290" s="12">
        <v>0</v>
      </c>
      <c r="F5290" s="14">
        <v>0</v>
      </c>
      <c r="G5290" s="13">
        <v>25797.9433</v>
      </c>
      <c r="H5290" s="14">
        <v>43158302.91294</v>
      </c>
      <c r="I5290" s="14" t="e">
        <f>=Round(1625.82650000,0)</f>
        <v>#VALUE!</v>
      </c>
      <c r="J5290" s="14" t="e">
        <f>=Round(0.00000000,0)</f>
        <v>#VALUE!</v>
      </c>
    </row>
    <row r="5291">
      <c r="A5291" s="11" t="s">
        <v>43</v>
      </c>
      <c r="B5291" s="12">
        <v>1672.9358</v>
      </c>
      <c r="C5291" s="12">
        <v>0</v>
      </c>
      <c r="D5291" s="13">
        <v>0</v>
      </c>
      <c r="E5291" s="12">
        <v>0</v>
      </c>
      <c r="F5291" s="14">
        <v>0</v>
      </c>
      <c r="G5291" s="13">
        <v>25797.9433</v>
      </c>
      <c r="H5291" s="14">
        <v>43158302.91294</v>
      </c>
      <c r="I5291" s="14" t="e">
        <f>=Round(1625.82650000,0)</f>
        <v>#VALUE!</v>
      </c>
      <c r="J5291" s="14" t="e">
        <f>=Round(0.00000000,0)</f>
        <v>#VALUE!</v>
      </c>
    </row>
    <row r="5292">
      <c r="A5292" s="11" t="s">
        <v>44</v>
      </c>
      <c r="B5292" s="12">
        <v>1672.7866</v>
      </c>
      <c r="C5292" s="12">
        <v>0</v>
      </c>
      <c r="D5292" s="13">
        <v>0</v>
      </c>
      <c r="E5292" s="12">
        <v>0</v>
      </c>
      <c r="F5292" s="14">
        <v>0</v>
      </c>
      <c r="G5292" s="13">
        <v>25797.9433</v>
      </c>
      <c r="H5292" s="14">
        <v>43154453.8598</v>
      </c>
      <c r="I5292" s="14" t="e">
        <f>=Round(1625.82650000,0)</f>
        <v>#VALUE!</v>
      </c>
      <c r="J5292" s="14" t="e">
        <f>=Round(0.00000000,0)</f>
        <v>#VALUE!</v>
      </c>
    </row>
    <row r="5293">
      <c r="A5293" s="11" t="s">
        <v>45</v>
      </c>
      <c r="B5293" s="12">
        <v>1678.8917</v>
      </c>
      <c r="C5293" s="12">
        <v>0</v>
      </c>
      <c r="D5293" s="13">
        <v>0</v>
      </c>
      <c r="E5293" s="12">
        <v>0</v>
      </c>
      <c r="F5293" s="14">
        <v>0</v>
      </c>
      <c r="G5293" s="13">
        <v>25797.9433</v>
      </c>
      <c r="H5293" s="14">
        <v>43311952.883441</v>
      </c>
      <c r="I5293" s="14" t="e">
        <f>=Round(1625.68150000,0)</f>
        <v>#VALUE!</v>
      </c>
      <c r="J5293" s="14" t="e">
        <f>=Round(0.00000000,0)</f>
        <v>#VALUE!</v>
      </c>
    </row>
    <row r="5294">
      <c r="A5294" s="11" t="s">
        <v>46</v>
      </c>
      <c r="B5294" s="12">
        <v>1685.7783</v>
      </c>
      <c r="C5294" s="12">
        <v>0</v>
      </c>
      <c r="D5294" s="13">
        <v>0</v>
      </c>
      <c r="E5294" s="12">
        <v>0</v>
      </c>
      <c r="F5294" s="14">
        <v>0</v>
      </c>
      <c r="G5294" s="13">
        <v>25797.9433</v>
      </c>
      <c r="H5294" s="14">
        <v>43489612.99977</v>
      </c>
      <c r="I5294" s="14" t="e">
        <f>=Round(1631.61470000,0)</f>
        <v>#VALUE!</v>
      </c>
      <c r="J5294" s="14" t="e">
        <f>=Round(0.00000000,0)</f>
        <v>#VALUE!</v>
      </c>
    </row>
    <row r="5295">
      <c r="A5295" s="11" t="s">
        <v>47</v>
      </c>
      <c r="B5295" s="12">
        <v>1691.2871</v>
      </c>
      <c r="C5295" s="12">
        <v>0</v>
      </c>
      <c r="D5295" s="13">
        <v>0</v>
      </c>
      <c r="E5295" s="12">
        <v>0</v>
      </c>
      <c r="F5295" s="14">
        <v>0</v>
      </c>
      <c r="G5295" s="13">
        <v>25797.9433</v>
      </c>
      <c r="H5295" s="14">
        <v>43631728.709821</v>
      </c>
      <c r="I5295" s="14" t="e">
        <f>=Round(1638.30730000,0)</f>
        <v>#VALUE!</v>
      </c>
      <c r="J5295" s="14" t="e">
        <f>=Round(0.00000000,0)</f>
        <v>#VALUE!</v>
      </c>
    </row>
    <row r="5296">
      <c r="A5296" s="11" t="s">
        <v>48</v>
      </c>
      <c r="B5296" s="12">
        <v>1681.0981</v>
      </c>
      <c r="C5296" s="12">
        <v>0</v>
      </c>
      <c r="D5296" s="13">
        <v>0</v>
      </c>
      <c r="E5296" s="12">
        <v>0</v>
      </c>
      <c r="F5296" s="14">
        <v>0</v>
      </c>
      <c r="G5296" s="13">
        <v>25797.9433</v>
      </c>
      <c r="H5296" s="14">
        <v>43368873.465538</v>
      </c>
      <c r="I5296" s="14" t="e">
        <f>=Round(1643.66100000,0)</f>
        <v>#VALUE!</v>
      </c>
      <c r="J5296" s="14" t="e">
        <f>=Round(0.00000000,0)</f>
        <v>#VALUE!</v>
      </c>
    </row>
    <row r="5297">
      <c r="A5297" s="11" t="s">
        <v>49</v>
      </c>
      <c r="B5297" s="12">
        <v>1681.0981</v>
      </c>
      <c r="C5297" s="12">
        <v>0</v>
      </c>
      <c r="D5297" s="13">
        <v>0</v>
      </c>
      <c r="E5297" s="12">
        <v>0</v>
      </c>
      <c r="F5297" s="14">
        <v>0</v>
      </c>
      <c r="G5297" s="13">
        <v>25797.9433</v>
      </c>
      <c r="H5297" s="14">
        <v>43368873.465538</v>
      </c>
      <c r="I5297" s="14" t="e">
        <f>=Round(1633.75890000,0)</f>
        <v>#VALUE!</v>
      </c>
      <c r="J5297" s="14" t="e">
        <f>=Round(0.00000000,0)</f>
        <v>#VALUE!</v>
      </c>
    </row>
    <row r="5298">
      <c r="A5298" s="11" t="s">
        <v>50</v>
      </c>
      <c r="B5298" s="12">
        <v>1681.0981</v>
      </c>
      <c r="C5298" s="12">
        <v>0</v>
      </c>
      <c r="D5298" s="13">
        <v>0</v>
      </c>
      <c r="E5298" s="12">
        <v>0</v>
      </c>
      <c r="F5298" s="14">
        <v>0</v>
      </c>
      <c r="G5298" s="13">
        <v>25797.9433</v>
      </c>
      <c r="H5298" s="14">
        <v>43368873.465538</v>
      </c>
      <c r="I5298" s="14" t="e">
        <f>=Round(1633.75890000,0)</f>
        <v>#VALUE!</v>
      </c>
      <c r="J5298" s="14" t="e">
        <f>=Round(0.00000000,0)</f>
        <v>#VALUE!</v>
      </c>
    </row>
    <row r="5299">
      <c r="A5299" s="11" t="s">
        <v>51</v>
      </c>
      <c r="B5299" s="12">
        <v>1671.3084</v>
      </c>
      <c r="C5299" s="12">
        <v>0</v>
      </c>
      <c r="D5299" s="13">
        <v>0</v>
      </c>
      <c r="E5299" s="12">
        <v>0</v>
      </c>
      <c r="F5299" s="14">
        <v>0</v>
      </c>
      <c r="G5299" s="13">
        <v>25797.9433</v>
      </c>
      <c r="H5299" s="14">
        <v>43116319.340014</v>
      </c>
      <c r="I5299" s="14" t="e">
        <f>=Round(1633.75890000,0)</f>
        <v>#VALUE!</v>
      </c>
      <c r="J5299" s="14" t="e">
        <f>=Round(0.00000000,0)</f>
        <v>#VALUE!</v>
      </c>
    </row>
    <row r="5300">
      <c r="A5300" s="11" t="s">
        <v>52</v>
      </c>
      <c r="B5300" s="12">
        <v>1666.7814</v>
      </c>
      <c r="C5300" s="12">
        <v>0</v>
      </c>
      <c r="D5300" s="13">
        <v>0</v>
      </c>
      <c r="E5300" s="12">
        <v>0</v>
      </c>
      <c r="F5300" s="14">
        <v>0</v>
      </c>
      <c r="G5300" s="13">
        <v>25797.9433</v>
      </c>
      <c r="H5300" s="14">
        <v>42999532.050695</v>
      </c>
      <c r="I5300" s="14" t="e">
        <f>=Round(1624.24490000,0)</f>
        <v>#VALUE!</v>
      </c>
      <c r="J5300" s="14" t="e">
        <f>=Round(0.00000000,0)</f>
        <v>#VALUE!</v>
      </c>
    </row>
    <row r="5301">
      <c r="A5301" s="11" t="s">
        <v>53</v>
      </c>
      <c r="B5301" s="12">
        <v>1647.4448</v>
      </c>
      <c r="C5301" s="12">
        <v>0</v>
      </c>
      <c r="D5301" s="13">
        <v>0</v>
      </c>
      <c r="E5301" s="12">
        <v>0</v>
      </c>
      <c r="F5301" s="14">
        <v>0</v>
      </c>
      <c r="G5301" s="13">
        <v>25797.9433</v>
      </c>
      <c r="H5301" s="14">
        <v>42500687.54028</v>
      </c>
      <c r="I5301" s="14" t="e">
        <f>=Round(1619.84540000,0)</f>
        <v>#VALUE!</v>
      </c>
      <c r="J5301" s="14" t="e">
        <f>=Round(0.00000000,0)</f>
        <v>#VALUE!</v>
      </c>
    </row>
    <row r="5302">
      <c r="A5302" s="11" t="s">
        <v>54</v>
      </c>
      <c r="B5302" s="12">
        <v>1631.4758</v>
      </c>
      <c r="C5302" s="12">
        <v>0</v>
      </c>
      <c r="D5302" s="13">
        <v>0</v>
      </c>
      <c r="E5302" s="12">
        <v>0</v>
      </c>
      <c r="F5302" s="14">
        <v>0</v>
      </c>
      <c r="G5302" s="13">
        <v>25797.9433</v>
      </c>
      <c r="H5302" s="14">
        <v>42088720.183722</v>
      </c>
      <c r="I5302" s="14" t="e">
        <f>=Round(1601.05330000,0)</f>
        <v>#VALUE!</v>
      </c>
      <c r="J5302" s="14" t="e">
        <f>=Round(0.00000000,0)</f>
        <v>#VALUE!</v>
      </c>
    </row>
    <row r="5303">
      <c r="A5303" s="11" t="s">
        <v>55</v>
      </c>
      <c r="B5303" s="12">
        <v>1613.9929</v>
      </c>
      <c r="C5303" s="12">
        <v>0</v>
      </c>
      <c r="D5303" s="13">
        <v>0</v>
      </c>
      <c r="E5303" s="12">
        <v>0</v>
      </c>
      <c r="F5303" s="14">
        <v>0</v>
      </c>
      <c r="G5303" s="13">
        <v>25797.9433</v>
      </c>
      <c r="H5303" s="14">
        <v>41637697.320803</v>
      </c>
      <c r="I5303" s="14" t="e">
        <f>=Round(1585.53400000,0)</f>
        <v>#VALUE!</v>
      </c>
      <c r="J5303" s="14" t="e">
        <f>=Round(0.00000000,0)</f>
        <v>#VALUE!</v>
      </c>
    </row>
    <row r="5304" ht="-1">
      <c r="A5304" s="15"/>
      <c r="B5304" s="16" t="s">
        <v>56</v>
      </c>
      <c r="C5304" s="15"/>
      <c r="D5304" s="15"/>
      <c r="E5304" s="15"/>
      <c r="F5304" s="15"/>
      <c r="G5304" s="15"/>
      <c r="H5304" s="15"/>
      <c r="I5304" s="17" t="e">
        <f>=Round(SUM(I5278:I5303),0)</f>
        <v>#VALUE!</v>
      </c>
      <c r="J5304" s="17" t="e">
        <f>=Round(SUM(J5278:J5303),0)</f>
        <v>#VALUE!</v>
      </c>
    </row>
    <row r="5305">
      <c r="A5305" s="1" t="s">
        <v>0</v>
      </c>
      <c r="B5305" s="1"/>
      <c r="C5305" s="1"/>
      <c r="D5305" s="1"/>
    </row>
    <row r="5306">
      <c r="A5306" s="0" t="s">
        <v>1</v>
      </c>
      <c r="C5306" s="0" t="s">
        <v>192</v>
      </c>
      <c r="H5306" s="2" t="s">
        <v>3</v>
      </c>
    </row>
    <row r="5307">
      <c r="A5307" s="0" t="s">
        <v>4</v>
      </c>
      <c r="C5307" s="0" t="s">
        <v>198</v>
      </c>
      <c r="H5307" s="3" t="s">
        <v>6</v>
      </c>
    </row>
    <row r="5308">
      <c r="A5308" s="0" t="s">
        <v>7</v>
      </c>
      <c r="C5308" s="4" t="s">
        <v>194</v>
      </c>
      <c r="H5308" s="2" t="s">
        <v>9</v>
      </c>
    </row>
    <row r="5309">
      <c r="A5309" s="0" t="s">
        <v>10</v>
      </c>
      <c r="C5309" s="4" t="s">
        <v>11</v>
      </c>
      <c r="H5309" s="2" t="s">
        <v>12</v>
      </c>
    </row>
    <row r="5310">
      <c r="A5310" s="0" t="s">
        <v>13</v>
      </c>
      <c r="C5310" s="0" t="s">
        <v>14</v>
      </c>
    </row>
    <row r="5311">
      <c r="A5311" s="0" t="s">
        <v>15</v>
      </c>
      <c r="C5311" s="0" t="s">
        <v>16</v>
      </c>
    </row>
    <row r="5312">
      <c r="A5312" s="0" t="s">
        <v>17</v>
      </c>
      <c r="C5312" s="0" t="s">
        <v>18</v>
      </c>
    </row>
    <row r="5315">
      <c r="A5315" s="5" t="s">
        <v>19</v>
      </c>
      <c r="B5315" s="5" t="s">
        <v>20</v>
      </c>
      <c r="C5315" s="7" t="s">
        <v>21</v>
      </c>
      <c r="D5315" s="9"/>
      <c r="E5315" s="7" t="s">
        <v>22</v>
      </c>
      <c r="F5315" s="9"/>
      <c r="G5315" s="5" t="s">
        <v>23</v>
      </c>
      <c r="H5315" s="5" t="s">
        <v>24</v>
      </c>
      <c r="I5315" s="5" t="s">
        <v>195</v>
      </c>
      <c r="J5315" s="5" t="s">
        <v>26</v>
      </c>
    </row>
    <row r="5316">
      <c r="A5316" s="6"/>
      <c r="B5316" s="6"/>
      <c r="C5316" s="8" t="s">
        <v>27</v>
      </c>
      <c r="D5316" s="8" t="s">
        <v>28</v>
      </c>
      <c r="E5316" s="8" t="s">
        <v>27</v>
      </c>
      <c r="F5316" s="8" t="s">
        <v>28</v>
      </c>
      <c r="G5316" s="6"/>
      <c r="H5316" s="6"/>
      <c r="I5316" s="10" t="s">
        <v>29</v>
      </c>
      <c r="J5316" s="6"/>
    </row>
    <row r="5317">
      <c r="A5317" s="11" t="s">
        <v>30</v>
      </c>
      <c r="B5317" s="12">
        <v>1677.4582</v>
      </c>
      <c r="C5317" s="12">
        <v>0</v>
      </c>
      <c r="D5317" s="13">
        <v>0</v>
      </c>
      <c r="E5317" s="12">
        <v>0</v>
      </c>
      <c r="F5317" s="14">
        <v>0</v>
      </c>
      <c r="G5317" s="13">
        <v>906.5608</v>
      </c>
      <c r="H5317" s="14">
        <v>1520717.847759</v>
      </c>
      <c r="I5317" s="14" t="e">
        <f>=Round(57.58400000,0)</f>
        <v>#VALUE!</v>
      </c>
      <c r="J5317" s="14" t="e">
        <f>=Round(0.00000000,0)</f>
        <v>#VALUE!</v>
      </c>
    </row>
    <row r="5318">
      <c r="A5318" s="11" t="s">
        <v>31</v>
      </c>
      <c r="B5318" s="12">
        <v>1685.5728</v>
      </c>
      <c r="C5318" s="12">
        <v>0</v>
      </c>
      <c r="D5318" s="13">
        <v>0</v>
      </c>
      <c r="E5318" s="12">
        <v>0</v>
      </c>
      <c r="F5318" s="14">
        <v>0</v>
      </c>
      <c r="G5318" s="13">
        <v>906.5608</v>
      </c>
      <c r="H5318" s="14">
        <v>1528074.226026</v>
      </c>
      <c r="I5318" s="14" t="e">
        <f>=Round(57.28730000,0)</f>
        <v>#VALUE!</v>
      </c>
      <c r="J5318" s="14" t="e">
        <f>=Round(0.00000000,0)</f>
        <v>#VALUE!</v>
      </c>
    </row>
    <row r="5319">
      <c r="A5319" s="11" t="s">
        <v>32</v>
      </c>
      <c r="B5319" s="12">
        <v>1695.5297</v>
      </c>
      <c r="C5319" s="12">
        <v>0</v>
      </c>
      <c r="D5319" s="13">
        <v>0</v>
      </c>
      <c r="E5319" s="12">
        <v>0</v>
      </c>
      <c r="F5319" s="14">
        <v>0</v>
      </c>
      <c r="G5319" s="13">
        <v>906.5608</v>
      </c>
      <c r="H5319" s="14">
        <v>1537100.761256</v>
      </c>
      <c r="I5319" s="14" t="e">
        <f>=Round(57.56440000,0)</f>
        <v>#VALUE!</v>
      </c>
      <c r="J5319" s="14" t="e">
        <f>=Round(0.00000000,0)</f>
        <v>#VALUE!</v>
      </c>
    </row>
    <row r="5320">
      <c r="A5320" s="11" t="s">
        <v>33</v>
      </c>
      <c r="B5320" s="12">
        <v>1694.4162</v>
      </c>
      <c r="C5320" s="12">
        <v>0</v>
      </c>
      <c r="D5320" s="13">
        <v>0</v>
      </c>
      <c r="E5320" s="12">
        <v>0</v>
      </c>
      <c r="F5320" s="14">
        <v>0</v>
      </c>
      <c r="G5320" s="13">
        <v>906.5608</v>
      </c>
      <c r="H5320" s="14">
        <v>1536091.305805</v>
      </c>
      <c r="I5320" s="14" t="e">
        <f>=Round(57.90450000,0)</f>
        <v>#VALUE!</v>
      </c>
      <c r="J5320" s="14" t="e">
        <f>=Round(0.00000000,0)</f>
        <v>#VALUE!</v>
      </c>
    </row>
    <row r="5321">
      <c r="A5321" s="11" t="s">
        <v>34</v>
      </c>
      <c r="B5321" s="12">
        <v>1694.5359</v>
      </c>
      <c r="C5321" s="12">
        <v>0</v>
      </c>
      <c r="D5321" s="13">
        <v>0</v>
      </c>
      <c r="E5321" s="12">
        <v>0</v>
      </c>
      <c r="F5321" s="14">
        <v>0</v>
      </c>
      <c r="G5321" s="13">
        <v>906.5608</v>
      </c>
      <c r="H5321" s="14">
        <v>1536199.821133</v>
      </c>
      <c r="I5321" s="14" t="e">
        <f>=Round(57.86650000,0)</f>
        <v>#VALUE!</v>
      </c>
      <c r="J5321" s="14" t="e">
        <f>=Round(0.00000000,0)</f>
        <v>#VALUE!</v>
      </c>
    </row>
    <row r="5322">
      <c r="A5322" s="11" t="s">
        <v>35</v>
      </c>
      <c r="B5322" s="12">
        <v>1694.5359</v>
      </c>
      <c r="C5322" s="12">
        <v>0</v>
      </c>
      <c r="D5322" s="13">
        <v>0</v>
      </c>
      <c r="E5322" s="12">
        <v>0</v>
      </c>
      <c r="F5322" s="14">
        <v>0</v>
      </c>
      <c r="G5322" s="13">
        <v>906.5608</v>
      </c>
      <c r="H5322" s="14">
        <v>1536199.821133</v>
      </c>
      <c r="I5322" s="14" t="e">
        <f>=Round(57.87050000,0)</f>
        <v>#VALUE!</v>
      </c>
      <c r="J5322" s="14" t="e">
        <f>=Round(0.00000000,0)</f>
        <v>#VALUE!</v>
      </c>
    </row>
    <row r="5323">
      <c r="A5323" s="11" t="s">
        <v>36</v>
      </c>
      <c r="B5323" s="12">
        <v>1694.5359</v>
      </c>
      <c r="C5323" s="12">
        <v>0</v>
      </c>
      <c r="D5323" s="13">
        <v>0</v>
      </c>
      <c r="E5323" s="12">
        <v>0</v>
      </c>
      <c r="F5323" s="14">
        <v>0</v>
      </c>
      <c r="G5323" s="13">
        <v>906.5608</v>
      </c>
      <c r="H5323" s="14">
        <v>1536199.821133</v>
      </c>
      <c r="I5323" s="14" t="e">
        <f>=Round(57.87050000,0)</f>
        <v>#VALUE!</v>
      </c>
      <c r="J5323" s="14" t="e">
        <f>=Round(0.00000000,0)</f>
        <v>#VALUE!</v>
      </c>
    </row>
    <row r="5324">
      <c r="A5324" s="11" t="s">
        <v>37</v>
      </c>
      <c r="B5324" s="12">
        <v>1686.858</v>
      </c>
      <c r="C5324" s="12">
        <v>0</v>
      </c>
      <c r="D5324" s="13">
        <v>0</v>
      </c>
      <c r="E5324" s="12">
        <v>0</v>
      </c>
      <c r="F5324" s="14">
        <v>0</v>
      </c>
      <c r="G5324" s="13">
        <v>906.5608</v>
      </c>
      <c r="H5324" s="14">
        <v>1529239.337966</v>
      </c>
      <c r="I5324" s="14" t="e">
        <f>=Round(57.87050000,0)</f>
        <v>#VALUE!</v>
      </c>
      <c r="J5324" s="14" t="e">
        <f>=Round(0.00000000,0)</f>
        <v>#VALUE!</v>
      </c>
    </row>
    <row r="5325">
      <c r="A5325" s="11" t="s">
        <v>38</v>
      </c>
      <c r="B5325" s="12">
        <v>1685.4893</v>
      </c>
      <c r="C5325" s="12">
        <v>0</v>
      </c>
      <c r="D5325" s="13">
        <v>0</v>
      </c>
      <c r="E5325" s="12">
        <v>0</v>
      </c>
      <c r="F5325" s="14">
        <v>0</v>
      </c>
      <c r="G5325" s="13">
        <v>906.5608</v>
      </c>
      <c r="H5325" s="14">
        <v>1527998.528199</v>
      </c>
      <c r="I5325" s="14" t="e">
        <f>=Round(57.60830000,0)</f>
        <v>#VALUE!</v>
      </c>
      <c r="J5325" s="14" t="e">
        <f>=Round(0.00000000,0)</f>
        <v>#VALUE!</v>
      </c>
    </row>
    <row r="5326">
      <c r="A5326" s="11" t="s">
        <v>39</v>
      </c>
      <c r="B5326" s="12">
        <v>1677.9056</v>
      </c>
      <c r="C5326" s="12">
        <v>0</v>
      </c>
      <c r="D5326" s="13">
        <v>0</v>
      </c>
      <c r="E5326" s="12">
        <v>0</v>
      </c>
      <c r="F5326" s="14">
        <v>0</v>
      </c>
      <c r="G5326" s="13">
        <v>906.5608</v>
      </c>
      <c r="H5326" s="14">
        <v>1521123.44306</v>
      </c>
      <c r="I5326" s="14" t="e">
        <f>=Round(57.56160000,0)</f>
        <v>#VALUE!</v>
      </c>
      <c r="J5326" s="14" t="e">
        <f>=Round(0.00000000,0)</f>
        <v>#VALUE!</v>
      </c>
    </row>
    <row r="5327">
      <c r="A5327" s="11" t="s">
        <v>40</v>
      </c>
      <c r="B5327" s="12">
        <v>1667.6693</v>
      </c>
      <c r="C5327" s="12">
        <v>0</v>
      </c>
      <c r="D5327" s="13">
        <v>0</v>
      </c>
      <c r="E5327" s="12">
        <v>0</v>
      </c>
      <c r="F5327" s="14">
        <v>0</v>
      </c>
      <c r="G5327" s="13">
        <v>906.5608</v>
      </c>
      <c r="H5327" s="14">
        <v>1511843.614743</v>
      </c>
      <c r="I5327" s="14" t="e">
        <f>=Round(57.30260000,0)</f>
        <v>#VALUE!</v>
      </c>
      <c r="J5327" s="14" t="e">
        <f>=Round(0.00000000,0)</f>
        <v>#VALUE!</v>
      </c>
    </row>
    <row r="5328">
      <c r="A5328" s="11" t="s">
        <v>41</v>
      </c>
      <c r="B5328" s="12">
        <v>1672.9358</v>
      </c>
      <c r="C5328" s="12">
        <v>0</v>
      </c>
      <c r="D5328" s="13">
        <v>0</v>
      </c>
      <c r="E5328" s="12">
        <v>0</v>
      </c>
      <c r="F5328" s="14">
        <v>0</v>
      </c>
      <c r="G5328" s="13">
        <v>906.5608</v>
      </c>
      <c r="H5328" s="14">
        <v>1516618.017197</v>
      </c>
      <c r="I5328" s="14" t="e">
        <f>=Round(56.95300000,0)</f>
        <v>#VALUE!</v>
      </c>
      <c r="J5328" s="14" t="e">
        <f>=Round(0.00000000,0)</f>
        <v>#VALUE!</v>
      </c>
    </row>
    <row r="5329">
      <c r="A5329" s="11" t="s">
        <v>42</v>
      </c>
      <c r="B5329" s="12">
        <v>1672.9358</v>
      </c>
      <c r="C5329" s="12">
        <v>0</v>
      </c>
      <c r="D5329" s="13">
        <v>0</v>
      </c>
      <c r="E5329" s="12">
        <v>0</v>
      </c>
      <c r="F5329" s="14">
        <v>0</v>
      </c>
      <c r="G5329" s="13">
        <v>906.5608</v>
      </c>
      <c r="H5329" s="14">
        <v>1516618.017197</v>
      </c>
      <c r="I5329" s="14" t="e">
        <f>=Round(57.13290000,0)</f>
        <v>#VALUE!</v>
      </c>
      <c r="J5329" s="14" t="e">
        <f>=Round(0.00000000,0)</f>
        <v>#VALUE!</v>
      </c>
    </row>
    <row r="5330">
      <c r="A5330" s="11" t="s">
        <v>43</v>
      </c>
      <c r="B5330" s="12">
        <v>1672.9358</v>
      </c>
      <c r="C5330" s="12">
        <v>0</v>
      </c>
      <c r="D5330" s="13">
        <v>0</v>
      </c>
      <c r="E5330" s="12">
        <v>0</v>
      </c>
      <c r="F5330" s="14">
        <v>0</v>
      </c>
      <c r="G5330" s="13">
        <v>906.5608</v>
      </c>
      <c r="H5330" s="14">
        <v>1516618.017197</v>
      </c>
      <c r="I5330" s="14" t="e">
        <f>=Round(57.13290000,0)</f>
        <v>#VALUE!</v>
      </c>
      <c r="J5330" s="14" t="e">
        <f>=Round(0.00000000,0)</f>
        <v>#VALUE!</v>
      </c>
    </row>
    <row r="5331">
      <c r="A5331" s="11" t="s">
        <v>44</v>
      </c>
      <c r="B5331" s="12">
        <v>1672.7866</v>
      </c>
      <c r="C5331" s="12">
        <v>0</v>
      </c>
      <c r="D5331" s="13">
        <v>0</v>
      </c>
      <c r="E5331" s="12">
        <v>0</v>
      </c>
      <c r="F5331" s="14">
        <v>0</v>
      </c>
      <c r="G5331" s="13">
        <v>906.5608</v>
      </c>
      <c r="H5331" s="14">
        <v>1516482.758325</v>
      </c>
      <c r="I5331" s="14" t="e">
        <f>=Round(57.13290000,0)</f>
        <v>#VALUE!</v>
      </c>
      <c r="J5331" s="14" t="e">
        <f>=Round(0.00000000,0)</f>
        <v>#VALUE!</v>
      </c>
    </row>
    <row r="5332">
      <c r="A5332" s="11" t="s">
        <v>45</v>
      </c>
      <c r="B5332" s="12">
        <v>1678.8917</v>
      </c>
      <c r="C5332" s="12">
        <v>0</v>
      </c>
      <c r="D5332" s="13">
        <v>0</v>
      </c>
      <c r="E5332" s="12">
        <v>0</v>
      </c>
      <c r="F5332" s="14">
        <v>0</v>
      </c>
      <c r="G5332" s="13">
        <v>906.5608</v>
      </c>
      <c r="H5332" s="14">
        <v>1522017.402665</v>
      </c>
      <c r="I5332" s="14" t="e">
        <f>=Round(57.12780000,0)</f>
        <v>#VALUE!</v>
      </c>
      <c r="J5332" s="14" t="e">
        <f>=Round(0.00000000,0)</f>
        <v>#VALUE!</v>
      </c>
    </row>
    <row r="5333">
      <c r="A5333" s="11" t="s">
        <v>46</v>
      </c>
      <c r="B5333" s="12">
        <v>1685.7783</v>
      </c>
      <c r="C5333" s="12">
        <v>0</v>
      </c>
      <c r="D5333" s="13">
        <v>0</v>
      </c>
      <c r="E5333" s="12">
        <v>0</v>
      </c>
      <c r="F5333" s="14">
        <v>0</v>
      </c>
      <c r="G5333" s="13">
        <v>906.5608</v>
      </c>
      <c r="H5333" s="14">
        <v>1528260.524271</v>
      </c>
      <c r="I5333" s="14" t="e">
        <f>=Round(57.33630000,0)</f>
        <v>#VALUE!</v>
      </c>
      <c r="J5333" s="14" t="e">
        <f>=Round(0.00000000,0)</f>
        <v>#VALUE!</v>
      </c>
    </row>
    <row r="5334">
      <c r="A5334" s="11" t="s">
        <v>47</v>
      </c>
      <c r="B5334" s="12">
        <v>1691.2871</v>
      </c>
      <c r="C5334" s="12">
        <v>0</v>
      </c>
      <c r="D5334" s="13">
        <v>0</v>
      </c>
      <c r="E5334" s="12">
        <v>0</v>
      </c>
      <c r="F5334" s="14">
        <v>0</v>
      </c>
      <c r="G5334" s="13">
        <v>906.5608</v>
      </c>
      <c r="H5334" s="14">
        <v>1533254.586406</v>
      </c>
      <c r="I5334" s="14" t="e">
        <f>=Round(57.57150000,0)</f>
        <v>#VALUE!</v>
      </c>
      <c r="J5334" s="14" t="e">
        <f>=Round(0.00000000,0)</f>
        <v>#VALUE!</v>
      </c>
    </row>
    <row r="5335">
      <c r="A5335" s="11" t="s">
        <v>48</v>
      </c>
      <c r="B5335" s="12">
        <v>1681.0981</v>
      </c>
      <c r="C5335" s="12">
        <v>0</v>
      </c>
      <c r="D5335" s="13">
        <v>0</v>
      </c>
      <c r="E5335" s="12">
        <v>0</v>
      </c>
      <c r="F5335" s="14">
        <v>0</v>
      </c>
      <c r="G5335" s="13">
        <v>906.5608</v>
      </c>
      <c r="H5335" s="14">
        <v>1524017.638414</v>
      </c>
      <c r="I5335" s="14" t="e">
        <f>=Round(57.75960000,0)</f>
        <v>#VALUE!</v>
      </c>
      <c r="J5335" s="14" t="e">
        <f>=Round(0.00000000,0)</f>
        <v>#VALUE!</v>
      </c>
    </row>
    <row r="5336">
      <c r="A5336" s="11" t="s">
        <v>49</v>
      </c>
      <c r="B5336" s="12">
        <v>1681.0981</v>
      </c>
      <c r="C5336" s="12">
        <v>0</v>
      </c>
      <c r="D5336" s="13">
        <v>0</v>
      </c>
      <c r="E5336" s="12">
        <v>0</v>
      </c>
      <c r="F5336" s="14">
        <v>0</v>
      </c>
      <c r="G5336" s="13">
        <v>906.5608</v>
      </c>
      <c r="H5336" s="14">
        <v>1524017.638414</v>
      </c>
      <c r="I5336" s="14" t="e">
        <f>=Round(57.41160000,0)</f>
        <v>#VALUE!</v>
      </c>
      <c r="J5336" s="14" t="e">
        <f>=Round(0.00000000,0)</f>
        <v>#VALUE!</v>
      </c>
    </row>
    <row r="5337">
      <c r="A5337" s="11" t="s">
        <v>50</v>
      </c>
      <c r="B5337" s="12">
        <v>1681.0981</v>
      </c>
      <c r="C5337" s="12">
        <v>0</v>
      </c>
      <c r="D5337" s="13">
        <v>0</v>
      </c>
      <c r="E5337" s="12">
        <v>0</v>
      </c>
      <c r="F5337" s="14">
        <v>0</v>
      </c>
      <c r="G5337" s="13">
        <v>906.5608</v>
      </c>
      <c r="H5337" s="14">
        <v>1524017.638414</v>
      </c>
      <c r="I5337" s="14" t="e">
        <f>=Round(57.41160000,0)</f>
        <v>#VALUE!</v>
      </c>
      <c r="J5337" s="14" t="e">
        <f>=Round(0.00000000,0)</f>
        <v>#VALUE!</v>
      </c>
    </row>
    <row r="5338">
      <c r="A5338" s="11" t="s">
        <v>51</v>
      </c>
      <c r="B5338" s="12">
        <v>1671.3084</v>
      </c>
      <c r="C5338" s="12">
        <v>0</v>
      </c>
      <c r="D5338" s="13">
        <v>0</v>
      </c>
      <c r="E5338" s="12">
        <v>0</v>
      </c>
      <c r="F5338" s="14">
        <v>0</v>
      </c>
      <c r="G5338" s="13">
        <v>906.5608</v>
      </c>
      <c r="H5338" s="14">
        <v>1515142.680151</v>
      </c>
      <c r="I5338" s="14" t="e">
        <f>=Round(57.41160000,0)</f>
        <v>#VALUE!</v>
      </c>
      <c r="J5338" s="14" t="e">
        <f>=Round(0.00000000,0)</f>
        <v>#VALUE!</v>
      </c>
    </row>
    <row r="5339">
      <c r="A5339" s="11" t="s">
        <v>52</v>
      </c>
      <c r="B5339" s="12">
        <v>1666.7814</v>
      </c>
      <c r="C5339" s="12">
        <v>0</v>
      </c>
      <c r="D5339" s="13">
        <v>0</v>
      </c>
      <c r="E5339" s="12">
        <v>0</v>
      </c>
      <c r="F5339" s="14">
        <v>0</v>
      </c>
      <c r="G5339" s="13">
        <v>906.5608</v>
      </c>
      <c r="H5339" s="14">
        <v>1511038.679409</v>
      </c>
      <c r="I5339" s="14" t="e">
        <f>=Round(57.07730000,0)</f>
        <v>#VALUE!</v>
      </c>
      <c r="J5339" s="14" t="e">
        <f>=Round(0.00000000,0)</f>
        <v>#VALUE!</v>
      </c>
    </row>
    <row r="5340">
      <c r="A5340" s="11" t="s">
        <v>53</v>
      </c>
      <c r="B5340" s="12">
        <v>1647.4448</v>
      </c>
      <c r="C5340" s="12">
        <v>0</v>
      </c>
      <c r="D5340" s="13">
        <v>0</v>
      </c>
      <c r="E5340" s="12">
        <v>0</v>
      </c>
      <c r="F5340" s="14">
        <v>0</v>
      </c>
      <c r="G5340" s="13">
        <v>906.5608</v>
      </c>
      <c r="H5340" s="14">
        <v>1493508.875844</v>
      </c>
      <c r="I5340" s="14" t="e">
        <f>=Round(56.92270000,0)</f>
        <v>#VALUE!</v>
      </c>
      <c r="J5340" s="14" t="e">
        <f>=Round(0.00000000,0)</f>
        <v>#VALUE!</v>
      </c>
    </row>
    <row r="5341">
      <c r="A5341" s="11" t="s">
        <v>54</v>
      </c>
      <c r="B5341" s="12">
        <v>1631.4758</v>
      </c>
      <c r="C5341" s="12">
        <v>0</v>
      </c>
      <c r="D5341" s="13">
        <v>0</v>
      </c>
      <c r="E5341" s="12">
        <v>0</v>
      </c>
      <c r="F5341" s="14">
        <v>0</v>
      </c>
      <c r="G5341" s="13">
        <v>906.5608</v>
      </c>
      <c r="H5341" s="14">
        <v>1479032.006429</v>
      </c>
      <c r="I5341" s="14" t="e">
        <f>=Round(56.26230000,0)</f>
        <v>#VALUE!</v>
      </c>
      <c r="J5341" s="14" t="e">
        <f>=Round(0.00000000,0)</f>
        <v>#VALUE!</v>
      </c>
    </row>
    <row r="5342">
      <c r="A5342" s="11" t="s">
        <v>55</v>
      </c>
      <c r="B5342" s="12">
        <v>1613.9929</v>
      </c>
      <c r="C5342" s="12">
        <v>0</v>
      </c>
      <c r="D5342" s="13">
        <v>0</v>
      </c>
      <c r="E5342" s="12">
        <v>0</v>
      </c>
      <c r="F5342" s="14">
        <v>0</v>
      </c>
      <c r="G5342" s="13">
        <v>906.5608</v>
      </c>
      <c r="H5342" s="14">
        <v>1463182.694618</v>
      </c>
      <c r="I5342" s="14" t="e">
        <f>=Round(55.71700000,0)</f>
        <v>#VALUE!</v>
      </c>
      <c r="J5342" s="14" t="e">
        <f>=Round(0.00000000,0)</f>
        <v>#VALUE!</v>
      </c>
    </row>
    <row r="5343" ht="-1">
      <c r="A5343" s="15"/>
      <c r="B5343" s="16" t="s">
        <v>56</v>
      </c>
      <c r="C5343" s="15"/>
      <c r="D5343" s="15"/>
      <c r="E5343" s="15"/>
      <c r="F5343" s="15"/>
      <c r="G5343" s="15"/>
      <c r="H5343" s="15"/>
      <c r="I5343" s="17" t="e">
        <f>=Round(SUM(I5317:I5342),0)</f>
        <v>#VALUE!</v>
      </c>
      <c r="J5343" s="17" t="e">
        <f>=Round(SUM(J5317:J5342),0)</f>
        <v>#VALUE!</v>
      </c>
    </row>
    <row r="5344">
      <c r="A5344" s="1" t="s">
        <v>0</v>
      </c>
      <c r="B5344" s="1"/>
      <c r="C5344" s="1"/>
      <c r="D5344" s="1"/>
    </row>
    <row r="5345">
      <c r="A5345" s="0" t="s">
        <v>1</v>
      </c>
      <c r="C5345" s="0" t="s">
        <v>192</v>
      </c>
      <c r="H5345" s="2" t="s">
        <v>3</v>
      </c>
    </row>
    <row r="5346">
      <c r="A5346" s="0" t="s">
        <v>4</v>
      </c>
      <c r="C5346" s="0" t="s">
        <v>140</v>
      </c>
      <c r="H5346" s="3" t="s">
        <v>6</v>
      </c>
    </row>
    <row r="5347">
      <c r="A5347" s="0" t="s">
        <v>7</v>
      </c>
      <c r="C5347" s="4" t="s">
        <v>194</v>
      </c>
      <c r="H5347" s="2" t="s">
        <v>9</v>
      </c>
    </row>
    <row r="5348">
      <c r="A5348" s="0" t="s">
        <v>10</v>
      </c>
      <c r="C5348" s="4" t="s">
        <v>11</v>
      </c>
      <c r="H5348" s="2" t="s">
        <v>12</v>
      </c>
    </row>
    <row r="5349">
      <c r="A5349" s="0" t="s">
        <v>13</v>
      </c>
      <c r="C5349" s="0" t="s">
        <v>14</v>
      </c>
    </row>
    <row r="5350">
      <c r="A5350" s="0" t="s">
        <v>15</v>
      </c>
      <c r="C5350" s="0" t="s">
        <v>16</v>
      </c>
    </row>
    <row r="5351">
      <c r="A5351" s="0" t="s">
        <v>17</v>
      </c>
      <c r="C5351" s="0" t="s">
        <v>18</v>
      </c>
    </row>
    <row r="5354">
      <c r="A5354" s="5" t="s">
        <v>19</v>
      </c>
      <c r="B5354" s="5" t="s">
        <v>20</v>
      </c>
      <c r="C5354" s="7" t="s">
        <v>21</v>
      </c>
      <c r="D5354" s="9"/>
      <c r="E5354" s="7" t="s">
        <v>22</v>
      </c>
      <c r="F5354" s="9"/>
      <c r="G5354" s="5" t="s">
        <v>23</v>
      </c>
      <c r="H5354" s="5" t="s">
        <v>24</v>
      </c>
      <c r="I5354" s="5" t="s">
        <v>195</v>
      </c>
      <c r="J5354" s="5" t="s">
        <v>26</v>
      </c>
    </row>
    <row r="5355">
      <c r="A5355" s="6"/>
      <c r="B5355" s="6"/>
      <c r="C5355" s="8" t="s">
        <v>27</v>
      </c>
      <c r="D5355" s="8" t="s">
        <v>28</v>
      </c>
      <c r="E5355" s="8" t="s">
        <v>27</v>
      </c>
      <c r="F5355" s="8" t="s">
        <v>28</v>
      </c>
      <c r="G5355" s="6"/>
      <c r="H5355" s="6"/>
      <c r="I5355" s="10" t="s">
        <v>29</v>
      </c>
      <c r="J5355" s="6"/>
    </row>
    <row r="5356">
      <c r="A5356" s="11" t="s">
        <v>30</v>
      </c>
      <c r="B5356" s="12">
        <v>1677.4582</v>
      </c>
      <c r="C5356" s="12">
        <v>0</v>
      </c>
      <c r="D5356" s="13">
        <v>0</v>
      </c>
      <c r="E5356" s="12">
        <v>0</v>
      </c>
      <c r="F5356" s="14">
        <v>0</v>
      </c>
      <c r="G5356" s="13">
        <v>5182.0866</v>
      </c>
      <c r="H5356" s="14">
        <v>8692733.66028</v>
      </c>
      <c r="I5356" s="14" t="e">
        <f>=Round(329.16190000,0)</f>
        <v>#VALUE!</v>
      </c>
      <c r="J5356" s="14" t="e">
        <f>=Round(0.00000000,0)</f>
        <v>#VALUE!</v>
      </c>
    </row>
    <row r="5357">
      <c r="A5357" s="11" t="s">
        <v>31</v>
      </c>
      <c r="B5357" s="12">
        <v>1685.5728</v>
      </c>
      <c r="C5357" s="12">
        <v>0</v>
      </c>
      <c r="D5357" s="13">
        <v>0</v>
      </c>
      <c r="E5357" s="12">
        <v>0</v>
      </c>
      <c r="F5357" s="14">
        <v>0</v>
      </c>
      <c r="G5357" s="13">
        <v>5182.0866</v>
      </c>
      <c r="H5357" s="14">
        <v>8734784.220204</v>
      </c>
      <c r="I5357" s="14" t="e">
        <f>=Round(327.46600000,0)</f>
        <v>#VALUE!</v>
      </c>
      <c r="J5357" s="14" t="e">
        <f>=Round(0.00000000,0)</f>
        <v>#VALUE!</v>
      </c>
    </row>
    <row r="5358">
      <c r="A5358" s="11" t="s">
        <v>32</v>
      </c>
      <c r="B5358" s="12">
        <v>1695.5297</v>
      </c>
      <c r="C5358" s="12">
        <v>0</v>
      </c>
      <c r="D5358" s="13">
        <v>0</v>
      </c>
      <c r="E5358" s="12">
        <v>0</v>
      </c>
      <c r="F5358" s="14">
        <v>0</v>
      </c>
      <c r="G5358" s="13">
        <v>5182.0866</v>
      </c>
      <c r="H5358" s="14">
        <v>8786381.738272</v>
      </c>
      <c r="I5358" s="14" t="e">
        <f>=Round(329.05010000,0)</f>
        <v>#VALUE!</v>
      </c>
      <c r="J5358" s="14" t="e">
        <f>=Round(0.00000000,0)</f>
        <v>#VALUE!</v>
      </c>
    </row>
    <row r="5359">
      <c r="A5359" s="11" t="s">
        <v>33</v>
      </c>
      <c r="B5359" s="12">
        <v>1694.4162</v>
      </c>
      <c r="C5359" s="12">
        <v>0</v>
      </c>
      <c r="D5359" s="13">
        <v>0</v>
      </c>
      <c r="E5359" s="12">
        <v>0</v>
      </c>
      <c r="F5359" s="14">
        <v>0</v>
      </c>
      <c r="G5359" s="13">
        <v>5182.0866</v>
      </c>
      <c r="H5359" s="14">
        <v>8780611.484843</v>
      </c>
      <c r="I5359" s="14" t="e">
        <f>=Round(330.99380000,0)</f>
        <v>#VALUE!</v>
      </c>
      <c r="J5359" s="14" t="e">
        <f>=Round(0.00000000,0)</f>
        <v>#VALUE!</v>
      </c>
    </row>
    <row r="5360">
      <c r="A5360" s="11" t="s">
        <v>34</v>
      </c>
      <c r="B5360" s="12">
        <v>1694.5359</v>
      </c>
      <c r="C5360" s="12">
        <v>0</v>
      </c>
      <c r="D5360" s="13">
        <v>0</v>
      </c>
      <c r="E5360" s="12">
        <v>0</v>
      </c>
      <c r="F5360" s="14">
        <v>0</v>
      </c>
      <c r="G5360" s="13">
        <v>5182.0866</v>
      </c>
      <c r="H5360" s="14">
        <v>8781231.780609</v>
      </c>
      <c r="I5360" s="14" t="e">
        <f>=Round(330.77650000,0)</f>
        <v>#VALUE!</v>
      </c>
      <c r="J5360" s="14" t="e">
        <f>=Round(0.00000000,0)</f>
        <v>#VALUE!</v>
      </c>
    </row>
    <row r="5361">
      <c r="A5361" s="11" t="s">
        <v>35</v>
      </c>
      <c r="B5361" s="12">
        <v>1694.5359</v>
      </c>
      <c r="C5361" s="12">
        <v>0</v>
      </c>
      <c r="D5361" s="13">
        <v>0</v>
      </c>
      <c r="E5361" s="12">
        <v>0</v>
      </c>
      <c r="F5361" s="14">
        <v>0</v>
      </c>
      <c r="G5361" s="13">
        <v>5182.0866</v>
      </c>
      <c r="H5361" s="14">
        <v>8781231.780609</v>
      </c>
      <c r="I5361" s="14" t="e">
        <f>=Round(330.79980000,0)</f>
        <v>#VALUE!</v>
      </c>
      <c r="J5361" s="14" t="e">
        <f>=Round(0.00000000,0)</f>
        <v>#VALUE!</v>
      </c>
    </row>
    <row r="5362">
      <c r="A5362" s="11" t="s">
        <v>36</v>
      </c>
      <c r="B5362" s="12">
        <v>1694.5359</v>
      </c>
      <c r="C5362" s="12">
        <v>0</v>
      </c>
      <c r="D5362" s="13">
        <v>0</v>
      </c>
      <c r="E5362" s="12">
        <v>0</v>
      </c>
      <c r="F5362" s="14">
        <v>0</v>
      </c>
      <c r="G5362" s="13">
        <v>5182.0866</v>
      </c>
      <c r="H5362" s="14">
        <v>8781231.780609</v>
      </c>
      <c r="I5362" s="14" t="e">
        <f>=Round(330.79980000,0)</f>
        <v>#VALUE!</v>
      </c>
      <c r="J5362" s="14" t="e">
        <f>=Round(0.00000000,0)</f>
        <v>#VALUE!</v>
      </c>
    </row>
    <row r="5363">
      <c r="A5363" s="11" t="s">
        <v>37</v>
      </c>
      <c r="B5363" s="12">
        <v>1686.858</v>
      </c>
      <c r="C5363" s="12">
        <v>0</v>
      </c>
      <c r="D5363" s="13">
        <v>0</v>
      </c>
      <c r="E5363" s="12">
        <v>0</v>
      </c>
      <c r="F5363" s="14">
        <v>0</v>
      </c>
      <c r="G5363" s="13">
        <v>5182.0866</v>
      </c>
      <c r="H5363" s="14">
        <v>8741444.237903</v>
      </c>
      <c r="I5363" s="14" t="e">
        <f>=Round(330.79980000,0)</f>
        <v>#VALUE!</v>
      </c>
      <c r="J5363" s="14" t="e">
        <f>=Round(0.00000000,0)</f>
        <v>#VALUE!</v>
      </c>
    </row>
    <row r="5364">
      <c r="A5364" s="11" t="s">
        <v>38</v>
      </c>
      <c r="B5364" s="12">
        <v>1685.4893</v>
      </c>
      <c r="C5364" s="12">
        <v>0</v>
      </c>
      <c r="D5364" s="13">
        <v>0</v>
      </c>
      <c r="E5364" s="12">
        <v>0</v>
      </c>
      <c r="F5364" s="14">
        <v>0</v>
      </c>
      <c r="G5364" s="13">
        <v>5182.0866</v>
      </c>
      <c r="H5364" s="14">
        <v>8734351.515973</v>
      </c>
      <c r="I5364" s="14" t="e">
        <f>=Round(329.30100000,0)</f>
        <v>#VALUE!</v>
      </c>
      <c r="J5364" s="14" t="e">
        <f>=Round(0.00000000,0)</f>
        <v>#VALUE!</v>
      </c>
    </row>
    <row r="5365">
      <c r="A5365" s="11" t="s">
        <v>39</v>
      </c>
      <c r="B5365" s="12">
        <v>1677.9056</v>
      </c>
      <c r="C5365" s="12">
        <v>0</v>
      </c>
      <c r="D5365" s="13">
        <v>0</v>
      </c>
      <c r="E5365" s="12">
        <v>0</v>
      </c>
      <c r="F5365" s="14">
        <v>0</v>
      </c>
      <c r="G5365" s="13">
        <v>5182.0866</v>
      </c>
      <c r="H5365" s="14">
        <v>8695052.125825</v>
      </c>
      <c r="I5365" s="14" t="e">
        <f>=Round(329.03380000,0)</f>
        <v>#VALUE!</v>
      </c>
      <c r="J5365" s="14" t="e">
        <f>=Round(0.00000000,0)</f>
        <v>#VALUE!</v>
      </c>
    </row>
    <row r="5366">
      <c r="A5366" s="11" t="s">
        <v>40</v>
      </c>
      <c r="B5366" s="12">
        <v>1667.6693</v>
      </c>
      <c r="C5366" s="12">
        <v>0</v>
      </c>
      <c r="D5366" s="13">
        <v>0</v>
      </c>
      <c r="E5366" s="12">
        <v>0</v>
      </c>
      <c r="F5366" s="14">
        <v>0</v>
      </c>
      <c r="G5366" s="13">
        <v>5182.0866</v>
      </c>
      <c r="H5366" s="14">
        <v>8642006.732761</v>
      </c>
      <c r="I5366" s="14" t="e">
        <f>=Round(327.55330000,0)</f>
        <v>#VALUE!</v>
      </c>
      <c r="J5366" s="14" t="e">
        <f>=Round(0.00000000,0)</f>
        <v>#VALUE!</v>
      </c>
    </row>
    <row r="5367">
      <c r="A5367" s="11" t="s">
        <v>41</v>
      </c>
      <c r="B5367" s="12">
        <v>1672.9358</v>
      </c>
      <c r="C5367" s="12">
        <v>0</v>
      </c>
      <c r="D5367" s="13">
        <v>0</v>
      </c>
      <c r="E5367" s="12">
        <v>0</v>
      </c>
      <c r="F5367" s="14">
        <v>0</v>
      </c>
      <c r="G5367" s="13">
        <v>5182.0866</v>
      </c>
      <c r="H5367" s="14">
        <v>8669298.19184</v>
      </c>
      <c r="I5367" s="14" t="e">
        <f>=Round(325.55500000,0)</f>
        <v>#VALUE!</v>
      </c>
      <c r="J5367" s="14" t="e">
        <f>=Round(0.00000000,0)</f>
        <v>#VALUE!</v>
      </c>
    </row>
    <row r="5368">
      <c r="A5368" s="11" t="s">
        <v>42</v>
      </c>
      <c r="B5368" s="12">
        <v>1672.9358</v>
      </c>
      <c r="C5368" s="12">
        <v>0</v>
      </c>
      <c r="D5368" s="13">
        <v>0</v>
      </c>
      <c r="E5368" s="12">
        <v>0</v>
      </c>
      <c r="F5368" s="14">
        <v>0</v>
      </c>
      <c r="G5368" s="13">
        <v>5182.0866</v>
      </c>
      <c r="H5368" s="14">
        <v>8669298.19184</v>
      </c>
      <c r="I5368" s="14" t="e">
        <f>=Round(326.58320000,0)</f>
        <v>#VALUE!</v>
      </c>
      <c r="J5368" s="14" t="e">
        <f>=Round(0.00000000,0)</f>
        <v>#VALUE!</v>
      </c>
    </row>
    <row r="5369">
      <c r="A5369" s="11" t="s">
        <v>43</v>
      </c>
      <c r="B5369" s="12">
        <v>1672.9358</v>
      </c>
      <c r="C5369" s="12">
        <v>0</v>
      </c>
      <c r="D5369" s="13">
        <v>0</v>
      </c>
      <c r="E5369" s="12">
        <v>0</v>
      </c>
      <c r="F5369" s="14">
        <v>0</v>
      </c>
      <c r="G5369" s="13">
        <v>5182.0866</v>
      </c>
      <c r="H5369" s="14">
        <v>8669298.19184</v>
      </c>
      <c r="I5369" s="14" t="e">
        <f>=Round(326.58320000,0)</f>
        <v>#VALUE!</v>
      </c>
      <c r="J5369" s="14" t="e">
        <f>=Round(0.00000000,0)</f>
        <v>#VALUE!</v>
      </c>
    </row>
    <row r="5370">
      <c r="A5370" s="11" t="s">
        <v>44</v>
      </c>
      <c r="B5370" s="12">
        <v>1672.7866</v>
      </c>
      <c r="C5370" s="12">
        <v>0</v>
      </c>
      <c r="D5370" s="13">
        <v>0</v>
      </c>
      <c r="E5370" s="12">
        <v>0</v>
      </c>
      <c r="F5370" s="14">
        <v>0</v>
      </c>
      <c r="G5370" s="13">
        <v>5182.0866</v>
      </c>
      <c r="H5370" s="14">
        <v>8668525.02452</v>
      </c>
      <c r="I5370" s="14" t="e">
        <f>=Round(326.58320000,0)</f>
        <v>#VALUE!</v>
      </c>
      <c r="J5370" s="14" t="e">
        <f>=Round(0.00000000,0)</f>
        <v>#VALUE!</v>
      </c>
    </row>
    <row r="5371">
      <c r="A5371" s="11" t="s">
        <v>45</v>
      </c>
      <c r="B5371" s="12">
        <v>1678.8917</v>
      </c>
      <c r="C5371" s="12">
        <v>0</v>
      </c>
      <c r="D5371" s="13">
        <v>0</v>
      </c>
      <c r="E5371" s="12">
        <v>0</v>
      </c>
      <c r="F5371" s="14">
        <v>0</v>
      </c>
      <c r="G5371" s="13">
        <v>5182.0866</v>
      </c>
      <c r="H5371" s="14">
        <v>8700162.181421</v>
      </c>
      <c r="I5371" s="14" t="e">
        <f>=Round(326.55400000,0)</f>
        <v>#VALUE!</v>
      </c>
      <c r="J5371" s="14" t="e">
        <f>=Round(0.00000000,0)</f>
        <v>#VALUE!</v>
      </c>
    </row>
    <row r="5372">
      <c r="A5372" s="11" t="s">
        <v>46</v>
      </c>
      <c r="B5372" s="12">
        <v>1685.7783</v>
      </c>
      <c r="C5372" s="12">
        <v>0</v>
      </c>
      <c r="D5372" s="13">
        <v>0</v>
      </c>
      <c r="E5372" s="12">
        <v>0</v>
      </c>
      <c r="F5372" s="14">
        <v>0</v>
      </c>
      <c r="G5372" s="13">
        <v>5182.0866</v>
      </c>
      <c r="H5372" s="14">
        <v>8735849.139001</v>
      </c>
      <c r="I5372" s="14" t="e">
        <f>=Round(327.74580000,0)</f>
        <v>#VALUE!</v>
      </c>
      <c r="J5372" s="14" t="e">
        <f>=Round(0.00000000,0)</f>
        <v>#VALUE!</v>
      </c>
    </row>
    <row r="5373">
      <c r="A5373" s="11" t="s">
        <v>47</v>
      </c>
      <c r="B5373" s="12">
        <v>1691.2871</v>
      </c>
      <c r="C5373" s="12">
        <v>0</v>
      </c>
      <c r="D5373" s="13">
        <v>0</v>
      </c>
      <c r="E5373" s="12">
        <v>0</v>
      </c>
      <c r="F5373" s="14">
        <v>0</v>
      </c>
      <c r="G5373" s="13">
        <v>5182.0866</v>
      </c>
      <c r="H5373" s="14">
        <v>8764396.217663</v>
      </c>
      <c r="I5373" s="14" t="e">
        <f>=Round(329.09020000,0)</f>
        <v>#VALUE!</v>
      </c>
      <c r="J5373" s="14" t="e">
        <f>=Round(0.00000000,0)</f>
        <v>#VALUE!</v>
      </c>
    </row>
    <row r="5374">
      <c r="A5374" s="11" t="s">
        <v>48</v>
      </c>
      <c r="B5374" s="12">
        <v>1681.0981</v>
      </c>
      <c r="C5374" s="12">
        <v>0</v>
      </c>
      <c r="D5374" s="13">
        <v>0</v>
      </c>
      <c r="E5374" s="12">
        <v>0</v>
      </c>
      <c r="F5374" s="14">
        <v>0</v>
      </c>
      <c r="G5374" s="13">
        <v>5182.0866</v>
      </c>
      <c r="H5374" s="14">
        <v>8711595.937295</v>
      </c>
      <c r="I5374" s="14" t="e">
        <f>=Round(330.16560000,0)</f>
        <v>#VALUE!</v>
      </c>
      <c r="J5374" s="14" t="e">
        <f>=Round(0.00000000,0)</f>
        <v>#VALUE!</v>
      </c>
    </row>
    <row r="5375">
      <c r="A5375" s="11" t="s">
        <v>49</v>
      </c>
      <c r="B5375" s="12">
        <v>1681.0981</v>
      </c>
      <c r="C5375" s="12">
        <v>0</v>
      </c>
      <c r="D5375" s="13">
        <v>0</v>
      </c>
      <c r="E5375" s="12">
        <v>0</v>
      </c>
      <c r="F5375" s="14">
        <v>0</v>
      </c>
      <c r="G5375" s="13">
        <v>5182.0866</v>
      </c>
      <c r="H5375" s="14">
        <v>8711595.937295</v>
      </c>
      <c r="I5375" s="14" t="e">
        <f>=Round(328.17660000,0)</f>
        <v>#VALUE!</v>
      </c>
      <c r="J5375" s="14" t="e">
        <f>=Round(0.00000000,0)</f>
        <v>#VALUE!</v>
      </c>
    </row>
    <row r="5376">
      <c r="A5376" s="11" t="s">
        <v>50</v>
      </c>
      <c r="B5376" s="12">
        <v>1681.0981</v>
      </c>
      <c r="C5376" s="12">
        <v>0</v>
      </c>
      <c r="D5376" s="13">
        <v>0</v>
      </c>
      <c r="E5376" s="12">
        <v>0</v>
      </c>
      <c r="F5376" s="14">
        <v>0</v>
      </c>
      <c r="G5376" s="13">
        <v>5182.0866</v>
      </c>
      <c r="H5376" s="14">
        <v>8711595.937295</v>
      </c>
      <c r="I5376" s="14" t="e">
        <f>=Round(328.17660000,0)</f>
        <v>#VALUE!</v>
      </c>
      <c r="J5376" s="14" t="e">
        <f>=Round(0.00000000,0)</f>
        <v>#VALUE!</v>
      </c>
    </row>
    <row r="5377">
      <c r="A5377" s="11" t="s">
        <v>51</v>
      </c>
      <c r="B5377" s="12">
        <v>1671.3084</v>
      </c>
      <c r="C5377" s="12">
        <v>0</v>
      </c>
      <c r="D5377" s="13">
        <v>0</v>
      </c>
      <c r="E5377" s="12">
        <v>0</v>
      </c>
      <c r="F5377" s="14">
        <v>0</v>
      </c>
      <c r="G5377" s="13">
        <v>5182.0866</v>
      </c>
      <c r="H5377" s="14">
        <v>8660864.864107</v>
      </c>
      <c r="I5377" s="14" t="e">
        <f>=Round(328.17660000,0)</f>
        <v>#VALUE!</v>
      </c>
      <c r="J5377" s="14" t="e">
        <f>=Round(0.00000000,0)</f>
        <v>#VALUE!</v>
      </c>
    </row>
    <row r="5378">
      <c r="A5378" s="11" t="s">
        <v>52</v>
      </c>
      <c r="B5378" s="12">
        <v>1666.7814</v>
      </c>
      <c r="C5378" s="12">
        <v>0</v>
      </c>
      <c r="D5378" s="13">
        <v>0</v>
      </c>
      <c r="E5378" s="12">
        <v>0</v>
      </c>
      <c r="F5378" s="14">
        <v>0</v>
      </c>
      <c r="G5378" s="13">
        <v>5182.0866</v>
      </c>
      <c r="H5378" s="14">
        <v>8637405.558069</v>
      </c>
      <c r="I5378" s="14" t="e">
        <f>=Round(326.26550000,0)</f>
        <v>#VALUE!</v>
      </c>
      <c r="J5378" s="14" t="e">
        <f>=Round(0.00000000,0)</f>
        <v>#VALUE!</v>
      </c>
    </row>
    <row r="5379">
      <c r="A5379" s="11" t="s">
        <v>53</v>
      </c>
      <c r="B5379" s="12">
        <v>1647.4448</v>
      </c>
      <c r="C5379" s="12">
        <v>0</v>
      </c>
      <c r="D5379" s="13">
        <v>0</v>
      </c>
      <c r="E5379" s="12">
        <v>0</v>
      </c>
      <c r="F5379" s="14">
        <v>0</v>
      </c>
      <c r="G5379" s="13">
        <v>5182.0866</v>
      </c>
      <c r="H5379" s="14">
        <v>8537201.62232</v>
      </c>
      <c r="I5379" s="14" t="e">
        <f>=Round(325.38170000,0)</f>
        <v>#VALUE!</v>
      </c>
      <c r="J5379" s="14" t="e">
        <f>=Round(0.00000000,0)</f>
        <v>#VALUE!</v>
      </c>
    </row>
    <row r="5380">
      <c r="A5380" s="11" t="s">
        <v>54</v>
      </c>
      <c r="B5380" s="12">
        <v>1631.4758</v>
      </c>
      <c r="C5380" s="12">
        <v>0</v>
      </c>
      <c r="D5380" s="13">
        <v>0</v>
      </c>
      <c r="E5380" s="12">
        <v>0</v>
      </c>
      <c r="F5380" s="14">
        <v>0</v>
      </c>
      <c r="G5380" s="13">
        <v>5182.0866</v>
      </c>
      <c r="H5380" s="14">
        <v>8454448.881404</v>
      </c>
      <c r="I5380" s="14" t="e">
        <f>=Round(321.60690000,0)</f>
        <v>#VALUE!</v>
      </c>
      <c r="J5380" s="14" t="e">
        <f>=Round(0.00000000,0)</f>
        <v>#VALUE!</v>
      </c>
    </row>
    <row r="5381">
      <c r="A5381" s="11" t="s">
        <v>55</v>
      </c>
      <c r="B5381" s="12">
        <v>1613.9929</v>
      </c>
      <c r="C5381" s="12">
        <v>0</v>
      </c>
      <c r="D5381" s="13">
        <v>0</v>
      </c>
      <c r="E5381" s="12">
        <v>0</v>
      </c>
      <c r="F5381" s="14">
        <v>0</v>
      </c>
      <c r="G5381" s="13">
        <v>5182.0866</v>
      </c>
      <c r="H5381" s="14">
        <v>8363850.979585</v>
      </c>
      <c r="I5381" s="14" t="e">
        <f>=Round(318.48950000,0)</f>
        <v>#VALUE!</v>
      </c>
      <c r="J5381" s="14" t="e">
        <f>=Round(0.00000000,0)</f>
        <v>#VALUE!</v>
      </c>
    </row>
    <row r="5382" ht="-1">
      <c r="A5382" s="15"/>
      <c r="B5382" s="16" t="s">
        <v>56</v>
      </c>
      <c r="C5382" s="15"/>
      <c r="D5382" s="15"/>
      <c r="E5382" s="15"/>
      <c r="F5382" s="15"/>
      <c r="G5382" s="15"/>
      <c r="H5382" s="15"/>
      <c r="I5382" s="17" t="e">
        <f>=Round(SUM(I5356:I5381),0)</f>
        <v>#VALUE!</v>
      </c>
      <c r="J5382" s="17" t="e">
        <f>=Round(SUM(J5356:J5381),0)</f>
        <v>#VALUE!</v>
      </c>
    </row>
    <row r="5383">
      <c r="A5383" s="1" t="s">
        <v>0</v>
      </c>
      <c r="B5383" s="1"/>
      <c r="C5383" s="1"/>
      <c r="D5383" s="1"/>
    </row>
    <row r="5384">
      <c r="A5384" s="0" t="s">
        <v>1</v>
      </c>
      <c r="C5384" s="0" t="s">
        <v>192</v>
      </c>
      <c r="H5384" s="2" t="s">
        <v>3</v>
      </c>
    </row>
    <row r="5385">
      <c r="A5385" s="0" t="s">
        <v>4</v>
      </c>
      <c r="C5385" s="0" t="s">
        <v>199</v>
      </c>
      <c r="H5385" s="3" t="s">
        <v>6</v>
      </c>
    </row>
    <row r="5386">
      <c r="A5386" s="0" t="s">
        <v>7</v>
      </c>
      <c r="C5386" s="4" t="s">
        <v>194</v>
      </c>
      <c r="H5386" s="2" t="s">
        <v>9</v>
      </c>
    </row>
    <row r="5387">
      <c r="A5387" s="0" t="s">
        <v>10</v>
      </c>
      <c r="C5387" s="4" t="s">
        <v>11</v>
      </c>
      <c r="H5387" s="2" t="s">
        <v>12</v>
      </c>
    </row>
    <row r="5388">
      <c r="A5388" s="0" t="s">
        <v>13</v>
      </c>
      <c r="C5388" s="0" t="s">
        <v>14</v>
      </c>
    </row>
    <row r="5389">
      <c r="A5389" s="0" t="s">
        <v>15</v>
      </c>
      <c r="C5389" s="0" t="s">
        <v>16</v>
      </c>
    </row>
    <row r="5390">
      <c r="A5390" s="0" t="s">
        <v>17</v>
      </c>
      <c r="C5390" s="0" t="s">
        <v>18</v>
      </c>
    </row>
    <row r="5393">
      <c r="A5393" s="5" t="s">
        <v>19</v>
      </c>
      <c r="B5393" s="5" t="s">
        <v>20</v>
      </c>
      <c r="C5393" s="7" t="s">
        <v>21</v>
      </c>
      <c r="D5393" s="9"/>
      <c r="E5393" s="7" t="s">
        <v>22</v>
      </c>
      <c r="F5393" s="9"/>
      <c r="G5393" s="5" t="s">
        <v>23</v>
      </c>
      <c r="H5393" s="5" t="s">
        <v>24</v>
      </c>
      <c r="I5393" s="5" t="s">
        <v>195</v>
      </c>
      <c r="J5393" s="5" t="s">
        <v>26</v>
      </c>
    </row>
    <row r="5394">
      <c r="A5394" s="6"/>
      <c r="B5394" s="6"/>
      <c r="C5394" s="8" t="s">
        <v>27</v>
      </c>
      <c r="D5394" s="8" t="s">
        <v>28</v>
      </c>
      <c r="E5394" s="8" t="s">
        <v>27</v>
      </c>
      <c r="F5394" s="8" t="s">
        <v>28</v>
      </c>
      <c r="G5394" s="6"/>
      <c r="H5394" s="6"/>
      <c r="I5394" s="10" t="s">
        <v>29</v>
      </c>
      <c r="J5394" s="6"/>
    </row>
    <row r="5395">
      <c r="A5395" s="11" t="s">
        <v>30</v>
      </c>
      <c r="B5395" s="12">
        <v>1677.4582</v>
      </c>
      <c r="C5395" s="12">
        <v>0</v>
      </c>
      <c r="D5395" s="13">
        <v>0</v>
      </c>
      <c r="E5395" s="12">
        <v>0</v>
      </c>
      <c r="F5395" s="14">
        <v>0</v>
      </c>
      <c r="G5395" s="13">
        <v>999.5707</v>
      </c>
      <c r="H5395" s="14">
        <v>1676738.067195</v>
      </c>
      <c r="I5395" s="14" t="e">
        <f>=Round(63.49190000,0)</f>
        <v>#VALUE!</v>
      </c>
      <c r="J5395" s="14" t="e">
        <f>=Round(0.00000000,0)</f>
        <v>#VALUE!</v>
      </c>
    </row>
    <row r="5396">
      <c r="A5396" s="11" t="s">
        <v>31</v>
      </c>
      <c r="B5396" s="12">
        <v>1685.5728</v>
      </c>
      <c r="C5396" s="12">
        <v>0</v>
      </c>
      <c r="D5396" s="13">
        <v>0</v>
      </c>
      <c r="E5396" s="12">
        <v>0</v>
      </c>
      <c r="F5396" s="14">
        <v>0</v>
      </c>
      <c r="G5396" s="13">
        <v>999.5707</v>
      </c>
      <c r="H5396" s="14">
        <v>1684849.183597</v>
      </c>
      <c r="I5396" s="14" t="e">
        <f>=Round(63.16480000,0)</f>
        <v>#VALUE!</v>
      </c>
      <c r="J5396" s="14" t="e">
        <f>=Round(0.00000000,0)</f>
        <v>#VALUE!</v>
      </c>
    </row>
    <row r="5397">
      <c r="A5397" s="11" t="s">
        <v>32</v>
      </c>
      <c r="B5397" s="12">
        <v>1695.5297</v>
      </c>
      <c r="C5397" s="12">
        <v>0</v>
      </c>
      <c r="D5397" s="13">
        <v>0</v>
      </c>
      <c r="E5397" s="12">
        <v>0</v>
      </c>
      <c r="F5397" s="14">
        <v>0</v>
      </c>
      <c r="G5397" s="13">
        <v>999.5707</v>
      </c>
      <c r="H5397" s="14">
        <v>1694801.8091</v>
      </c>
      <c r="I5397" s="14" t="e">
        <f>=Round(63.47030000,0)</f>
        <v>#VALUE!</v>
      </c>
      <c r="J5397" s="14" t="e">
        <f>=Round(0.00000000,0)</f>
        <v>#VALUE!</v>
      </c>
    </row>
    <row r="5398">
      <c r="A5398" s="11" t="s">
        <v>33</v>
      </c>
      <c r="B5398" s="12">
        <v>1694.4162</v>
      </c>
      <c r="C5398" s="12">
        <v>0</v>
      </c>
      <c r="D5398" s="13">
        <v>0</v>
      </c>
      <c r="E5398" s="12">
        <v>0</v>
      </c>
      <c r="F5398" s="14">
        <v>0</v>
      </c>
      <c r="G5398" s="13">
        <v>999.5707</v>
      </c>
      <c r="H5398" s="14">
        <v>1693688.787125</v>
      </c>
      <c r="I5398" s="14" t="e">
        <f>=Round(63.84530000,0)</f>
        <v>#VALUE!</v>
      </c>
      <c r="J5398" s="14" t="e">
        <f>=Round(0.00000000,0)</f>
        <v>#VALUE!</v>
      </c>
    </row>
    <row r="5399">
      <c r="A5399" s="11" t="s">
        <v>34</v>
      </c>
      <c r="B5399" s="12">
        <v>1694.5359</v>
      </c>
      <c r="C5399" s="12">
        <v>0</v>
      </c>
      <c r="D5399" s="13">
        <v>0</v>
      </c>
      <c r="E5399" s="12">
        <v>0</v>
      </c>
      <c r="F5399" s="14">
        <v>0</v>
      </c>
      <c r="G5399" s="13">
        <v>999.5707</v>
      </c>
      <c r="H5399" s="14">
        <v>1693808.435738</v>
      </c>
      <c r="I5399" s="14" t="e">
        <f>=Round(63.80330000,0)</f>
        <v>#VALUE!</v>
      </c>
      <c r="J5399" s="14" t="e">
        <f>=Round(0.00000000,0)</f>
        <v>#VALUE!</v>
      </c>
    </row>
    <row r="5400">
      <c r="A5400" s="11" t="s">
        <v>35</v>
      </c>
      <c r="B5400" s="12">
        <v>1694.5359</v>
      </c>
      <c r="C5400" s="12">
        <v>0</v>
      </c>
      <c r="D5400" s="13">
        <v>0</v>
      </c>
      <c r="E5400" s="12">
        <v>0</v>
      </c>
      <c r="F5400" s="14">
        <v>0</v>
      </c>
      <c r="G5400" s="13">
        <v>999.5707</v>
      </c>
      <c r="H5400" s="14">
        <v>1693808.435738</v>
      </c>
      <c r="I5400" s="14" t="e">
        <f>=Round(63.80790000,0)</f>
        <v>#VALUE!</v>
      </c>
      <c r="J5400" s="14" t="e">
        <f>=Round(0.00000000,0)</f>
        <v>#VALUE!</v>
      </c>
    </row>
    <row r="5401">
      <c r="A5401" s="11" t="s">
        <v>36</v>
      </c>
      <c r="B5401" s="12">
        <v>1694.5359</v>
      </c>
      <c r="C5401" s="12">
        <v>0</v>
      </c>
      <c r="D5401" s="13">
        <v>0</v>
      </c>
      <c r="E5401" s="12">
        <v>0</v>
      </c>
      <c r="F5401" s="14">
        <v>0</v>
      </c>
      <c r="G5401" s="13">
        <v>999.5707</v>
      </c>
      <c r="H5401" s="14">
        <v>1693808.435738</v>
      </c>
      <c r="I5401" s="14" t="e">
        <f>=Round(63.80790000,0)</f>
        <v>#VALUE!</v>
      </c>
      <c r="J5401" s="14" t="e">
        <f>=Round(0.00000000,0)</f>
        <v>#VALUE!</v>
      </c>
    </row>
    <row r="5402">
      <c r="A5402" s="11" t="s">
        <v>37</v>
      </c>
      <c r="B5402" s="12">
        <v>1686.858</v>
      </c>
      <c r="C5402" s="12">
        <v>0</v>
      </c>
      <c r="D5402" s="13">
        <v>0</v>
      </c>
      <c r="E5402" s="12">
        <v>0</v>
      </c>
      <c r="F5402" s="14">
        <v>0</v>
      </c>
      <c r="G5402" s="13">
        <v>999.5707</v>
      </c>
      <c r="H5402" s="14">
        <v>1686133.831861</v>
      </c>
      <c r="I5402" s="14" t="e">
        <f>=Round(63.80790000,0)</f>
        <v>#VALUE!</v>
      </c>
      <c r="J5402" s="14" t="e">
        <f>=Round(0.00000000,0)</f>
        <v>#VALUE!</v>
      </c>
    </row>
    <row r="5403">
      <c r="A5403" s="11" t="s">
        <v>38</v>
      </c>
      <c r="B5403" s="12">
        <v>1685.4893</v>
      </c>
      <c r="C5403" s="12">
        <v>0</v>
      </c>
      <c r="D5403" s="13">
        <v>0</v>
      </c>
      <c r="E5403" s="12">
        <v>0</v>
      </c>
      <c r="F5403" s="14">
        <v>0</v>
      </c>
      <c r="G5403" s="13">
        <v>999.5707</v>
      </c>
      <c r="H5403" s="14">
        <v>1684765.719444</v>
      </c>
      <c r="I5403" s="14" t="e">
        <f>=Round(63.51870000,0)</f>
        <v>#VALUE!</v>
      </c>
      <c r="J5403" s="14" t="e">
        <f>=Round(0.00000000,0)</f>
        <v>#VALUE!</v>
      </c>
    </row>
    <row r="5404">
      <c r="A5404" s="11" t="s">
        <v>39</v>
      </c>
      <c r="B5404" s="12">
        <v>1677.9056</v>
      </c>
      <c r="C5404" s="12">
        <v>0</v>
      </c>
      <c r="D5404" s="13">
        <v>0</v>
      </c>
      <c r="E5404" s="12">
        <v>0</v>
      </c>
      <c r="F5404" s="14">
        <v>0</v>
      </c>
      <c r="G5404" s="13">
        <v>999.5707</v>
      </c>
      <c r="H5404" s="14">
        <v>1677185.275126</v>
      </c>
      <c r="I5404" s="14" t="e">
        <f>=Round(63.46720000,0)</f>
        <v>#VALUE!</v>
      </c>
      <c r="J5404" s="14" t="e">
        <f>=Round(0.00000000,0)</f>
        <v>#VALUE!</v>
      </c>
    </row>
    <row r="5405">
      <c r="A5405" s="11" t="s">
        <v>40</v>
      </c>
      <c r="B5405" s="12">
        <v>1667.6693</v>
      </c>
      <c r="C5405" s="12">
        <v>0</v>
      </c>
      <c r="D5405" s="13">
        <v>0</v>
      </c>
      <c r="E5405" s="12">
        <v>0</v>
      </c>
      <c r="F5405" s="14">
        <v>0</v>
      </c>
      <c r="G5405" s="13">
        <v>999.5707</v>
      </c>
      <c r="H5405" s="14">
        <v>1666953.36957</v>
      </c>
      <c r="I5405" s="14" t="e">
        <f>=Round(63.18160000,0)</f>
        <v>#VALUE!</v>
      </c>
      <c r="J5405" s="14" t="e">
        <f>=Round(0.00000000,0)</f>
        <v>#VALUE!</v>
      </c>
    </row>
    <row r="5406">
      <c r="A5406" s="11" t="s">
        <v>41</v>
      </c>
      <c r="B5406" s="12">
        <v>1672.9358</v>
      </c>
      <c r="C5406" s="12">
        <v>0</v>
      </c>
      <c r="D5406" s="13">
        <v>0</v>
      </c>
      <c r="E5406" s="12">
        <v>0</v>
      </c>
      <c r="F5406" s="14">
        <v>0</v>
      </c>
      <c r="G5406" s="13">
        <v>999.5707</v>
      </c>
      <c r="H5406" s="14">
        <v>1672217.608661</v>
      </c>
      <c r="I5406" s="14" t="e">
        <f>=Round(62.79620000,0)</f>
        <v>#VALUE!</v>
      </c>
      <c r="J5406" s="14" t="e">
        <f>=Round(0.00000000,0)</f>
        <v>#VALUE!</v>
      </c>
    </row>
    <row r="5407">
      <c r="A5407" s="11" t="s">
        <v>42</v>
      </c>
      <c r="B5407" s="12">
        <v>1672.9358</v>
      </c>
      <c r="C5407" s="12">
        <v>0</v>
      </c>
      <c r="D5407" s="13">
        <v>0</v>
      </c>
      <c r="E5407" s="12">
        <v>0</v>
      </c>
      <c r="F5407" s="14">
        <v>0</v>
      </c>
      <c r="G5407" s="13">
        <v>999.5707</v>
      </c>
      <c r="H5407" s="14">
        <v>1672217.608661</v>
      </c>
      <c r="I5407" s="14" t="e">
        <f>=Round(62.99450000,0)</f>
        <v>#VALUE!</v>
      </c>
      <c r="J5407" s="14" t="e">
        <f>=Round(0.00000000,0)</f>
        <v>#VALUE!</v>
      </c>
    </row>
    <row r="5408">
      <c r="A5408" s="11" t="s">
        <v>43</v>
      </c>
      <c r="B5408" s="12">
        <v>1672.9358</v>
      </c>
      <c r="C5408" s="12">
        <v>0</v>
      </c>
      <c r="D5408" s="13">
        <v>0</v>
      </c>
      <c r="E5408" s="12">
        <v>0</v>
      </c>
      <c r="F5408" s="14">
        <v>0</v>
      </c>
      <c r="G5408" s="13">
        <v>999.5707</v>
      </c>
      <c r="H5408" s="14">
        <v>1672217.608661</v>
      </c>
      <c r="I5408" s="14" t="e">
        <f>=Round(62.99450000,0)</f>
        <v>#VALUE!</v>
      </c>
      <c r="J5408" s="14" t="e">
        <f>=Round(0.00000000,0)</f>
        <v>#VALUE!</v>
      </c>
    </row>
    <row r="5409">
      <c r="A5409" s="11" t="s">
        <v>44</v>
      </c>
      <c r="B5409" s="12">
        <v>1672.7866</v>
      </c>
      <c r="C5409" s="12">
        <v>0</v>
      </c>
      <c r="D5409" s="13">
        <v>0</v>
      </c>
      <c r="E5409" s="12">
        <v>0</v>
      </c>
      <c r="F5409" s="14">
        <v>0</v>
      </c>
      <c r="G5409" s="13">
        <v>999.5707</v>
      </c>
      <c r="H5409" s="14">
        <v>1672068.472713</v>
      </c>
      <c r="I5409" s="14" t="e">
        <f>=Round(62.99450000,0)</f>
        <v>#VALUE!</v>
      </c>
      <c r="J5409" s="14" t="e">
        <f>=Round(0.00000000,0)</f>
        <v>#VALUE!</v>
      </c>
    </row>
    <row r="5410">
      <c r="A5410" s="11" t="s">
        <v>45</v>
      </c>
      <c r="B5410" s="12">
        <v>1678.8917</v>
      </c>
      <c r="C5410" s="12">
        <v>0</v>
      </c>
      <c r="D5410" s="13">
        <v>0</v>
      </c>
      <c r="E5410" s="12">
        <v>0</v>
      </c>
      <c r="F5410" s="14">
        <v>0</v>
      </c>
      <c r="G5410" s="13">
        <v>999.5707</v>
      </c>
      <c r="H5410" s="14">
        <v>1678170.951793</v>
      </c>
      <c r="I5410" s="14" t="e">
        <f>=Round(62.98890000,0)</f>
        <v>#VALUE!</v>
      </c>
      <c r="J5410" s="14" t="e">
        <f>=Round(0.00000000,0)</f>
        <v>#VALUE!</v>
      </c>
    </row>
    <row r="5411">
      <c r="A5411" s="11" t="s">
        <v>46</v>
      </c>
      <c r="B5411" s="12">
        <v>1685.7783</v>
      </c>
      <c r="C5411" s="12">
        <v>0</v>
      </c>
      <c r="D5411" s="13">
        <v>0</v>
      </c>
      <c r="E5411" s="12">
        <v>0</v>
      </c>
      <c r="F5411" s="14">
        <v>0</v>
      </c>
      <c r="G5411" s="13">
        <v>999.5707</v>
      </c>
      <c r="H5411" s="14">
        <v>1685054.595376</v>
      </c>
      <c r="I5411" s="14" t="e">
        <f>=Round(63.21880000,0)</f>
        <v>#VALUE!</v>
      </c>
      <c r="J5411" s="14" t="e">
        <f>=Round(0.00000000,0)</f>
        <v>#VALUE!</v>
      </c>
    </row>
    <row r="5412">
      <c r="A5412" s="11" t="s">
        <v>47</v>
      </c>
      <c r="B5412" s="12">
        <v>1691.2871</v>
      </c>
      <c r="C5412" s="12">
        <v>0</v>
      </c>
      <c r="D5412" s="13">
        <v>0</v>
      </c>
      <c r="E5412" s="12">
        <v>0</v>
      </c>
      <c r="F5412" s="14">
        <v>0</v>
      </c>
      <c r="G5412" s="13">
        <v>999.5707</v>
      </c>
      <c r="H5412" s="14">
        <v>1690561.030448</v>
      </c>
      <c r="I5412" s="14" t="e">
        <f>=Round(63.47810000,0)</f>
        <v>#VALUE!</v>
      </c>
      <c r="J5412" s="14" t="e">
        <f>=Round(0.00000000,0)</f>
        <v>#VALUE!</v>
      </c>
    </row>
    <row r="5413">
      <c r="A5413" s="11" t="s">
        <v>48</v>
      </c>
      <c r="B5413" s="12">
        <v>1681.0981</v>
      </c>
      <c r="C5413" s="12">
        <v>0</v>
      </c>
      <c r="D5413" s="13">
        <v>0</v>
      </c>
      <c r="E5413" s="12">
        <v>0</v>
      </c>
      <c r="F5413" s="14">
        <v>0</v>
      </c>
      <c r="G5413" s="13">
        <v>999.5707</v>
      </c>
      <c r="H5413" s="14">
        <v>1680376.404586</v>
      </c>
      <c r="I5413" s="14" t="e">
        <f>=Round(63.68550000,0)</f>
        <v>#VALUE!</v>
      </c>
      <c r="J5413" s="14" t="e">
        <f>=Round(0.00000000,0)</f>
        <v>#VALUE!</v>
      </c>
    </row>
    <row r="5414">
      <c r="A5414" s="11" t="s">
        <v>49</v>
      </c>
      <c r="B5414" s="12">
        <v>1681.0981</v>
      </c>
      <c r="C5414" s="12">
        <v>0</v>
      </c>
      <c r="D5414" s="13">
        <v>0</v>
      </c>
      <c r="E5414" s="12">
        <v>0</v>
      </c>
      <c r="F5414" s="14">
        <v>0</v>
      </c>
      <c r="G5414" s="13">
        <v>999.5707</v>
      </c>
      <c r="H5414" s="14">
        <v>1680376.404586</v>
      </c>
      <c r="I5414" s="14" t="e">
        <f>=Round(63.30190000,0)</f>
        <v>#VALUE!</v>
      </c>
      <c r="J5414" s="14" t="e">
        <f>=Round(0.00000000,0)</f>
        <v>#VALUE!</v>
      </c>
    </row>
    <row r="5415">
      <c r="A5415" s="11" t="s">
        <v>50</v>
      </c>
      <c r="B5415" s="12">
        <v>1681.0981</v>
      </c>
      <c r="C5415" s="12">
        <v>0</v>
      </c>
      <c r="D5415" s="13">
        <v>0</v>
      </c>
      <c r="E5415" s="12">
        <v>0</v>
      </c>
      <c r="F5415" s="14">
        <v>0</v>
      </c>
      <c r="G5415" s="13">
        <v>999.5707</v>
      </c>
      <c r="H5415" s="14">
        <v>1680376.404586</v>
      </c>
      <c r="I5415" s="14" t="e">
        <f>=Round(63.30190000,0)</f>
        <v>#VALUE!</v>
      </c>
      <c r="J5415" s="14" t="e">
        <f>=Round(0.00000000,0)</f>
        <v>#VALUE!</v>
      </c>
    </row>
    <row r="5416">
      <c r="A5416" s="11" t="s">
        <v>51</v>
      </c>
      <c r="B5416" s="12">
        <v>1671.3084</v>
      </c>
      <c r="C5416" s="12">
        <v>0</v>
      </c>
      <c r="D5416" s="13">
        <v>0</v>
      </c>
      <c r="E5416" s="12">
        <v>0</v>
      </c>
      <c r="F5416" s="14">
        <v>0</v>
      </c>
      <c r="G5416" s="13">
        <v>999.5707</v>
      </c>
      <c r="H5416" s="14">
        <v>1670590.907304</v>
      </c>
      <c r="I5416" s="14" t="e">
        <f>=Round(63.30190000,0)</f>
        <v>#VALUE!</v>
      </c>
      <c r="J5416" s="14" t="e">
        <f>=Round(0.00000000,0)</f>
        <v>#VALUE!</v>
      </c>
    </row>
    <row r="5417">
      <c r="A5417" s="11" t="s">
        <v>52</v>
      </c>
      <c r="B5417" s="12">
        <v>1666.7814</v>
      </c>
      <c r="C5417" s="12">
        <v>0</v>
      </c>
      <c r="D5417" s="13">
        <v>0</v>
      </c>
      <c r="E5417" s="12">
        <v>0</v>
      </c>
      <c r="F5417" s="14">
        <v>0</v>
      </c>
      <c r="G5417" s="13">
        <v>999.5707</v>
      </c>
      <c r="H5417" s="14">
        <v>1666065.850745</v>
      </c>
      <c r="I5417" s="14" t="e">
        <f>=Round(62.93320000,0)</f>
        <v>#VALUE!</v>
      </c>
      <c r="J5417" s="14" t="e">
        <f>=Round(0.00000000,0)</f>
        <v>#VALUE!</v>
      </c>
    </row>
    <row r="5418">
      <c r="A5418" s="11" t="s">
        <v>53</v>
      </c>
      <c r="B5418" s="12">
        <v>1647.4448</v>
      </c>
      <c r="C5418" s="12">
        <v>0</v>
      </c>
      <c r="D5418" s="13">
        <v>0</v>
      </c>
      <c r="E5418" s="12">
        <v>0</v>
      </c>
      <c r="F5418" s="14">
        <v>0</v>
      </c>
      <c r="G5418" s="13">
        <v>999.5707</v>
      </c>
      <c r="H5418" s="14">
        <v>1646737.551947</v>
      </c>
      <c r="I5418" s="14" t="e">
        <f>=Round(62.76280000,0)</f>
        <v>#VALUE!</v>
      </c>
      <c r="J5418" s="14" t="e">
        <f>=Round(0.00000000,0)</f>
        <v>#VALUE!</v>
      </c>
    </row>
    <row r="5419">
      <c r="A5419" s="11" t="s">
        <v>54</v>
      </c>
      <c r="B5419" s="12">
        <v>1631.4758</v>
      </c>
      <c r="C5419" s="12">
        <v>0</v>
      </c>
      <c r="D5419" s="13">
        <v>0</v>
      </c>
      <c r="E5419" s="12">
        <v>0</v>
      </c>
      <c r="F5419" s="14">
        <v>0</v>
      </c>
      <c r="G5419" s="13">
        <v>999.5707</v>
      </c>
      <c r="H5419" s="14">
        <v>1630775.407439</v>
      </c>
      <c r="I5419" s="14" t="e">
        <f>=Round(62.03460000,0)</f>
        <v>#VALUE!</v>
      </c>
      <c r="J5419" s="14" t="e">
        <f>=Round(0.00000000,0)</f>
        <v>#VALUE!</v>
      </c>
    </row>
    <row r="5420">
      <c r="A5420" s="11" t="s">
        <v>55</v>
      </c>
      <c r="B5420" s="12">
        <v>1613.9929</v>
      </c>
      <c r="C5420" s="12">
        <v>0</v>
      </c>
      <c r="D5420" s="13">
        <v>0</v>
      </c>
      <c r="E5420" s="12">
        <v>0</v>
      </c>
      <c r="F5420" s="14">
        <v>0</v>
      </c>
      <c r="G5420" s="13">
        <v>999.5707</v>
      </c>
      <c r="H5420" s="14">
        <v>1613300.012848</v>
      </c>
      <c r="I5420" s="14" t="e">
        <f>=Round(61.43330000,0)</f>
        <v>#VALUE!</v>
      </c>
      <c r="J5420" s="14" t="e">
        <f>=Round(0.00000000,0)</f>
        <v>#VALUE!</v>
      </c>
    </row>
    <row r="5421" ht="-1">
      <c r="A5421" s="15"/>
      <c r="B5421" s="16" t="s">
        <v>56</v>
      </c>
      <c r="C5421" s="15"/>
      <c r="D5421" s="15"/>
      <c r="E5421" s="15"/>
      <c r="F5421" s="15"/>
      <c r="G5421" s="15"/>
      <c r="H5421" s="15"/>
      <c r="I5421" s="17" t="e">
        <f>=Round(SUM(I5395:I5420),0)</f>
        <v>#VALUE!</v>
      </c>
      <c r="J5421" s="17" t="e">
        <f>=Round(SUM(J5395:J5420),0)</f>
        <v>#VALUE!</v>
      </c>
    </row>
    <row r="5422">
      <c r="A5422" s="1" t="s">
        <v>0</v>
      </c>
      <c r="B5422" s="1"/>
      <c r="C5422" s="1"/>
      <c r="D5422" s="1"/>
    </row>
    <row r="5423">
      <c r="A5423" s="0" t="s">
        <v>1</v>
      </c>
      <c r="C5423" s="0" t="s">
        <v>192</v>
      </c>
      <c r="H5423" s="2" t="s">
        <v>3</v>
      </c>
    </row>
    <row r="5424">
      <c r="A5424" s="0" t="s">
        <v>4</v>
      </c>
      <c r="C5424" s="0" t="s">
        <v>142</v>
      </c>
      <c r="H5424" s="3" t="s">
        <v>6</v>
      </c>
    </row>
    <row r="5425">
      <c r="A5425" s="0" t="s">
        <v>7</v>
      </c>
      <c r="C5425" s="4" t="s">
        <v>194</v>
      </c>
      <c r="H5425" s="2" t="s">
        <v>9</v>
      </c>
    </row>
    <row r="5426">
      <c r="A5426" s="0" t="s">
        <v>10</v>
      </c>
      <c r="C5426" s="4" t="s">
        <v>11</v>
      </c>
      <c r="H5426" s="2" t="s">
        <v>12</v>
      </c>
    </row>
    <row r="5427">
      <c r="A5427" s="0" t="s">
        <v>13</v>
      </c>
      <c r="C5427" s="0" t="s">
        <v>14</v>
      </c>
    </row>
    <row r="5428">
      <c r="A5428" s="0" t="s">
        <v>15</v>
      </c>
      <c r="C5428" s="0" t="s">
        <v>16</v>
      </c>
    </row>
    <row r="5429">
      <c r="A5429" s="0" t="s">
        <v>17</v>
      </c>
      <c r="C5429" s="0" t="s">
        <v>18</v>
      </c>
    </row>
    <row r="5432">
      <c r="A5432" s="5" t="s">
        <v>19</v>
      </c>
      <c r="B5432" s="5" t="s">
        <v>20</v>
      </c>
      <c r="C5432" s="7" t="s">
        <v>21</v>
      </c>
      <c r="D5432" s="9"/>
      <c r="E5432" s="7" t="s">
        <v>22</v>
      </c>
      <c r="F5432" s="9"/>
      <c r="G5432" s="5" t="s">
        <v>23</v>
      </c>
      <c r="H5432" s="5" t="s">
        <v>24</v>
      </c>
      <c r="I5432" s="5" t="s">
        <v>195</v>
      </c>
      <c r="J5432" s="5" t="s">
        <v>26</v>
      </c>
    </row>
    <row r="5433">
      <c r="A5433" s="6"/>
      <c r="B5433" s="6"/>
      <c r="C5433" s="8" t="s">
        <v>27</v>
      </c>
      <c r="D5433" s="8" t="s">
        <v>28</v>
      </c>
      <c r="E5433" s="8" t="s">
        <v>27</v>
      </c>
      <c r="F5433" s="8" t="s">
        <v>28</v>
      </c>
      <c r="G5433" s="6"/>
      <c r="H5433" s="6"/>
      <c r="I5433" s="10" t="s">
        <v>29</v>
      </c>
      <c r="J5433" s="6"/>
    </row>
    <row r="5434">
      <c r="A5434" s="11" t="s">
        <v>30</v>
      </c>
      <c r="B5434" s="12">
        <v>1677.4582</v>
      </c>
      <c r="C5434" s="12">
        <v>0</v>
      </c>
      <c r="D5434" s="13">
        <v>0</v>
      </c>
      <c r="E5434" s="12">
        <v>0</v>
      </c>
      <c r="F5434" s="14">
        <v>0</v>
      </c>
      <c r="G5434" s="13">
        <v>3100.3239</v>
      </c>
      <c r="H5434" s="14">
        <v>5200663.748711</v>
      </c>
      <c r="I5434" s="14" t="e">
        <f>=Round(196.93000000,0)</f>
        <v>#VALUE!</v>
      </c>
      <c r="J5434" s="14" t="e">
        <f>=Round(0.00000000,0)</f>
        <v>#VALUE!</v>
      </c>
    </row>
    <row r="5435">
      <c r="A5435" s="11" t="s">
        <v>31</v>
      </c>
      <c r="B5435" s="12">
        <v>1685.5728</v>
      </c>
      <c r="C5435" s="12">
        <v>0</v>
      </c>
      <c r="D5435" s="13">
        <v>0</v>
      </c>
      <c r="E5435" s="12">
        <v>0</v>
      </c>
      <c r="F5435" s="14">
        <v>0</v>
      </c>
      <c r="G5435" s="13">
        <v>3100.3239</v>
      </c>
      <c r="H5435" s="14">
        <v>5225821.63703</v>
      </c>
      <c r="I5435" s="14" t="e">
        <f>=Round(195.91540000,0)</f>
        <v>#VALUE!</v>
      </c>
      <c r="J5435" s="14" t="e">
        <f>=Round(0.00000000,0)</f>
        <v>#VALUE!</v>
      </c>
    </row>
    <row r="5436">
      <c r="A5436" s="11" t="s">
        <v>32</v>
      </c>
      <c r="B5436" s="12">
        <v>1695.5297</v>
      </c>
      <c r="C5436" s="12">
        <v>0</v>
      </c>
      <c r="D5436" s="13">
        <v>0</v>
      </c>
      <c r="E5436" s="12">
        <v>0</v>
      </c>
      <c r="F5436" s="14">
        <v>0</v>
      </c>
      <c r="G5436" s="13">
        <v>3100.3239</v>
      </c>
      <c r="H5436" s="14">
        <v>5256691.25207</v>
      </c>
      <c r="I5436" s="14" t="e">
        <f>=Round(196.86310000,0)</f>
        <v>#VALUE!</v>
      </c>
      <c r="J5436" s="14" t="e">
        <f>=Round(0.00000000,0)</f>
        <v>#VALUE!</v>
      </c>
    </row>
    <row r="5437">
      <c r="A5437" s="11" t="s">
        <v>33</v>
      </c>
      <c r="B5437" s="12">
        <v>1694.4162</v>
      </c>
      <c r="C5437" s="12">
        <v>0</v>
      </c>
      <c r="D5437" s="13">
        <v>0</v>
      </c>
      <c r="E5437" s="12">
        <v>0</v>
      </c>
      <c r="F5437" s="14">
        <v>0</v>
      </c>
      <c r="G5437" s="13">
        <v>3100.3239</v>
      </c>
      <c r="H5437" s="14">
        <v>5253239.041407</v>
      </c>
      <c r="I5437" s="14" t="e">
        <f>=Round(198.02600000,0)</f>
        <v>#VALUE!</v>
      </c>
      <c r="J5437" s="14" t="e">
        <f>=Round(0.00000000,0)</f>
        <v>#VALUE!</v>
      </c>
    </row>
    <row r="5438">
      <c r="A5438" s="11" t="s">
        <v>34</v>
      </c>
      <c r="B5438" s="12">
        <v>1694.5359</v>
      </c>
      <c r="C5438" s="12">
        <v>0</v>
      </c>
      <c r="D5438" s="13">
        <v>0</v>
      </c>
      <c r="E5438" s="12">
        <v>0</v>
      </c>
      <c r="F5438" s="14">
        <v>0</v>
      </c>
      <c r="G5438" s="13">
        <v>3100.3239</v>
      </c>
      <c r="H5438" s="14">
        <v>5253610.150178</v>
      </c>
      <c r="I5438" s="14" t="e">
        <f>=Round(197.89600000,0)</f>
        <v>#VALUE!</v>
      </c>
      <c r="J5438" s="14" t="e">
        <f>=Round(0.00000000,0)</f>
        <v>#VALUE!</v>
      </c>
    </row>
    <row r="5439">
      <c r="A5439" s="11" t="s">
        <v>35</v>
      </c>
      <c r="B5439" s="12">
        <v>1694.5359</v>
      </c>
      <c r="C5439" s="12">
        <v>0</v>
      </c>
      <c r="D5439" s="13">
        <v>0</v>
      </c>
      <c r="E5439" s="12">
        <v>0</v>
      </c>
      <c r="F5439" s="14">
        <v>0</v>
      </c>
      <c r="G5439" s="13">
        <v>3100.3239</v>
      </c>
      <c r="H5439" s="14">
        <v>5253610.150178</v>
      </c>
      <c r="I5439" s="14" t="e">
        <f>=Round(197.91000000,0)</f>
        <v>#VALUE!</v>
      </c>
      <c r="J5439" s="14" t="e">
        <f>=Round(0.00000000,0)</f>
        <v>#VALUE!</v>
      </c>
    </row>
    <row r="5440">
      <c r="A5440" s="11" t="s">
        <v>36</v>
      </c>
      <c r="B5440" s="12">
        <v>1694.5359</v>
      </c>
      <c r="C5440" s="12">
        <v>0</v>
      </c>
      <c r="D5440" s="13">
        <v>0</v>
      </c>
      <c r="E5440" s="12">
        <v>0</v>
      </c>
      <c r="F5440" s="14">
        <v>0</v>
      </c>
      <c r="G5440" s="13">
        <v>3100.3239</v>
      </c>
      <c r="H5440" s="14">
        <v>5253610.150178</v>
      </c>
      <c r="I5440" s="14" t="e">
        <f>=Round(197.91000000,0)</f>
        <v>#VALUE!</v>
      </c>
      <c r="J5440" s="14" t="e">
        <f>=Round(0.00000000,0)</f>
        <v>#VALUE!</v>
      </c>
    </row>
    <row r="5441">
      <c r="A5441" s="11" t="s">
        <v>37</v>
      </c>
      <c r="B5441" s="12">
        <v>1686.858</v>
      </c>
      <c r="C5441" s="12">
        <v>0</v>
      </c>
      <c r="D5441" s="13">
        <v>0</v>
      </c>
      <c r="E5441" s="12">
        <v>0</v>
      </c>
      <c r="F5441" s="14">
        <v>0</v>
      </c>
      <c r="G5441" s="13">
        <v>3100.3239</v>
      </c>
      <c r="H5441" s="14">
        <v>5229806.173306</v>
      </c>
      <c r="I5441" s="14" t="e">
        <f>=Round(197.91000000,0)</f>
        <v>#VALUE!</v>
      </c>
      <c r="J5441" s="14" t="e">
        <f>=Round(0.00000000,0)</f>
        <v>#VALUE!</v>
      </c>
    </row>
    <row r="5442">
      <c r="A5442" s="11" t="s">
        <v>38</v>
      </c>
      <c r="B5442" s="12">
        <v>1685.4893</v>
      </c>
      <c r="C5442" s="12">
        <v>0</v>
      </c>
      <c r="D5442" s="13">
        <v>0</v>
      </c>
      <c r="E5442" s="12">
        <v>0</v>
      </c>
      <c r="F5442" s="14">
        <v>0</v>
      </c>
      <c r="G5442" s="13">
        <v>3100.3239</v>
      </c>
      <c r="H5442" s="14">
        <v>5225562.759984</v>
      </c>
      <c r="I5442" s="14" t="e">
        <f>=Round(197.01320000,0)</f>
        <v>#VALUE!</v>
      </c>
      <c r="J5442" s="14" t="e">
        <f>=Round(0.00000000,0)</f>
        <v>#VALUE!</v>
      </c>
    </row>
    <row r="5443">
      <c r="A5443" s="11" t="s">
        <v>39</v>
      </c>
      <c r="B5443" s="12">
        <v>1677.9056</v>
      </c>
      <c r="C5443" s="12">
        <v>0</v>
      </c>
      <c r="D5443" s="13">
        <v>0</v>
      </c>
      <c r="E5443" s="12">
        <v>0</v>
      </c>
      <c r="F5443" s="14">
        <v>0</v>
      </c>
      <c r="G5443" s="13">
        <v>3100.3239</v>
      </c>
      <c r="H5443" s="14">
        <v>5202050.833624</v>
      </c>
      <c r="I5443" s="14" t="e">
        <f>=Round(196.85340000,0)</f>
        <v>#VALUE!</v>
      </c>
      <c r="J5443" s="14" t="e">
        <f>=Round(0.00000000,0)</f>
        <v>#VALUE!</v>
      </c>
    </row>
    <row r="5444">
      <c r="A5444" s="11" t="s">
        <v>40</v>
      </c>
      <c r="B5444" s="12">
        <v>1667.6693</v>
      </c>
      <c r="C5444" s="12">
        <v>0</v>
      </c>
      <c r="D5444" s="13">
        <v>0</v>
      </c>
      <c r="E5444" s="12">
        <v>0</v>
      </c>
      <c r="F5444" s="14">
        <v>0</v>
      </c>
      <c r="G5444" s="13">
        <v>3100.3239</v>
      </c>
      <c r="H5444" s="14">
        <v>5170314.988086</v>
      </c>
      <c r="I5444" s="14" t="e">
        <f>=Round(195.96770000,0)</f>
        <v>#VALUE!</v>
      </c>
      <c r="J5444" s="14" t="e">
        <f>=Round(0.00000000,0)</f>
        <v>#VALUE!</v>
      </c>
    </row>
    <row r="5445">
      <c r="A5445" s="11" t="s">
        <v>41</v>
      </c>
      <c r="B5445" s="12">
        <v>1672.9358</v>
      </c>
      <c r="C5445" s="12">
        <v>0</v>
      </c>
      <c r="D5445" s="13">
        <v>0</v>
      </c>
      <c r="E5445" s="12">
        <v>0</v>
      </c>
      <c r="F5445" s="14">
        <v>0</v>
      </c>
      <c r="G5445" s="13">
        <v>3100.3239</v>
      </c>
      <c r="H5445" s="14">
        <v>5186642.843906</v>
      </c>
      <c r="I5445" s="14" t="e">
        <f>=Round(194.77210000,0)</f>
        <v>#VALUE!</v>
      </c>
      <c r="J5445" s="14" t="e">
        <f>=Round(0.00000000,0)</f>
        <v>#VALUE!</v>
      </c>
    </row>
    <row r="5446">
      <c r="A5446" s="11" t="s">
        <v>42</v>
      </c>
      <c r="B5446" s="12">
        <v>1672.9358</v>
      </c>
      <c r="C5446" s="12">
        <v>0</v>
      </c>
      <c r="D5446" s="13">
        <v>0</v>
      </c>
      <c r="E5446" s="12">
        <v>0</v>
      </c>
      <c r="F5446" s="14">
        <v>0</v>
      </c>
      <c r="G5446" s="13">
        <v>3100.3239</v>
      </c>
      <c r="H5446" s="14">
        <v>5186642.843906</v>
      </c>
      <c r="I5446" s="14" t="e">
        <f>=Round(195.38720000,0)</f>
        <v>#VALUE!</v>
      </c>
      <c r="J5446" s="14" t="e">
        <f>=Round(0.00000000,0)</f>
        <v>#VALUE!</v>
      </c>
    </row>
    <row r="5447">
      <c r="A5447" s="11" t="s">
        <v>43</v>
      </c>
      <c r="B5447" s="12">
        <v>1672.9358</v>
      </c>
      <c r="C5447" s="12">
        <v>0</v>
      </c>
      <c r="D5447" s="13">
        <v>0</v>
      </c>
      <c r="E5447" s="12">
        <v>0</v>
      </c>
      <c r="F5447" s="14">
        <v>0</v>
      </c>
      <c r="G5447" s="13">
        <v>3100.3239</v>
      </c>
      <c r="H5447" s="14">
        <v>5186642.843906</v>
      </c>
      <c r="I5447" s="14" t="e">
        <f>=Round(195.38720000,0)</f>
        <v>#VALUE!</v>
      </c>
      <c r="J5447" s="14" t="e">
        <f>=Round(0.00000000,0)</f>
        <v>#VALUE!</v>
      </c>
    </row>
    <row r="5448">
      <c r="A5448" s="11" t="s">
        <v>44</v>
      </c>
      <c r="B5448" s="12">
        <v>1672.7866</v>
      </c>
      <c r="C5448" s="12">
        <v>0</v>
      </c>
      <c r="D5448" s="13">
        <v>0</v>
      </c>
      <c r="E5448" s="12">
        <v>0</v>
      </c>
      <c r="F5448" s="14">
        <v>0</v>
      </c>
      <c r="G5448" s="13">
        <v>3100.3239</v>
      </c>
      <c r="H5448" s="14">
        <v>5186180.27558</v>
      </c>
      <c r="I5448" s="14" t="e">
        <f>=Round(195.38720000,0)</f>
        <v>#VALUE!</v>
      </c>
      <c r="J5448" s="14" t="e">
        <f>=Round(0.00000000,0)</f>
        <v>#VALUE!</v>
      </c>
    </row>
    <row r="5449">
      <c r="A5449" s="11" t="s">
        <v>45</v>
      </c>
      <c r="B5449" s="12">
        <v>1678.8917</v>
      </c>
      <c r="C5449" s="12">
        <v>0</v>
      </c>
      <c r="D5449" s="13">
        <v>0</v>
      </c>
      <c r="E5449" s="12">
        <v>0</v>
      </c>
      <c r="F5449" s="14">
        <v>0</v>
      </c>
      <c r="G5449" s="13">
        <v>3100.3239</v>
      </c>
      <c r="H5449" s="14">
        <v>5205108.063022</v>
      </c>
      <c r="I5449" s="14" t="e">
        <f>=Round(195.36980000,0)</f>
        <v>#VALUE!</v>
      </c>
      <c r="J5449" s="14" t="e">
        <f>=Round(0.00000000,0)</f>
        <v>#VALUE!</v>
      </c>
    </row>
    <row r="5450">
      <c r="A5450" s="11" t="s">
        <v>46</v>
      </c>
      <c r="B5450" s="12">
        <v>1685.7783</v>
      </c>
      <c r="C5450" s="12">
        <v>0</v>
      </c>
      <c r="D5450" s="13">
        <v>0</v>
      </c>
      <c r="E5450" s="12">
        <v>0</v>
      </c>
      <c r="F5450" s="14">
        <v>0</v>
      </c>
      <c r="G5450" s="13">
        <v>3100.3239</v>
      </c>
      <c r="H5450" s="14">
        <v>5226458.753591</v>
      </c>
      <c r="I5450" s="14" t="e">
        <f>=Round(196.08280000,0)</f>
        <v>#VALUE!</v>
      </c>
      <c r="J5450" s="14" t="e">
        <f>=Round(0.00000000,0)</f>
        <v>#VALUE!</v>
      </c>
    </row>
    <row r="5451">
      <c r="A5451" s="11" t="s">
        <v>47</v>
      </c>
      <c r="B5451" s="12">
        <v>1691.2871</v>
      </c>
      <c r="C5451" s="12">
        <v>0</v>
      </c>
      <c r="D5451" s="13">
        <v>0</v>
      </c>
      <c r="E5451" s="12">
        <v>0</v>
      </c>
      <c r="F5451" s="14">
        <v>0</v>
      </c>
      <c r="G5451" s="13">
        <v>3100.3239</v>
      </c>
      <c r="H5451" s="14">
        <v>5243537.817892</v>
      </c>
      <c r="I5451" s="14" t="e">
        <f>=Round(196.88710000,0)</f>
        <v>#VALUE!</v>
      </c>
      <c r="J5451" s="14" t="e">
        <f>=Round(0.00000000,0)</f>
        <v>#VALUE!</v>
      </c>
    </row>
    <row r="5452">
      <c r="A5452" s="11" t="s">
        <v>48</v>
      </c>
      <c r="B5452" s="12">
        <v>1681.0981</v>
      </c>
      <c r="C5452" s="12">
        <v>0</v>
      </c>
      <c r="D5452" s="13">
        <v>0</v>
      </c>
      <c r="E5452" s="12">
        <v>0</v>
      </c>
      <c r="F5452" s="14">
        <v>0</v>
      </c>
      <c r="G5452" s="13">
        <v>3100.3239</v>
      </c>
      <c r="H5452" s="14">
        <v>5211948.617675</v>
      </c>
      <c r="I5452" s="14" t="e">
        <f>=Round(197.53050000,0)</f>
        <v>#VALUE!</v>
      </c>
      <c r="J5452" s="14" t="e">
        <f>=Round(0.00000000,0)</f>
        <v>#VALUE!</v>
      </c>
    </row>
    <row r="5453">
      <c r="A5453" s="11" t="s">
        <v>49</v>
      </c>
      <c r="B5453" s="12">
        <v>1681.0981</v>
      </c>
      <c r="C5453" s="12">
        <v>0</v>
      </c>
      <c r="D5453" s="13">
        <v>0</v>
      </c>
      <c r="E5453" s="12">
        <v>0</v>
      </c>
      <c r="F5453" s="14">
        <v>0</v>
      </c>
      <c r="G5453" s="13">
        <v>3100.3239</v>
      </c>
      <c r="H5453" s="14">
        <v>5211948.617675</v>
      </c>
      <c r="I5453" s="14" t="e">
        <f>=Round(196.34050000,0)</f>
        <v>#VALUE!</v>
      </c>
      <c r="J5453" s="14" t="e">
        <f>=Round(0.00000000,0)</f>
        <v>#VALUE!</v>
      </c>
    </row>
    <row r="5454">
      <c r="A5454" s="11" t="s">
        <v>50</v>
      </c>
      <c r="B5454" s="12">
        <v>1681.0981</v>
      </c>
      <c r="C5454" s="12">
        <v>0</v>
      </c>
      <c r="D5454" s="13">
        <v>0</v>
      </c>
      <c r="E5454" s="12">
        <v>0</v>
      </c>
      <c r="F5454" s="14">
        <v>0</v>
      </c>
      <c r="G5454" s="13">
        <v>3100.3239</v>
      </c>
      <c r="H5454" s="14">
        <v>5211948.617675</v>
      </c>
      <c r="I5454" s="14" t="e">
        <f>=Round(196.34050000,0)</f>
        <v>#VALUE!</v>
      </c>
      <c r="J5454" s="14" t="e">
        <f>=Round(0.00000000,0)</f>
        <v>#VALUE!</v>
      </c>
    </row>
    <row r="5455">
      <c r="A5455" s="11" t="s">
        <v>51</v>
      </c>
      <c r="B5455" s="12">
        <v>1671.3084</v>
      </c>
      <c r="C5455" s="12">
        <v>0</v>
      </c>
      <c r="D5455" s="13">
        <v>0</v>
      </c>
      <c r="E5455" s="12">
        <v>0</v>
      </c>
      <c r="F5455" s="14">
        <v>0</v>
      </c>
      <c r="G5455" s="13">
        <v>3100.3239</v>
      </c>
      <c r="H5455" s="14">
        <v>5181597.376791</v>
      </c>
      <c r="I5455" s="14" t="e">
        <f>=Round(196.34050000,0)</f>
        <v>#VALUE!</v>
      </c>
      <c r="J5455" s="14" t="e">
        <f>=Round(0.00000000,0)</f>
        <v>#VALUE!</v>
      </c>
    </row>
    <row r="5456">
      <c r="A5456" s="11" t="s">
        <v>52</v>
      </c>
      <c r="B5456" s="12">
        <v>1666.7814</v>
      </c>
      <c r="C5456" s="12">
        <v>0</v>
      </c>
      <c r="D5456" s="13">
        <v>0</v>
      </c>
      <c r="E5456" s="12">
        <v>0</v>
      </c>
      <c r="F5456" s="14">
        <v>0</v>
      </c>
      <c r="G5456" s="13">
        <v>3100.3239</v>
      </c>
      <c r="H5456" s="14">
        <v>5167562.210495</v>
      </c>
      <c r="I5456" s="14" t="e">
        <f>=Round(195.19720000,0)</f>
        <v>#VALUE!</v>
      </c>
      <c r="J5456" s="14" t="e">
        <f>=Round(0.00000000,0)</f>
        <v>#VALUE!</v>
      </c>
    </row>
    <row r="5457">
      <c r="A5457" s="11" t="s">
        <v>53</v>
      </c>
      <c r="B5457" s="12">
        <v>1647.4448</v>
      </c>
      <c r="C5457" s="12">
        <v>0</v>
      </c>
      <c r="D5457" s="13">
        <v>0</v>
      </c>
      <c r="E5457" s="12">
        <v>0</v>
      </c>
      <c r="F5457" s="14">
        <v>0</v>
      </c>
      <c r="G5457" s="13">
        <v>3100.3239</v>
      </c>
      <c r="H5457" s="14">
        <v>5107612.487371</v>
      </c>
      <c r="I5457" s="14" t="e">
        <f>=Round(194.66840000,0)</f>
        <v>#VALUE!</v>
      </c>
      <c r="J5457" s="14" t="e">
        <f>=Round(0.00000000,0)</f>
        <v>#VALUE!</v>
      </c>
    </row>
    <row r="5458">
      <c r="A5458" s="11" t="s">
        <v>54</v>
      </c>
      <c r="B5458" s="12">
        <v>1631.4758</v>
      </c>
      <c r="C5458" s="12">
        <v>0</v>
      </c>
      <c r="D5458" s="13">
        <v>0</v>
      </c>
      <c r="E5458" s="12">
        <v>0</v>
      </c>
      <c r="F5458" s="14">
        <v>0</v>
      </c>
      <c r="G5458" s="13">
        <v>3100.3239</v>
      </c>
      <c r="H5458" s="14">
        <v>5058103.415012</v>
      </c>
      <c r="I5458" s="14" t="e">
        <f>=Round(192.41010000,0)</f>
        <v>#VALUE!</v>
      </c>
      <c r="J5458" s="14" t="e">
        <f>=Round(0.00000000,0)</f>
        <v>#VALUE!</v>
      </c>
    </row>
    <row r="5459">
      <c r="A5459" s="11" t="s">
        <v>55</v>
      </c>
      <c r="B5459" s="12">
        <v>1613.9929</v>
      </c>
      <c r="C5459" s="12">
        <v>0</v>
      </c>
      <c r="D5459" s="13">
        <v>0</v>
      </c>
      <c r="E5459" s="12">
        <v>0</v>
      </c>
      <c r="F5459" s="14">
        <v>0</v>
      </c>
      <c r="G5459" s="13">
        <v>3100.3239</v>
      </c>
      <c r="H5459" s="14">
        <v>5003900.7623</v>
      </c>
      <c r="I5459" s="14" t="e">
        <f>=Round(190.54500000,0)</f>
        <v>#VALUE!</v>
      </c>
      <c r="J5459" s="14" t="e">
        <f>=Round(0.00000000,0)</f>
        <v>#VALUE!</v>
      </c>
    </row>
    <row r="5460" ht="-1">
      <c r="A5460" s="15"/>
      <c r="B5460" s="16" t="s">
        <v>56</v>
      </c>
      <c r="C5460" s="15"/>
      <c r="D5460" s="15"/>
      <c r="E5460" s="15"/>
      <c r="F5460" s="15"/>
      <c r="G5460" s="15"/>
      <c r="H5460" s="15"/>
      <c r="I5460" s="17" t="e">
        <f>=Round(SUM(I5434:I5459),0)</f>
        <v>#VALUE!</v>
      </c>
      <c r="J5460" s="17" t="e">
        <f>=Round(SUM(J5434:J5459),0)</f>
        <v>#VALUE!</v>
      </c>
    </row>
    <row r="5461">
      <c r="A5461" s="1" t="s">
        <v>0</v>
      </c>
      <c r="B5461" s="1"/>
      <c r="C5461" s="1"/>
      <c r="D5461" s="1"/>
    </row>
    <row r="5462">
      <c r="A5462" s="0" t="s">
        <v>1</v>
      </c>
      <c r="C5462" s="0" t="s">
        <v>192</v>
      </c>
      <c r="H5462" s="2" t="s">
        <v>3</v>
      </c>
    </row>
    <row r="5463">
      <c r="A5463" s="0" t="s">
        <v>4</v>
      </c>
      <c r="C5463" s="0" t="s">
        <v>200</v>
      </c>
      <c r="H5463" s="3" t="s">
        <v>6</v>
      </c>
    </row>
    <row r="5464">
      <c r="A5464" s="0" t="s">
        <v>7</v>
      </c>
      <c r="C5464" s="4" t="s">
        <v>194</v>
      </c>
      <c r="H5464" s="2" t="s">
        <v>9</v>
      </c>
    </row>
    <row r="5465">
      <c r="A5465" s="0" t="s">
        <v>10</v>
      </c>
      <c r="C5465" s="4" t="s">
        <v>11</v>
      </c>
      <c r="H5465" s="2" t="s">
        <v>12</v>
      </c>
    </row>
    <row r="5466">
      <c r="A5466" s="0" t="s">
        <v>13</v>
      </c>
      <c r="C5466" s="0" t="s">
        <v>14</v>
      </c>
    </row>
    <row r="5467">
      <c r="A5467" s="0" t="s">
        <v>15</v>
      </c>
      <c r="C5467" s="0" t="s">
        <v>16</v>
      </c>
    </row>
    <row r="5468">
      <c r="A5468" s="0" t="s">
        <v>17</v>
      </c>
      <c r="C5468" s="0" t="s">
        <v>18</v>
      </c>
    </row>
    <row r="5471">
      <c r="A5471" s="5" t="s">
        <v>19</v>
      </c>
      <c r="B5471" s="5" t="s">
        <v>20</v>
      </c>
      <c r="C5471" s="7" t="s">
        <v>21</v>
      </c>
      <c r="D5471" s="9"/>
      <c r="E5471" s="7" t="s">
        <v>22</v>
      </c>
      <c r="F5471" s="9"/>
      <c r="G5471" s="5" t="s">
        <v>23</v>
      </c>
      <c r="H5471" s="5" t="s">
        <v>24</v>
      </c>
      <c r="I5471" s="5" t="s">
        <v>195</v>
      </c>
      <c r="J5471" s="5" t="s">
        <v>26</v>
      </c>
    </row>
    <row r="5472">
      <c r="A5472" s="6"/>
      <c r="B5472" s="6"/>
      <c r="C5472" s="8" t="s">
        <v>27</v>
      </c>
      <c r="D5472" s="8" t="s">
        <v>28</v>
      </c>
      <c r="E5472" s="8" t="s">
        <v>27</v>
      </c>
      <c r="F5472" s="8" t="s">
        <v>28</v>
      </c>
      <c r="G5472" s="6"/>
      <c r="H5472" s="6"/>
      <c r="I5472" s="10" t="s">
        <v>29</v>
      </c>
      <c r="J5472" s="6"/>
    </row>
    <row r="5473">
      <c r="A5473" s="11" t="s">
        <v>30</v>
      </c>
      <c r="B5473" s="12">
        <v>1677.4582</v>
      </c>
      <c r="C5473" s="12">
        <v>0</v>
      </c>
      <c r="D5473" s="13">
        <v>0</v>
      </c>
      <c r="E5473" s="12">
        <v>0</v>
      </c>
      <c r="F5473" s="14">
        <v>0</v>
      </c>
      <c r="G5473" s="13">
        <v>175353.6338</v>
      </c>
      <c r="H5473" s="14">
        <v>294148390.917607</v>
      </c>
      <c r="I5473" s="14" t="e">
        <f>=Round(11138.31970000,0)</f>
        <v>#VALUE!</v>
      </c>
      <c r="J5473" s="14" t="e">
        <f>=Round(0.00000000,0)</f>
        <v>#VALUE!</v>
      </c>
    </row>
    <row r="5474">
      <c r="A5474" s="11" t="s">
        <v>31</v>
      </c>
      <c r="B5474" s="12">
        <v>1685.5728</v>
      </c>
      <c r="C5474" s="12">
        <v>0</v>
      </c>
      <c r="D5474" s="13">
        <v>0</v>
      </c>
      <c r="E5474" s="12">
        <v>0</v>
      </c>
      <c r="F5474" s="14">
        <v>0</v>
      </c>
      <c r="G5474" s="13">
        <v>175353.6338</v>
      </c>
      <c r="H5474" s="14">
        <v>295571315.514441</v>
      </c>
      <c r="I5474" s="14" t="e">
        <f>=Round(11080.93250000,0)</f>
        <v>#VALUE!</v>
      </c>
      <c r="J5474" s="14" t="e">
        <f>=Round(0.00000000,0)</f>
        <v>#VALUE!</v>
      </c>
    </row>
    <row r="5475">
      <c r="A5475" s="11" t="s">
        <v>32</v>
      </c>
      <c r="B5475" s="12">
        <v>1695.5297</v>
      </c>
      <c r="C5475" s="12">
        <v>0</v>
      </c>
      <c r="D5475" s="13">
        <v>0</v>
      </c>
      <c r="E5475" s="12">
        <v>0</v>
      </c>
      <c r="F5475" s="14">
        <v>0</v>
      </c>
      <c r="G5475" s="13">
        <v>175353.6338</v>
      </c>
      <c r="H5475" s="14">
        <v>297317294.110824</v>
      </c>
      <c r="I5475" s="14" t="e">
        <f>=Round(11134.53590000,0)</f>
        <v>#VALUE!</v>
      </c>
      <c r="J5475" s="14" t="e">
        <f>=Round(0.00000000,0)</f>
        <v>#VALUE!</v>
      </c>
    </row>
    <row r="5476">
      <c r="A5476" s="11" t="s">
        <v>33</v>
      </c>
      <c r="B5476" s="12">
        <v>1694.4162</v>
      </c>
      <c r="C5476" s="12">
        <v>0</v>
      </c>
      <c r="D5476" s="13">
        <v>0</v>
      </c>
      <c r="E5476" s="12">
        <v>0</v>
      </c>
      <c r="F5476" s="14">
        <v>0</v>
      </c>
      <c r="G5476" s="13">
        <v>175353.6338</v>
      </c>
      <c r="H5476" s="14">
        <v>297122037.839588</v>
      </c>
      <c r="I5476" s="14" t="e">
        <f>=Round(11200.30900000,0)</f>
        <v>#VALUE!</v>
      </c>
      <c r="J5476" s="14" t="e">
        <f>=Round(0.00000000,0)</f>
        <v>#VALUE!</v>
      </c>
    </row>
    <row r="5477">
      <c r="A5477" s="11" t="s">
        <v>34</v>
      </c>
      <c r="B5477" s="12">
        <v>1694.5359</v>
      </c>
      <c r="C5477" s="12">
        <v>0</v>
      </c>
      <c r="D5477" s="13">
        <v>0</v>
      </c>
      <c r="E5477" s="12">
        <v>0</v>
      </c>
      <c r="F5477" s="14">
        <v>0</v>
      </c>
      <c r="G5477" s="13">
        <v>175353.6338</v>
      </c>
      <c r="H5477" s="14">
        <v>297143027.669553</v>
      </c>
      <c r="I5477" s="14" t="e">
        <f>=Round(11192.95350000,0)</f>
        <v>#VALUE!</v>
      </c>
      <c r="J5477" s="14" t="e">
        <f>=Round(0.00000000,0)</f>
        <v>#VALUE!</v>
      </c>
    </row>
    <row r="5478">
      <c r="A5478" s="11" t="s">
        <v>35</v>
      </c>
      <c r="B5478" s="12">
        <v>1694.5359</v>
      </c>
      <c r="C5478" s="12">
        <v>0</v>
      </c>
      <c r="D5478" s="13">
        <v>0</v>
      </c>
      <c r="E5478" s="12">
        <v>0</v>
      </c>
      <c r="F5478" s="14">
        <v>0</v>
      </c>
      <c r="G5478" s="13">
        <v>175353.6338</v>
      </c>
      <c r="H5478" s="14">
        <v>297143027.669553</v>
      </c>
      <c r="I5478" s="14" t="e">
        <f>=Round(11193.74420000,0)</f>
        <v>#VALUE!</v>
      </c>
      <c r="J5478" s="14" t="e">
        <f>=Round(0.00000000,0)</f>
        <v>#VALUE!</v>
      </c>
    </row>
    <row r="5479">
      <c r="A5479" s="11" t="s">
        <v>36</v>
      </c>
      <c r="B5479" s="12">
        <v>1694.5359</v>
      </c>
      <c r="C5479" s="12">
        <v>0</v>
      </c>
      <c r="D5479" s="13">
        <v>0</v>
      </c>
      <c r="E5479" s="12">
        <v>0</v>
      </c>
      <c r="F5479" s="14">
        <v>0</v>
      </c>
      <c r="G5479" s="13">
        <v>175353.6338</v>
      </c>
      <c r="H5479" s="14">
        <v>297143027.669553</v>
      </c>
      <c r="I5479" s="14" t="e">
        <f>=Round(11193.74420000,0)</f>
        <v>#VALUE!</v>
      </c>
      <c r="J5479" s="14" t="e">
        <f>=Round(0.00000000,0)</f>
        <v>#VALUE!</v>
      </c>
    </row>
    <row r="5480">
      <c r="A5480" s="11" t="s">
        <v>37</v>
      </c>
      <c r="B5480" s="12">
        <v>1686.858</v>
      </c>
      <c r="C5480" s="12">
        <v>0</v>
      </c>
      <c r="D5480" s="13">
        <v>0</v>
      </c>
      <c r="E5480" s="12">
        <v>0</v>
      </c>
      <c r="F5480" s="14">
        <v>0</v>
      </c>
      <c r="G5480" s="13">
        <v>175353.6338</v>
      </c>
      <c r="H5480" s="14">
        <v>295796680.0046</v>
      </c>
      <c r="I5480" s="14" t="e">
        <f>=Round(11193.74420000,0)</f>
        <v>#VALUE!</v>
      </c>
      <c r="J5480" s="14" t="e">
        <f>=Round(0.00000000,0)</f>
        <v>#VALUE!</v>
      </c>
    </row>
    <row r="5481">
      <c r="A5481" s="11" t="s">
        <v>38</v>
      </c>
      <c r="B5481" s="12">
        <v>1685.4893</v>
      </c>
      <c r="C5481" s="12">
        <v>0</v>
      </c>
      <c r="D5481" s="13">
        <v>0</v>
      </c>
      <c r="E5481" s="12">
        <v>0</v>
      </c>
      <c r="F5481" s="14">
        <v>0</v>
      </c>
      <c r="G5481" s="13">
        <v>175353.6338</v>
      </c>
      <c r="H5481" s="14">
        <v>295556673.486018</v>
      </c>
      <c r="I5481" s="14" t="e">
        <f>=Round(11143.02560000,0)</f>
        <v>#VALUE!</v>
      </c>
      <c r="J5481" s="14" t="e">
        <f>=Round(0.00000000,0)</f>
        <v>#VALUE!</v>
      </c>
    </row>
    <row r="5482">
      <c r="A5482" s="11" t="s">
        <v>39</v>
      </c>
      <c r="B5482" s="12">
        <v>1677.9056</v>
      </c>
      <c r="C5482" s="12">
        <v>0</v>
      </c>
      <c r="D5482" s="13">
        <v>0</v>
      </c>
      <c r="E5482" s="12">
        <v>0</v>
      </c>
      <c r="F5482" s="14">
        <v>0</v>
      </c>
      <c r="G5482" s="13">
        <v>175353.6338</v>
      </c>
      <c r="H5482" s="14">
        <v>294226844.133369</v>
      </c>
      <c r="I5482" s="14" t="e">
        <f>=Round(11133.98430000,0)</f>
        <v>#VALUE!</v>
      </c>
      <c r="J5482" s="14" t="e">
        <f>=Round(0.00000000,0)</f>
        <v>#VALUE!</v>
      </c>
    </row>
    <row r="5483">
      <c r="A5483" s="11" t="s">
        <v>40</v>
      </c>
      <c r="B5483" s="12">
        <v>1667.6693</v>
      </c>
      <c r="C5483" s="12">
        <v>0</v>
      </c>
      <c r="D5483" s="13">
        <v>0</v>
      </c>
      <c r="E5483" s="12">
        <v>0</v>
      </c>
      <c r="F5483" s="14">
        <v>0</v>
      </c>
      <c r="G5483" s="13">
        <v>175353.6338</v>
      </c>
      <c r="H5483" s="14">
        <v>292431871.731702</v>
      </c>
      <c r="I5483" s="14" t="e">
        <f>=Round(11083.88800000,0)</f>
        <v>#VALUE!</v>
      </c>
      <c r="J5483" s="14" t="e">
        <f>=Round(0.00000000,0)</f>
        <v>#VALUE!</v>
      </c>
    </row>
    <row r="5484">
      <c r="A5484" s="11" t="s">
        <v>41</v>
      </c>
      <c r="B5484" s="12">
        <v>1672.9358</v>
      </c>
      <c r="C5484" s="12">
        <v>0</v>
      </c>
      <c r="D5484" s="13">
        <v>0</v>
      </c>
      <c r="E5484" s="12">
        <v>0</v>
      </c>
      <c r="F5484" s="14">
        <v>0</v>
      </c>
      <c r="G5484" s="13">
        <v>175353.6338</v>
      </c>
      <c r="H5484" s="14">
        <v>293355371.64411</v>
      </c>
      <c r="I5484" s="14" t="e">
        <f>=Round(11016.26910000,0)</f>
        <v>#VALUE!</v>
      </c>
      <c r="J5484" s="14" t="e">
        <f>=Round(0.00000000,0)</f>
        <v>#VALUE!</v>
      </c>
    </row>
    <row r="5485">
      <c r="A5485" s="11" t="s">
        <v>42</v>
      </c>
      <c r="B5485" s="12">
        <v>1672.9358</v>
      </c>
      <c r="C5485" s="12">
        <v>0</v>
      </c>
      <c r="D5485" s="13">
        <v>0</v>
      </c>
      <c r="E5485" s="12">
        <v>0</v>
      </c>
      <c r="F5485" s="14">
        <v>0</v>
      </c>
      <c r="G5485" s="13">
        <v>175353.6338</v>
      </c>
      <c r="H5485" s="14">
        <v>293355371.64411</v>
      </c>
      <c r="I5485" s="14" t="e">
        <f>=Round(11051.05850000,0)</f>
        <v>#VALUE!</v>
      </c>
      <c r="J5485" s="14" t="e">
        <f>=Round(0.00000000,0)</f>
        <v>#VALUE!</v>
      </c>
    </row>
    <row r="5486">
      <c r="A5486" s="11" t="s">
        <v>43</v>
      </c>
      <c r="B5486" s="12">
        <v>1672.9358</v>
      </c>
      <c r="C5486" s="12">
        <v>0</v>
      </c>
      <c r="D5486" s="13">
        <v>0</v>
      </c>
      <c r="E5486" s="12">
        <v>0</v>
      </c>
      <c r="F5486" s="14">
        <v>0</v>
      </c>
      <c r="G5486" s="13">
        <v>175353.6338</v>
      </c>
      <c r="H5486" s="14">
        <v>293355371.64411</v>
      </c>
      <c r="I5486" s="14" t="e">
        <f>=Round(11051.05850000,0)</f>
        <v>#VALUE!</v>
      </c>
      <c r="J5486" s="14" t="e">
        <f>=Round(0.00000000,0)</f>
        <v>#VALUE!</v>
      </c>
    </row>
    <row r="5487">
      <c r="A5487" s="11" t="s">
        <v>44</v>
      </c>
      <c r="B5487" s="12">
        <v>1672.7866</v>
      </c>
      <c r="C5487" s="12">
        <v>0</v>
      </c>
      <c r="D5487" s="13">
        <v>0</v>
      </c>
      <c r="E5487" s="12">
        <v>0</v>
      </c>
      <c r="F5487" s="14">
        <v>0</v>
      </c>
      <c r="G5487" s="13">
        <v>175353.6338</v>
      </c>
      <c r="H5487" s="14">
        <v>293329208.881947</v>
      </c>
      <c r="I5487" s="14" t="e">
        <f>=Round(11051.05850000,0)</f>
        <v>#VALUE!</v>
      </c>
      <c r="J5487" s="14" t="e">
        <f>=Round(0.00000000,0)</f>
        <v>#VALUE!</v>
      </c>
    </row>
    <row r="5488">
      <c r="A5488" s="11" t="s">
        <v>45</v>
      </c>
      <c r="B5488" s="12">
        <v>1678.8917</v>
      </c>
      <c r="C5488" s="12">
        <v>0</v>
      </c>
      <c r="D5488" s="13">
        <v>0</v>
      </c>
      <c r="E5488" s="12">
        <v>0</v>
      </c>
      <c r="F5488" s="14">
        <v>0</v>
      </c>
      <c r="G5488" s="13">
        <v>175353.6338</v>
      </c>
      <c r="H5488" s="14">
        <v>294399760.351659</v>
      </c>
      <c r="I5488" s="14" t="e">
        <f>=Round(11050.07290000,0)</f>
        <v>#VALUE!</v>
      </c>
      <c r="J5488" s="14" t="e">
        <f>=Round(0.00000000,0)</f>
        <v>#VALUE!</v>
      </c>
    </row>
    <row r="5489">
      <c r="A5489" s="11" t="s">
        <v>46</v>
      </c>
      <c r="B5489" s="12">
        <v>1685.7783</v>
      </c>
      <c r="C5489" s="12">
        <v>0</v>
      </c>
      <c r="D5489" s="13">
        <v>0</v>
      </c>
      <c r="E5489" s="12">
        <v>0</v>
      </c>
      <c r="F5489" s="14">
        <v>0</v>
      </c>
      <c r="G5489" s="13">
        <v>175353.6338</v>
      </c>
      <c r="H5489" s="14">
        <v>295607350.686187</v>
      </c>
      <c r="I5489" s="14" t="e">
        <f>=Round(11090.40190000,0)</f>
        <v>#VALUE!</v>
      </c>
      <c r="J5489" s="14" t="e">
        <f>=Round(0.00000000,0)</f>
        <v>#VALUE!</v>
      </c>
    </row>
    <row r="5490">
      <c r="A5490" s="11" t="s">
        <v>47</v>
      </c>
      <c r="B5490" s="12">
        <v>1691.2871</v>
      </c>
      <c r="C5490" s="12">
        <v>0</v>
      </c>
      <c r="D5490" s="13">
        <v>0</v>
      </c>
      <c r="E5490" s="12">
        <v>0</v>
      </c>
      <c r="F5490" s="14">
        <v>0</v>
      </c>
      <c r="G5490" s="13">
        <v>175353.6338</v>
      </c>
      <c r="H5490" s="14">
        <v>296573338.784064</v>
      </c>
      <c r="I5490" s="14" t="e">
        <f>=Round(11135.89330000,0)</f>
        <v>#VALUE!</v>
      </c>
      <c r="J5490" s="14" t="e">
        <f>=Round(0.00000000,0)</f>
        <v>#VALUE!</v>
      </c>
    </row>
    <row r="5491">
      <c r="A5491" s="11" t="s">
        <v>48</v>
      </c>
      <c r="B5491" s="12">
        <v>1681.0981</v>
      </c>
      <c r="C5491" s="12">
        <v>0</v>
      </c>
      <c r="D5491" s="13">
        <v>0</v>
      </c>
      <c r="E5491" s="12">
        <v>0</v>
      </c>
      <c r="F5491" s="14">
        <v>0</v>
      </c>
      <c r="G5491" s="13">
        <v>175353.6338</v>
      </c>
      <c r="H5491" s="14">
        <v>294786660.609276</v>
      </c>
      <c r="I5491" s="14" t="e">
        <f>=Round(11172.28330000,0)</f>
        <v>#VALUE!</v>
      </c>
      <c r="J5491" s="14" t="e">
        <f>=Round(0.00000000,0)</f>
        <v>#VALUE!</v>
      </c>
    </row>
    <row r="5492">
      <c r="A5492" s="11" t="s">
        <v>49</v>
      </c>
      <c r="B5492" s="12">
        <v>1681.0981</v>
      </c>
      <c r="C5492" s="12">
        <v>0</v>
      </c>
      <c r="D5492" s="13">
        <v>0</v>
      </c>
      <c r="E5492" s="12">
        <v>0</v>
      </c>
      <c r="F5492" s="14">
        <v>0</v>
      </c>
      <c r="G5492" s="13">
        <v>175353.6338</v>
      </c>
      <c r="H5492" s="14">
        <v>294786660.609276</v>
      </c>
      <c r="I5492" s="14" t="e">
        <f>=Round(11104.97690000,0)</f>
        <v>#VALUE!</v>
      </c>
      <c r="J5492" s="14" t="e">
        <f>=Round(0.00000000,0)</f>
        <v>#VALUE!</v>
      </c>
    </row>
    <row r="5493">
      <c r="A5493" s="11" t="s">
        <v>50</v>
      </c>
      <c r="B5493" s="12">
        <v>1681.0981</v>
      </c>
      <c r="C5493" s="12">
        <v>0</v>
      </c>
      <c r="D5493" s="13">
        <v>0</v>
      </c>
      <c r="E5493" s="12">
        <v>0</v>
      </c>
      <c r="F5493" s="14">
        <v>0</v>
      </c>
      <c r="G5493" s="13">
        <v>175353.6338</v>
      </c>
      <c r="H5493" s="14">
        <v>294786660.609276</v>
      </c>
      <c r="I5493" s="14" t="e">
        <f>=Round(11104.97690000,0)</f>
        <v>#VALUE!</v>
      </c>
      <c r="J5493" s="14" t="e">
        <f>=Round(0.00000000,0)</f>
        <v>#VALUE!</v>
      </c>
    </row>
    <row r="5494">
      <c r="A5494" s="11" t="s">
        <v>51</v>
      </c>
      <c r="B5494" s="12">
        <v>1671.3084</v>
      </c>
      <c r="C5494" s="12">
        <v>0</v>
      </c>
      <c r="D5494" s="13">
        <v>0</v>
      </c>
      <c r="E5494" s="12">
        <v>0</v>
      </c>
      <c r="F5494" s="14">
        <v>0</v>
      </c>
      <c r="G5494" s="13">
        <v>175353.6338</v>
      </c>
      <c r="H5494" s="14">
        <v>293070001.140464</v>
      </c>
      <c r="I5494" s="14" t="e">
        <f>=Round(11104.97690000,0)</f>
        <v>#VALUE!</v>
      </c>
      <c r="J5494" s="14" t="e">
        <f>=Round(0.00000000,0)</f>
        <v>#VALUE!</v>
      </c>
    </row>
    <row r="5495">
      <c r="A5495" s="11" t="s">
        <v>52</v>
      </c>
      <c r="B5495" s="12">
        <v>1666.7814</v>
      </c>
      <c r="C5495" s="12">
        <v>0</v>
      </c>
      <c r="D5495" s="13">
        <v>0</v>
      </c>
      <c r="E5495" s="12">
        <v>0</v>
      </c>
      <c r="F5495" s="14">
        <v>0</v>
      </c>
      <c r="G5495" s="13">
        <v>175353.6338</v>
      </c>
      <c r="H5495" s="14">
        <v>292276175.240251</v>
      </c>
      <c r="I5495" s="14" t="e">
        <f>=Round(11040.30830000,0)</f>
        <v>#VALUE!</v>
      </c>
      <c r="J5495" s="14" t="e">
        <f>=Round(0.00000000,0)</f>
        <v>#VALUE!</v>
      </c>
    </row>
    <row r="5496">
      <c r="A5496" s="11" t="s">
        <v>53</v>
      </c>
      <c r="B5496" s="12">
        <v>1647.4448</v>
      </c>
      <c r="C5496" s="12">
        <v>0</v>
      </c>
      <c r="D5496" s="13">
        <v>0</v>
      </c>
      <c r="E5496" s="12">
        <v>0</v>
      </c>
      <c r="F5496" s="14">
        <v>0</v>
      </c>
      <c r="G5496" s="13">
        <v>175353.6338</v>
      </c>
      <c r="H5496" s="14">
        <v>288885432.164914</v>
      </c>
      <c r="I5496" s="14" t="e">
        <f>=Round(11010.40390000,0)</f>
        <v>#VALUE!</v>
      </c>
      <c r="J5496" s="14" t="e">
        <f>=Round(0.00000000,0)</f>
        <v>#VALUE!</v>
      </c>
    </row>
    <row r="5497">
      <c r="A5497" s="11" t="s">
        <v>54</v>
      </c>
      <c r="B5497" s="12">
        <v>1631.4758</v>
      </c>
      <c r="C5497" s="12">
        <v>0</v>
      </c>
      <c r="D5497" s="13">
        <v>0</v>
      </c>
      <c r="E5497" s="12">
        <v>0</v>
      </c>
      <c r="F5497" s="14">
        <v>0</v>
      </c>
      <c r="G5497" s="13">
        <v>175353.6338</v>
      </c>
      <c r="H5497" s="14">
        <v>286085209.986762</v>
      </c>
      <c r="I5497" s="14" t="e">
        <f>=Round(10882.67040000,0)</f>
        <v>#VALUE!</v>
      </c>
      <c r="J5497" s="14" t="e">
        <f>=Round(0.00000000,0)</f>
        <v>#VALUE!</v>
      </c>
    </row>
    <row r="5498">
      <c r="A5498" s="11" t="s">
        <v>55</v>
      </c>
      <c r="B5498" s="12">
        <v>1613.9929</v>
      </c>
      <c r="C5498" s="12">
        <v>0</v>
      </c>
      <c r="D5498" s="13">
        <v>0</v>
      </c>
      <c r="E5498" s="12">
        <v>0</v>
      </c>
      <c r="F5498" s="14">
        <v>0</v>
      </c>
      <c r="G5498" s="13">
        <v>175353.6338</v>
      </c>
      <c r="H5498" s="14">
        <v>283019519.9424</v>
      </c>
      <c r="I5498" s="14" t="e">
        <f>=Round(10777.18260000,0)</f>
        <v>#VALUE!</v>
      </c>
      <c r="J5498" s="14" t="e">
        <f>=Round(0.00000000,0)</f>
        <v>#VALUE!</v>
      </c>
    </row>
    <row r="5499" ht="-1">
      <c r="A5499" s="15"/>
      <c r="B5499" s="16" t="s">
        <v>56</v>
      </c>
      <c r="C5499" s="15"/>
      <c r="D5499" s="15"/>
      <c r="E5499" s="15"/>
      <c r="F5499" s="15"/>
      <c r="G5499" s="15"/>
      <c r="H5499" s="15"/>
      <c r="I5499" s="17" t="e">
        <f>=Round(SUM(I5473:I5498),0)</f>
        <v>#VALUE!</v>
      </c>
      <c r="J5499" s="17" t="e">
        <f>=Round(SUM(J5473:J5498),0)</f>
        <v>#VALUE!</v>
      </c>
    </row>
    <row r="5500">
      <c r="A5500" s="1" t="s">
        <v>0</v>
      </c>
      <c r="B5500" s="1"/>
      <c r="C5500" s="1"/>
      <c r="D5500" s="1"/>
    </row>
    <row r="5501">
      <c r="A5501" s="0" t="s">
        <v>1</v>
      </c>
      <c r="C5501" s="0" t="s">
        <v>192</v>
      </c>
      <c r="H5501" s="2" t="s">
        <v>3</v>
      </c>
    </row>
    <row r="5502">
      <c r="A5502" s="0" t="s">
        <v>4</v>
      </c>
      <c r="C5502" s="0" t="s">
        <v>201</v>
      </c>
      <c r="H5502" s="3" t="s">
        <v>6</v>
      </c>
    </row>
    <row r="5503">
      <c r="A5503" s="0" t="s">
        <v>7</v>
      </c>
      <c r="C5503" s="4" t="s">
        <v>194</v>
      </c>
      <c r="H5503" s="2" t="s">
        <v>9</v>
      </c>
    </row>
    <row r="5504">
      <c r="A5504" s="0" t="s">
        <v>10</v>
      </c>
      <c r="C5504" s="4" t="s">
        <v>11</v>
      </c>
      <c r="H5504" s="2" t="s">
        <v>12</v>
      </c>
    </row>
    <row r="5505">
      <c r="A5505" s="0" t="s">
        <v>13</v>
      </c>
      <c r="C5505" s="0" t="s">
        <v>14</v>
      </c>
    </row>
    <row r="5506">
      <c r="A5506" s="0" t="s">
        <v>15</v>
      </c>
      <c r="C5506" s="0" t="s">
        <v>16</v>
      </c>
    </row>
    <row r="5507">
      <c r="A5507" s="0" t="s">
        <v>17</v>
      </c>
      <c r="C5507" s="0" t="s">
        <v>18</v>
      </c>
    </row>
    <row r="5510">
      <c r="A5510" s="5" t="s">
        <v>19</v>
      </c>
      <c r="B5510" s="5" t="s">
        <v>20</v>
      </c>
      <c r="C5510" s="7" t="s">
        <v>21</v>
      </c>
      <c r="D5510" s="9"/>
      <c r="E5510" s="7" t="s">
        <v>22</v>
      </c>
      <c r="F5510" s="9"/>
      <c r="G5510" s="5" t="s">
        <v>23</v>
      </c>
      <c r="H5510" s="5" t="s">
        <v>24</v>
      </c>
      <c r="I5510" s="5" t="s">
        <v>195</v>
      </c>
      <c r="J5510" s="5" t="s">
        <v>26</v>
      </c>
    </row>
    <row r="5511">
      <c r="A5511" s="6"/>
      <c r="B5511" s="6"/>
      <c r="C5511" s="8" t="s">
        <v>27</v>
      </c>
      <c r="D5511" s="8" t="s">
        <v>28</v>
      </c>
      <c r="E5511" s="8" t="s">
        <v>27</v>
      </c>
      <c r="F5511" s="8" t="s">
        <v>28</v>
      </c>
      <c r="G5511" s="6"/>
      <c r="H5511" s="6"/>
      <c r="I5511" s="10" t="s">
        <v>29</v>
      </c>
      <c r="J5511" s="6"/>
    </row>
    <row r="5512">
      <c r="A5512" s="11" t="s">
        <v>30</v>
      </c>
      <c r="B5512" s="12">
        <v>1677.4582</v>
      </c>
      <c r="C5512" s="12">
        <v>0</v>
      </c>
      <c r="D5512" s="13">
        <v>0</v>
      </c>
      <c r="E5512" s="12">
        <v>0</v>
      </c>
      <c r="F5512" s="14">
        <v>0</v>
      </c>
      <c r="G5512" s="13">
        <v>722082.8161</v>
      </c>
      <c r="H5512" s="14">
        <v>1211263740.9460371</v>
      </c>
      <c r="I5512" s="14" t="e">
        <f>=Round(45866.11090000,0)</f>
        <v>#VALUE!</v>
      </c>
      <c r="J5512" s="14" t="e">
        <f>=Round(0.00000000,0)</f>
        <v>#VALUE!</v>
      </c>
    </row>
    <row r="5513">
      <c r="A5513" s="11" t="s">
        <v>31</v>
      </c>
      <c r="B5513" s="12">
        <v>1685.5728</v>
      </c>
      <c r="C5513" s="12">
        <v>0</v>
      </c>
      <c r="D5513" s="13">
        <v>0</v>
      </c>
      <c r="E5513" s="12">
        <v>0</v>
      </c>
      <c r="F5513" s="14">
        <v>0</v>
      </c>
      <c r="G5513" s="13">
        <v>722082.8161</v>
      </c>
      <c r="H5513" s="14">
        <v>1217123154.1655619</v>
      </c>
      <c r="I5513" s="14" t="e">
        <f>=Round(45629.79850000,0)</f>
        <v>#VALUE!</v>
      </c>
      <c r="J5513" s="14" t="e">
        <f>=Round(0.00000000,0)</f>
        <v>#VALUE!</v>
      </c>
    </row>
    <row r="5514">
      <c r="A5514" s="11" t="s">
        <v>32</v>
      </c>
      <c r="B5514" s="12">
        <v>1695.5297</v>
      </c>
      <c r="C5514" s="12">
        <v>0</v>
      </c>
      <c r="D5514" s="13">
        <v>0</v>
      </c>
      <c r="E5514" s="12">
        <v>0</v>
      </c>
      <c r="F5514" s="14">
        <v>0</v>
      </c>
      <c r="G5514" s="13">
        <v>722082.8161</v>
      </c>
      <c r="H5514" s="14">
        <v>1224312860.557188</v>
      </c>
      <c r="I5514" s="14" t="e">
        <f>=Round(45850.52980000,0)</f>
        <v>#VALUE!</v>
      </c>
      <c r="J5514" s="14" t="e">
        <f>=Round(0.00000000,0)</f>
        <v>#VALUE!</v>
      </c>
    </row>
    <row r="5515">
      <c r="A5515" s="11" t="s">
        <v>33</v>
      </c>
      <c r="B5515" s="12">
        <v>1694.4162</v>
      </c>
      <c r="C5515" s="12">
        <v>0</v>
      </c>
      <c r="D5515" s="13">
        <v>0</v>
      </c>
      <c r="E5515" s="12">
        <v>0</v>
      </c>
      <c r="F5515" s="14">
        <v>0</v>
      </c>
      <c r="G5515" s="13">
        <v>722082.8161</v>
      </c>
      <c r="H5515" s="14">
        <v>1223508821.3414609</v>
      </c>
      <c r="I5515" s="14" t="e">
        <f>=Round(46121.37490000,0)</f>
        <v>#VALUE!</v>
      </c>
      <c r="J5515" s="14" t="e">
        <f>=Round(0.00000000,0)</f>
        <v>#VALUE!</v>
      </c>
    </row>
    <row r="5516">
      <c r="A5516" s="11" t="s">
        <v>34</v>
      </c>
      <c r="B5516" s="12">
        <v>1694.5359</v>
      </c>
      <c r="C5516" s="12">
        <v>0</v>
      </c>
      <c r="D5516" s="13">
        <v>0</v>
      </c>
      <c r="E5516" s="12">
        <v>0</v>
      </c>
      <c r="F5516" s="14">
        <v>0</v>
      </c>
      <c r="G5516" s="13">
        <v>722082.8161</v>
      </c>
      <c r="H5516" s="14">
        <v>1223595254.6545479</v>
      </c>
      <c r="I5516" s="14" t="e">
        <f>=Round(46091.08570000,0)</f>
        <v>#VALUE!</v>
      </c>
      <c r="J5516" s="14" t="e">
        <f>=Round(0.00000000,0)</f>
        <v>#VALUE!</v>
      </c>
    </row>
    <row r="5517">
      <c r="A5517" s="11" t="s">
        <v>35</v>
      </c>
      <c r="B5517" s="12">
        <v>1694.5359</v>
      </c>
      <c r="C5517" s="12">
        <v>0</v>
      </c>
      <c r="D5517" s="13">
        <v>0</v>
      </c>
      <c r="E5517" s="12">
        <v>0</v>
      </c>
      <c r="F5517" s="14">
        <v>0</v>
      </c>
      <c r="G5517" s="13">
        <v>722082.8161</v>
      </c>
      <c r="H5517" s="14">
        <v>1223595254.6545479</v>
      </c>
      <c r="I5517" s="14" t="e">
        <f>=Round(46094.34180000,0)</f>
        <v>#VALUE!</v>
      </c>
      <c r="J5517" s="14" t="e">
        <f>=Round(0.00000000,0)</f>
        <v>#VALUE!</v>
      </c>
    </row>
    <row r="5518">
      <c r="A5518" s="11" t="s">
        <v>36</v>
      </c>
      <c r="B5518" s="12">
        <v>1694.5359</v>
      </c>
      <c r="C5518" s="12">
        <v>0</v>
      </c>
      <c r="D5518" s="13">
        <v>0</v>
      </c>
      <c r="E5518" s="12">
        <v>0</v>
      </c>
      <c r="F5518" s="14">
        <v>0</v>
      </c>
      <c r="G5518" s="13">
        <v>722082.8161</v>
      </c>
      <c r="H5518" s="14">
        <v>1223595254.6545479</v>
      </c>
      <c r="I5518" s="14" t="e">
        <f>=Round(46094.34180000,0)</f>
        <v>#VALUE!</v>
      </c>
      <c r="J5518" s="14" t="e">
        <f>=Round(0.00000000,0)</f>
        <v>#VALUE!</v>
      </c>
    </row>
    <row r="5519">
      <c r="A5519" s="11" t="s">
        <v>37</v>
      </c>
      <c r="B5519" s="12">
        <v>1686.858</v>
      </c>
      <c r="C5519" s="12">
        <v>0</v>
      </c>
      <c r="D5519" s="13">
        <v>0</v>
      </c>
      <c r="E5519" s="12">
        <v>0</v>
      </c>
      <c r="F5519" s="14">
        <v>0</v>
      </c>
      <c r="G5519" s="13">
        <v>722082.8161</v>
      </c>
      <c r="H5519" s="14">
        <v>1218051175.000814</v>
      </c>
      <c r="I5519" s="14" t="e">
        <f>=Round(46094.34180000,0)</f>
        <v>#VALUE!</v>
      </c>
      <c r="J5519" s="14" t="e">
        <f>=Round(0.00000000,0)</f>
        <v>#VALUE!</v>
      </c>
    </row>
    <row r="5520">
      <c r="A5520" s="11" t="s">
        <v>38</v>
      </c>
      <c r="B5520" s="12">
        <v>1685.4893</v>
      </c>
      <c r="C5520" s="12">
        <v>0</v>
      </c>
      <c r="D5520" s="13">
        <v>0</v>
      </c>
      <c r="E5520" s="12">
        <v>0</v>
      </c>
      <c r="F5520" s="14">
        <v>0</v>
      </c>
      <c r="G5520" s="13">
        <v>722082.8161</v>
      </c>
      <c r="H5520" s="14">
        <v>1217062860.250418</v>
      </c>
      <c r="I5520" s="14" t="e">
        <f>=Round(45885.48950000,0)</f>
        <v>#VALUE!</v>
      </c>
      <c r="J5520" s="14" t="e">
        <f>=Round(0.00000000,0)</f>
        <v>#VALUE!</v>
      </c>
    </row>
    <row r="5521">
      <c r="A5521" s="11" t="s">
        <v>39</v>
      </c>
      <c r="B5521" s="12">
        <v>1677.9056</v>
      </c>
      <c r="C5521" s="12">
        <v>0</v>
      </c>
      <c r="D5521" s="13">
        <v>0</v>
      </c>
      <c r="E5521" s="12">
        <v>722082.8161</v>
      </c>
      <c r="F5521" s="14">
        <v>1211586801</v>
      </c>
      <c r="G5521" s="13">
        <v>722082.8161</v>
      </c>
      <c r="H5521" s="14">
        <v>1211586800.79796</v>
      </c>
      <c r="I5521" s="14" t="e">
        <f>=Round(45848.25840000,0)</f>
        <v>#VALUE!</v>
      </c>
      <c r="J5521" s="14" t="e">
        <f>=Round(0.00000000,0)</f>
        <v>#VALUE!</v>
      </c>
    </row>
    <row r="5522">
      <c r="A5522" s="11" t="s">
        <v>40</v>
      </c>
      <c r="B5522" s="12">
        <v>1667.6693</v>
      </c>
      <c r="C5522" s="12">
        <v>0</v>
      </c>
      <c r="D5522" s="13">
        <v>0</v>
      </c>
      <c r="E5522" s="12">
        <v>0</v>
      </c>
      <c r="F5522" s="14">
        <v>0</v>
      </c>
      <c r="G5522" s="13">
        <v>0</v>
      </c>
      <c r="H5522" s="14">
        <v>0</v>
      </c>
      <c r="I5522" s="14" t="e">
        <f>=Round(45641.96850000,0)</f>
        <v>#VALUE!</v>
      </c>
      <c r="J5522" s="14" t="e">
        <f>=Round(0.00000000,0)</f>
        <v>#VALUE!</v>
      </c>
    </row>
    <row r="5523">
      <c r="A5523" s="11" t="s">
        <v>41</v>
      </c>
      <c r="B5523" s="12">
        <v>1672.9358</v>
      </c>
      <c r="C5523" s="12">
        <v>0</v>
      </c>
      <c r="D5523" s="13">
        <v>0</v>
      </c>
      <c r="E5523" s="12">
        <v>0</v>
      </c>
      <c r="F5523" s="14">
        <v>0</v>
      </c>
      <c r="G5523" s="13">
        <v>0</v>
      </c>
      <c r="H5523" s="14">
        <v>0</v>
      </c>
      <c r="I5523" s="14" t="e">
        <f>=Round(0.00000000,0)</f>
        <v>#VALUE!</v>
      </c>
      <c r="J5523" s="14" t="e">
        <f>=Round(0.00000000,0)</f>
        <v>#VALUE!</v>
      </c>
    </row>
    <row r="5524">
      <c r="A5524" s="11" t="s">
        <v>42</v>
      </c>
      <c r="B5524" s="12">
        <v>1672.9358</v>
      </c>
      <c r="C5524" s="12">
        <v>0</v>
      </c>
      <c r="D5524" s="13">
        <v>0</v>
      </c>
      <c r="E5524" s="12">
        <v>0</v>
      </c>
      <c r="F5524" s="14">
        <v>0</v>
      </c>
      <c r="G5524" s="13">
        <v>0</v>
      </c>
      <c r="H5524" s="14">
        <v>0</v>
      </c>
      <c r="I5524" s="14" t="e">
        <f>=Round(0.00000000,0)</f>
        <v>#VALUE!</v>
      </c>
      <c r="J5524" s="14" t="e">
        <f>=Round(0.00000000,0)</f>
        <v>#VALUE!</v>
      </c>
    </row>
    <row r="5525">
      <c r="A5525" s="11" t="s">
        <v>43</v>
      </c>
      <c r="B5525" s="12">
        <v>1672.9358</v>
      </c>
      <c r="C5525" s="12">
        <v>0</v>
      </c>
      <c r="D5525" s="13">
        <v>0</v>
      </c>
      <c r="E5525" s="12">
        <v>0</v>
      </c>
      <c r="F5525" s="14">
        <v>0</v>
      </c>
      <c r="G5525" s="13">
        <v>0</v>
      </c>
      <c r="H5525" s="14">
        <v>0</v>
      </c>
      <c r="I5525" s="14" t="e">
        <f>=Round(0.00000000,0)</f>
        <v>#VALUE!</v>
      </c>
      <c r="J5525" s="14" t="e">
        <f>=Round(0.00000000,0)</f>
        <v>#VALUE!</v>
      </c>
    </row>
    <row r="5526">
      <c r="A5526" s="11" t="s">
        <v>44</v>
      </c>
      <c r="B5526" s="12">
        <v>1672.7866</v>
      </c>
      <c r="C5526" s="12">
        <v>0</v>
      </c>
      <c r="D5526" s="13">
        <v>0</v>
      </c>
      <c r="E5526" s="12">
        <v>0</v>
      </c>
      <c r="F5526" s="14">
        <v>0</v>
      </c>
      <c r="G5526" s="13">
        <v>0</v>
      </c>
      <c r="H5526" s="14">
        <v>0</v>
      </c>
      <c r="I5526" s="14" t="e">
        <f>=Round(0.00000000,0)</f>
        <v>#VALUE!</v>
      </c>
      <c r="J5526" s="14" t="e">
        <f>=Round(0.00000000,0)</f>
        <v>#VALUE!</v>
      </c>
    </row>
    <row r="5527">
      <c r="A5527" s="11" t="s">
        <v>45</v>
      </c>
      <c r="B5527" s="12">
        <v>1678.8917</v>
      </c>
      <c r="C5527" s="12">
        <v>0</v>
      </c>
      <c r="D5527" s="13">
        <v>0</v>
      </c>
      <c r="E5527" s="12">
        <v>0</v>
      </c>
      <c r="F5527" s="14">
        <v>0</v>
      </c>
      <c r="G5527" s="13">
        <v>0</v>
      </c>
      <c r="H5527" s="14">
        <v>0</v>
      </c>
      <c r="I5527" s="14" t="e">
        <f>=Round(0.00000000,0)</f>
        <v>#VALUE!</v>
      </c>
      <c r="J5527" s="14" t="e">
        <f>=Round(0.00000000,0)</f>
        <v>#VALUE!</v>
      </c>
    </row>
    <row r="5528">
      <c r="A5528" s="11" t="s">
        <v>46</v>
      </c>
      <c r="B5528" s="12">
        <v>1685.7783</v>
      </c>
      <c r="C5528" s="12">
        <v>0</v>
      </c>
      <c r="D5528" s="13">
        <v>0</v>
      </c>
      <c r="E5528" s="12">
        <v>0</v>
      </c>
      <c r="F5528" s="14">
        <v>0</v>
      </c>
      <c r="G5528" s="13">
        <v>0</v>
      </c>
      <c r="H5528" s="14">
        <v>0</v>
      </c>
      <c r="I5528" s="14" t="e">
        <f>=Round(0.00000000,0)</f>
        <v>#VALUE!</v>
      </c>
      <c r="J5528" s="14" t="e">
        <f>=Round(0.00000000,0)</f>
        <v>#VALUE!</v>
      </c>
    </row>
    <row r="5529">
      <c r="A5529" s="11" t="s">
        <v>47</v>
      </c>
      <c r="B5529" s="12">
        <v>1691.2871</v>
      </c>
      <c r="C5529" s="12">
        <v>0</v>
      </c>
      <c r="D5529" s="13">
        <v>0</v>
      </c>
      <c r="E5529" s="12">
        <v>0</v>
      </c>
      <c r="F5529" s="14">
        <v>0</v>
      </c>
      <c r="G5529" s="13">
        <v>0</v>
      </c>
      <c r="H5529" s="14">
        <v>0</v>
      </c>
      <c r="I5529" s="14" t="e">
        <f>=Round(0.00000000,0)</f>
        <v>#VALUE!</v>
      </c>
      <c r="J5529" s="14" t="e">
        <f>=Round(0.00000000,0)</f>
        <v>#VALUE!</v>
      </c>
    </row>
    <row r="5530">
      <c r="A5530" s="11" t="s">
        <v>48</v>
      </c>
      <c r="B5530" s="12">
        <v>1681.0981</v>
      </c>
      <c r="C5530" s="12">
        <v>0</v>
      </c>
      <c r="D5530" s="13">
        <v>0</v>
      </c>
      <c r="E5530" s="12">
        <v>0</v>
      </c>
      <c r="F5530" s="14">
        <v>0</v>
      </c>
      <c r="G5530" s="13">
        <v>0</v>
      </c>
      <c r="H5530" s="14">
        <v>0</v>
      </c>
      <c r="I5530" s="14" t="e">
        <f>=Round(0.00000000,0)</f>
        <v>#VALUE!</v>
      </c>
      <c r="J5530" s="14" t="e">
        <f>=Round(0.00000000,0)</f>
        <v>#VALUE!</v>
      </c>
    </row>
    <row r="5531">
      <c r="A5531" s="11" t="s">
        <v>49</v>
      </c>
      <c r="B5531" s="12">
        <v>1681.0981</v>
      </c>
      <c r="C5531" s="12">
        <v>0</v>
      </c>
      <c r="D5531" s="13">
        <v>0</v>
      </c>
      <c r="E5531" s="12">
        <v>0</v>
      </c>
      <c r="F5531" s="14">
        <v>0</v>
      </c>
      <c r="G5531" s="13">
        <v>0</v>
      </c>
      <c r="H5531" s="14">
        <v>0</v>
      </c>
      <c r="I5531" s="14" t="e">
        <f>=Round(0.00000000,0)</f>
        <v>#VALUE!</v>
      </c>
      <c r="J5531" s="14" t="e">
        <f>=Round(0.00000000,0)</f>
        <v>#VALUE!</v>
      </c>
    </row>
    <row r="5532">
      <c r="A5532" s="11" t="s">
        <v>50</v>
      </c>
      <c r="B5532" s="12">
        <v>1681.0981</v>
      </c>
      <c r="C5532" s="12">
        <v>0</v>
      </c>
      <c r="D5532" s="13">
        <v>0</v>
      </c>
      <c r="E5532" s="12">
        <v>0</v>
      </c>
      <c r="F5532" s="14">
        <v>0</v>
      </c>
      <c r="G5532" s="13">
        <v>0</v>
      </c>
      <c r="H5532" s="14">
        <v>0</v>
      </c>
      <c r="I5532" s="14" t="e">
        <f>=Round(0.00000000,0)</f>
        <v>#VALUE!</v>
      </c>
      <c r="J5532" s="14" t="e">
        <f>=Round(0.00000000,0)</f>
        <v>#VALUE!</v>
      </c>
    </row>
    <row r="5533">
      <c r="A5533" s="11" t="s">
        <v>51</v>
      </c>
      <c r="B5533" s="12">
        <v>1671.3084</v>
      </c>
      <c r="C5533" s="12">
        <v>0</v>
      </c>
      <c r="D5533" s="13">
        <v>0</v>
      </c>
      <c r="E5533" s="12">
        <v>0</v>
      </c>
      <c r="F5533" s="14">
        <v>0</v>
      </c>
      <c r="G5533" s="13">
        <v>0</v>
      </c>
      <c r="H5533" s="14">
        <v>0</v>
      </c>
      <c r="I5533" s="14" t="e">
        <f>=Round(0.00000000,0)</f>
        <v>#VALUE!</v>
      </c>
      <c r="J5533" s="14" t="e">
        <f>=Round(0.00000000,0)</f>
        <v>#VALUE!</v>
      </c>
    </row>
    <row r="5534">
      <c r="A5534" s="11" t="s">
        <v>52</v>
      </c>
      <c r="B5534" s="12">
        <v>1666.7814</v>
      </c>
      <c r="C5534" s="12">
        <v>0</v>
      </c>
      <c r="D5534" s="13">
        <v>0</v>
      </c>
      <c r="E5534" s="12">
        <v>0</v>
      </c>
      <c r="F5534" s="14">
        <v>0</v>
      </c>
      <c r="G5534" s="13">
        <v>0</v>
      </c>
      <c r="H5534" s="14">
        <v>0</v>
      </c>
      <c r="I5534" s="14" t="e">
        <f>=Round(0.00000000,0)</f>
        <v>#VALUE!</v>
      </c>
      <c r="J5534" s="14" t="e">
        <f>=Round(0.00000000,0)</f>
        <v>#VALUE!</v>
      </c>
    </row>
    <row r="5535">
      <c r="A5535" s="11" t="s">
        <v>53</v>
      </c>
      <c r="B5535" s="12">
        <v>1647.4448</v>
      </c>
      <c r="C5535" s="12">
        <v>0</v>
      </c>
      <c r="D5535" s="13">
        <v>0</v>
      </c>
      <c r="E5535" s="12">
        <v>0</v>
      </c>
      <c r="F5535" s="14">
        <v>0</v>
      </c>
      <c r="G5535" s="13">
        <v>0</v>
      </c>
      <c r="H5535" s="14">
        <v>0</v>
      </c>
      <c r="I5535" s="14" t="e">
        <f>=Round(0.00000000,0)</f>
        <v>#VALUE!</v>
      </c>
      <c r="J5535" s="14" t="e">
        <f>=Round(0.00000000,0)</f>
        <v>#VALUE!</v>
      </c>
    </row>
    <row r="5536">
      <c r="A5536" s="11" t="s">
        <v>54</v>
      </c>
      <c r="B5536" s="12">
        <v>1631.4758</v>
      </c>
      <c r="C5536" s="12">
        <v>0</v>
      </c>
      <c r="D5536" s="13">
        <v>0</v>
      </c>
      <c r="E5536" s="12">
        <v>0</v>
      </c>
      <c r="F5536" s="14">
        <v>0</v>
      </c>
      <c r="G5536" s="13">
        <v>0</v>
      </c>
      <c r="H5536" s="14">
        <v>0</v>
      </c>
      <c r="I5536" s="14" t="e">
        <f>=Round(0.00000000,0)</f>
        <v>#VALUE!</v>
      </c>
      <c r="J5536" s="14" t="e">
        <f>=Round(0.00000000,0)</f>
        <v>#VALUE!</v>
      </c>
    </row>
    <row r="5537">
      <c r="A5537" s="11" t="s">
        <v>55</v>
      </c>
      <c r="B5537" s="12">
        <v>1613.9929</v>
      </c>
      <c r="C5537" s="12">
        <v>0</v>
      </c>
      <c r="D5537" s="13">
        <v>0</v>
      </c>
      <c r="E5537" s="12">
        <v>0</v>
      </c>
      <c r="F5537" s="14">
        <v>0</v>
      </c>
      <c r="G5537" s="13">
        <v>0</v>
      </c>
      <c r="H5537" s="14">
        <v>0</v>
      </c>
      <c r="I5537" s="14" t="e">
        <f>=Round(0.00000000,0)</f>
        <v>#VALUE!</v>
      </c>
      <c r="J5537" s="14" t="e">
        <f>=Round(0.00000000,0)</f>
        <v>#VALUE!</v>
      </c>
    </row>
    <row r="5538" ht="-1">
      <c r="A5538" s="15"/>
      <c r="B5538" s="16" t="s">
        <v>56</v>
      </c>
      <c r="C5538" s="15"/>
      <c r="D5538" s="15"/>
      <c r="E5538" s="15"/>
      <c r="F5538" s="15"/>
      <c r="G5538" s="15"/>
      <c r="H5538" s="15"/>
      <c r="I5538" s="17" t="e">
        <f>=Round(SUM(I5512:I5537),0)</f>
        <v>#VALUE!</v>
      </c>
      <c r="J5538" s="17" t="e">
        <f>=Round(SUM(J5512:J5537),0)</f>
        <v>#VALUE!</v>
      </c>
    </row>
    <row r="5539">
      <c r="A5539" s="1" t="s">
        <v>0</v>
      </c>
      <c r="B5539" s="1"/>
      <c r="C5539" s="1"/>
      <c r="D5539" s="1"/>
    </row>
    <row r="5540">
      <c r="A5540" s="0" t="s">
        <v>1</v>
      </c>
      <c r="C5540" s="0" t="s">
        <v>192</v>
      </c>
      <c r="H5540" s="2" t="s">
        <v>3</v>
      </c>
    </row>
    <row r="5541">
      <c r="A5541" s="0" t="s">
        <v>4</v>
      </c>
      <c r="C5541" s="0" t="s">
        <v>108</v>
      </c>
      <c r="H5541" s="3" t="s">
        <v>6</v>
      </c>
    </row>
    <row r="5542">
      <c r="A5542" s="0" t="s">
        <v>7</v>
      </c>
      <c r="C5542" s="4" t="s">
        <v>194</v>
      </c>
      <c r="H5542" s="2" t="s">
        <v>9</v>
      </c>
    </row>
    <row r="5543">
      <c r="A5543" s="0" t="s">
        <v>10</v>
      </c>
      <c r="C5543" s="4" t="s">
        <v>11</v>
      </c>
      <c r="H5543" s="2" t="s">
        <v>12</v>
      </c>
    </row>
    <row r="5544">
      <c r="A5544" s="0" t="s">
        <v>13</v>
      </c>
      <c r="C5544" s="0" t="s">
        <v>14</v>
      </c>
    </row>
    <row r="5545">
      <c r="A5545" s="0" t="s">
        <v>15</v>
      </c>
      <c r="C5545" s="0" t="s">
        <v>16</v>
      </c>
    </row>
    <row r="5546">
      <c r="A5546" s="0" t="s">
        <v>17</v>
      </c>
      <c r="C5546" s="0" t="s">
        <v>18</v>
      </c>
    </row>
    <row r="5549">
      <c r="A5549" s="5" t="s">
        <v>19</v>
      </c>
      <c r="B5549" s="5" t="s">
        <v>20</v>
      </c>
      <c r="C5549" s="7" t="s">
        <v>21</v>
      </c>
      <c r="D5549" s="9"/>
      <c r="E5549" s="7" t="s">
        <v>22</v>
      </c>
      <c r="F5549" s="9"/>
      <c r="G5549" s="5" t="s">
        <v>23</v>
      </c>
      <c r="H5549" s="5" t="s">
        <v>24</v>
      </c>
      <c r="I5549" s="5" t="s">
        <v>195</v>
      </c>
      <c r="J5549" s="5" t="s">
        <v>26</v>
      </c>
    </row>
    <row r="5550">
      <c r="A5550" s="6"/>
      <c r="B5550" s="6"/>
      <c r="C5550" s="8" t="s">
        <v>27</v>
      </c>
      <c r="D5550" s="8" t="s">
        <v>28</v>
      </c>
      <c r="E5550" s="8" t="s">
        <v>27</v>
      </c>
      <c r="F5550" s="8" t="s">
        <v>28</v>
      </c>
      <c r="G5550" s="6"/>
      <c r="H5550" s="6"/>
      <c r="I5550" s="10" t="s">
        <v>29</v>
      </c>
      <c r="J5550" s="6"/>
    </row>
    <row r="5551">
      <c r="A5551" s="11" t="s">
        <v>30</v>
      </c>
      <c r="B5551" s="12">
        <v>1677.4582</v>
      </c>
      <c r="C5551" s="12">
        <v>0</v>
      </c>
      <c r="D5551" s="13">
        <v>0</v>
      </c>
      <c r="E5551" s="12">
        <v>0</v>
      </c>
      <c r="F5551" s="14">
        <v>0</v>
      </c>
      <c r="G5551" s="13">
        <v>2594992.9611000004</v>
      </c>
      <c r="H5551" s="14">
        <v>4352992221.5394764</v>
      </c>
      <c r="I5551" s="14" t="e">
        <f>=Round(164831.83420000,0)</f>
        <v>#VALUE!</v>
      </c>
      <c r="J5551" s="14" t="e">
        <f>=Round(0.00000000,0)</f>
        <v>#VALUE!</v>
      </c>
    </row>
    <row r="5552">
      <c r="A5552" s="11" t="s">
        <v>31</v>
      </c>
      <c r="B5552" s="12">
        <v>1685.5728</v>
      </c>
      <c r="C5552" s="12">
        <v>0</v>
      </c>
      <c r="D5552" s="13">
        <v>0</v>
      </c>
      <c r="E5552" s="12">
        <v>0</v>
      </c>
      <c r="F5552" s="14">
        <v>0</v>
      </c>
      <c r="G5552" s="13">
        <v>2594992.9611000004</v>
      </c>
      <c r="H5552" s="14">
        <v>4374049551.4216185</v>
      </c>
      <c r="I5552" s="14" t="e">
        <f>=Round(163982.58370000,0)</f>
        <v>#VALUE!</v>
      </c>
      <c r="J5552" s="14" t="e">
        <f>=Round(0.00000000,0)</f>
        <v>#VALUE!</v>
      </c>
    </row>
    <row r="5553">
      <c r="A5553" s="11" t="s">
        <v>32</v>
      </c>
      <c r="B5553" s="12">
        <v>1695.5297</v>
      </c>
      <c r="C5553" s="12">
        <v>0</v>
      </c>
      <c r="D5553" s="13">
        <v>0</v>
      </c>
      <c r="E5553" s="12">
        <v>0</v>
      </c>
      <c r="F5553" s="14">
        <v>0</v>
      </c>
      <c r="G5553" s="13">
        <v>2594992.9611000004</v>
      </c>
      <c r="H5553" s="14">
        <v>4399887636.8359947</v>
      </c>
      <c r="I5553" s="14" t="e">
        <f>=Round(164775.83930000,0)</f>
        <v>#VALUE!</v>
      </c>
      <c r="J5553" s="14" t="e">
        <f>=Round(0.00000000,0)</f>
        <v>#VALUE!</v>
      </c>
    </row>
    <row r="5554">
      <c r="A5554" s="11" t="s">
        <v>33</v>
      </c>
      <c r="B5554" s="12">
        <v>1694.4162</v>
      </c>
      <c r="C5554" s="12">
        <v>0</v>
      </c>
      <c r="D5554" s="13">
        <v>0</v>
      </c>
      <c r="E5554" s="12">
        <v>0</v>
      </c>
      <c r="F5554" s="14">
        <v>0</v>
      </c>
      <c r="G5554" s="13">
        <v>2594992.9611000004</v>
      </c>
      <c r="H5554" s="14">
        <v>4396998112.17381</v>
      </c>
      <c r="I5554" s="14" t="e">
        <f>=Round(165749.19180000,0)</f>
        <v>#VALUE!</v>
      </c>
      <c r="J5554" s="14" t="e">
        <f>=Round(0.00000000,0)</f>
        <v>#VALUE!</v>
      </c>
    </row>
    <row r="5555">
      <c r="A5555" s="11" t="s">
        <v>34</v>
      </c>
      <c r="B5555" s="12">
        <v>1694.5359</v>
      </c>
      <c r="C5555" s="12">
        <v>0</v>
      </c>
      <c r="D5555" s="13">
        <v>0</v>
      </c>
      <c r="E5555" s="12">
        <v>0</v>
      </c>
      <c r="F5555" s="14">
        <v>0</v>
      </c>
      <c r="G5555" s="13">
        <v>2594992.9611000004</v>
      </c>
      <c r="H5555" s="14">
        <v>4397308732.8312531</v>
      </c>
      <c r="I5555" s="14" t="e">
        <f>=Round(165640.33980000,0)</f>
        <v>#VALUE!</v>
      </c>
      <c r="J5555" s="14" t="e">
        <f>=Round(0.00000000,0)</f>
        <v>#VALUE!</v>
      </c>
    </row>
    <row r="5556">
      <c r="A5556" s="11" t="s">
        <v>35</v>
      </c>
      <c r="B5556" s="12">
        <v>1694.5359</v>
      </c>
      <c r="C5556" s="12">
        <v>0</v>
      </c>
      <c r="D5556" s="13">
        <v>0</v>
      </c>
      <c r="E5556" s="12">
        <v>0</v>
      </c>
      <c r="F5556" s="14">
        <v>0</v>
      </c>
      <c r="G5556" s="13">
        <v>2594992.9611000004</v>
      </c>
      <c r="H5556" s="14">
        <v>4397308732.8312531</v>
      </c>
      <c r="I5556" s="14" t="e">
        <f>=Round(165652.04130000,0)</f>
        <v>#VALUE!</v>
      </c>
      <c r="J5556" s="14" t="e">
        <f>=Round(0.00000000,0)</f>
        <v>#VALUE!</v>
      </c>
    </row>
    <row r="5557">
      <c r="A5557" s="11" t="s">
        <v>36</v>
      </c>
      <c r="B5557" s="12">
        <v>1694.5359</v>
      </c>
      <c r="C5557" s="12">
        <v>0</v>
      </c>
      <c r="D5557" s="13">
        <v>0</v>
      </c>
      <c r="E5557" s="12">
        <v>0</v>
      </c>
      <c r="F5557" s="14">
        <v>0</v>
      </c>
      <c r="G5557" s="13">
        <v>2594992.9611000004</v>
      </c>
      <c r="H5557" s="14">
        <v>4397308732.8312531</v>
      </c>
      <c r="I5557" s="14" t="e">
        <f>=Round(165652.04130000,0)</f>
        <v>#VALUE!</v>
      </c>
      <c r="J5557" s="14" t="e">
        <f>=Round(0.00000000,0)</f>
        <v>#VALUE!</v>
      </c>
    </row>
    <row r="5558">
      <c r="A5558" s="11" t="s">
        <v>37</v>
      </c>
      <c r="B5558" s="12">
        <v>1686.858</v>
      </c>
      <c r="C5558" s="12">
        <v>0</v>
      </c>
      <c r="D5558" s="13">
        <v>0</v>
      </c>
      <c r="E5558" s="12">
        <v>0</v>
      </c>
      <c r="F5558" s="14">
        <v>0</v>
      </c>
      <c r="G5558" s="13">
        <v>2594992.9611000004</v>
      </c>
      <c r="H5558" s="14">
        <v>4377384636.3752241</v>
      </c>
      <c r="I5558" s="14" t="e">
        <f>=Round(165652.04130000,0)</f>
        <v>#VALUE!</v>
      </c>
      <c r="J5558" s="14" t="e">
        <f>=Round(0.00000000,0)</f>
        <v>#VALUE!</v>
      </c>
    </row>
    <row r="5559">
      <c r="A5559" s="11" t="s">
        <v>38</v>
      </c>
      <c r="B5559" s="12">
        <v>1685.4893</v>
      </c>
      <c r="C5559" s="12">
        <v>0</v>
      </c>
      <c r="D5559" s="13">
        <v>0</v>
      </c>
      <c r="E5559" s="12">
        <v>0</v>
      </c>
      <c r="F5559" s="14">
        <v>0</v>
      </c>
      <c r="G5559" s="13">
        <v>2594992.9611000004</v>
      </c>
      <c r="H5559" s="14">
        <v>4373832869.509366</v>
      </c>
      <c r="I5559" s="14" t="e">
        <f>=Round(164901.47600000,0)</f>
        <v>#VALUE!</v>
      </c>
      <c r="J5559" s="14" t="e">
        <f>=Round(0.00000000,0)</f>
        <v>#VALUE!</v>
      </c>
    </row>
    <row r="5560">
      <c r="A5560" s="11" t="s">
        <v>39</v>
      </c>
      <c r="B5560" s="12">
        <v>1677.9056</v>
      </c>
      <c r="C5560" s="12">
        <v>0</v>
      </c>
      <c r="D5560" s="13">
        <v>0</v>
      </c>
      <c r="E5560" s="12">
        <v>0</v>
      </c>
      <c r="F5560" s="14">
        <v>0</v>
      </c>
      <c r="G5560" s="13">
        <v>2594992.9611000004</v>
      </c>
      <c r="H5560" s="14">
        <v>4354153221.3902721</v>
      </c>
      <c r="I5560" s="14" t="e">
        <f>=Round(164767.67660000,0)</f>
        <v>#VALUE!</v>
      </c>
      <c r="J5560" s="14" t="e">
        <f>=Round(0.00000000,0)</f>
        <v>#VALUE!</v>
      </c>
    </row>
    <row r="5561">
      <c r="A5561" s="11" t="s">
        <v>40</v>
      </c>
      <c r="B5561" s="12">
        <v>1667.6693</v>
      </c>
      <c r="C5561" s="12">
        <v>0</v>
      </c>
      <c r="D5561" s="13">
        <v>0</v>
      </c>
      <c r="E5561" s="12">
        <v>0</v>
      </c>
      <c r="F5561" s="14">
        <v>0</v>
      </c>
      <c r="G5561" s="13">
        <v>2594992.9611000004</v>
      </c>
      <c r="H5561" s="14">
        <v>4327590094.942564</v>
      </c>
      <c r="I5561" s="14" t="e">
        <f>=Round(164026.32000000,0)</f>
        <v>#VALUE!</v>
      </c>
      <c r="J5561" s="14" t="e">
        <f>=Round(0.00000000,0)</f>
        <v>#VALUE!</v>
      </c>
    </row>
    <row r="5562">
      <c r="A5562" s="11" t="s">
        <v>41</v>
      </c>
      <c r="B5562" s="12">
        <v>1672.9358</v>
      </c>
      <c r="C5562" s="12">
        <v>0</v>
      </c>
      <c r="D5562" s="13">
        <v>0</v>
      </c>
      <c r="E5562" s="12">
        <v>0</v>
      </c>
      <c r="F5562" s="14">
        <v>0</v>
      </c>
      <c r="G5562" s="13">
        <v>2594992.9611000004</v>
      </c>
      <c r="H5562" s="14">
        <v>4341256625.3721972</v>
      </c>
      <c r="I5562" s="14" t="e">
        <f>=Round(163025.65430000,0)</f>
        <v>#VALUE!</v>
      </c>
      <c r="J5562" s="14" t="e">
        <f>=Round(0.00000000,0)</f>
        <v>#VALUE!</v>
      </c>
    </row>
    <row r="5563">
      <c r="A5563" s="11" t="s">
        <v>42</v>
      </c>
      <c r="B5563" s="12">
        <v>1672.9358</v>
      </c>
      <c r="C5563" s="12">
        <v>0</v>
      </c>
      <c r="D5563" s="13">
        <v>0</v>
      </c>
      <c r="E5563" s="12">
        <v>0</v>
      </c>
      <c r="F5563" s="14">
        <v>0</v>
      </c>
      <c r="G5563" s="13">
        <v>2594992.9611000004</v>
      </c>
      <c r="H5563" s="14">
        <v>4341256625.3721972</v>
      </c>
      <c r="I5563" s="14" t="e">
        <f>=Round(163540.48930000,0)</f>
        <v>#VALUE!</v>
      </c>
      <c r="J5563" s="14" t="e">
        <f>=Round(0.00000000,0)</f>
        <v>#VALUE!</v>
      </c>
    </row>
    <row r="5564">
      <c r="A5564" s="11" t="s">
        <v>43</v>
      </c>
      <c r="B5564" s="12">
        <v>1672.9358</v>
      </c>
      <c r="C5564" s="12">
        <v>0</v>
      </c>
      <c r="D5564" s="13">
        <v>0</v>
      </c>
      <c r="E5564" s="12">
        <v>0</v>
      </c>
      <c r="F5564" s="14">
        <v>0</v>
      </c>
      <c r="G5564" s="13">
        <v>2594992.9611000004</v>
      </c>
      <c r="H5564" s="14">
        <v>4341256625.3721972</v>
      </c>
      <c r="I5564" s="14" t="e">
        <f>=Round(163540.48930000,0)</f>
        <v>#VALUE!</v>
      </c>
      <c r="J5564" s="14" t="e">
        <f>=Round(0.00000000,0)</f>
        <v>#VALUE!</v>
      </c>
    </row>
    <row r="5565">
      <c r="A5565" s="11" t="s">
        <v>44</v>
      </c>
      <c r="B5565" s="12">
        <v>1672.7866</v>
      </c>
      <c r="C5565" s="12">
        <v>0</v>
      </c>
      <c r="D5565" s="13">
        <v>0</v>
      </c>
      <c r="E5565" s="12">
        <v>0</v>
      </c>
      <c r="F5565" s="14">
        <v>0</v>
      </c>
      <c r="G5565" s="13">
        <v>2594992.9611000004</v>
      </c>
      <c r="H5565" s="14">
        <v>4340869452.4224014</v>
      </c>
      <c r="I5565" s="14" t="e">
        <f>=Round(163540.48930000,0)</f>
        <v>#VALUE!</v>
      </c>
      <c r="J5565" s="14" t="e">
        <f>=Round(0.00000000,0)</f>
        <v>#VALUE!</v>
      </c>
    </row>
    <row r="5566">
      <c r="A5566" s="11" t="s">
        <v>45</v>
      </c>
      <c r="B5566" s="12">
        <v>1678.8917</v>
      </c>
      <c r="C5566" s="12">
        <v>0</v>
      </c>
      <c r="D5566" s="13">
        <v>0</v>
      </c>
      <c r="E5566" s="12">
        <v>0</v>
      </c>
      <c r="F5566" s="14">
        <v>0</v>
      </c>
      <c r="G5566" s="13">
        <v>2594992.9611000004</v>
      </c>
      <c r="H5566" s="14">
        <v>4356712143.949213</v>
      </c>
      <c r="I5566" s="14" t="e">
        <f>=Round(163525.90400000,0)</f>
        <v>#VALUE!</v>
      </c>
      <c r="J5566" s="14" t="e">
        <f>=Round(0.00000000,0)</f>
        <v>#VALUE!</v>
      </c>
    </row>
    <row r="5567">
      <c r="A5567" s="11" t="s">
        <v>46</v>
      </c>
      <c r="B5567" s="12">
        <v>1685.7783</v>
      </c>
      <c r="C5567" s="12">
        <v>0</v>
      </c>
      <c r="D5567" s="13">
        <v>0</v>
      </c>
      <c r="E5567" s="12">
        <v>0</v>
      </c>
      <c r="F5567" s="14">
        <v>0</v>
      </c>
      <c r="G5567" s="13">
        <v>2594992.9611000004</v>
      </c>
      <c r="H5567" s="14">
        <v>4374582822.4751244</v>
      </c>
      <c r="I5567" s="14" t="e">
        <f>=Round(164122.71780000,0)</f>
        <v>#VALUE!</v>
      </c>
      <c r="J5567" s="14" t="e">
        <f>=Round(0.00000000,0)</f>
        <v>#VALUE!</v>
      </c>
    </row>
    <row r="5568">
      <c r="A5568" s="11" t="s">
        <v>47</v>
      </c>
      <c r="B5568" s="12">
        <v>1691.2871</v>
      </c>
      <c r="C5568" s="12">
        <v>0</v>
      </c>
      <c r="D5568" s="13">
        <v>0</v>
      </c>
      <c r="E5568" s="12">
        <v>0</v>
      </c>
      <c r="F5568" s="14">
        <v>0</v>
      </c>
      <c r="G5568" s="13">
        <v>2594992.9611000004</v>
      </c>
      <c r="H5568" s="14">
        <v>4388878119.6992321</v>
      </c>
      <c r="I5568" s="14" t="e">
        <f>=Round(164795.92820000,0)</f>
        <v>#VALUE!</v>
      </c>
      <c r="J5568" s="14" t="e">
        <f>=Round(0.00000000,0)</f>
        <v>#VALUE!</v>
      </c>
    </row>
    <row r="5569">
      <c r="A5569" s="11" t="s">
        <v>48</v>
      </c>
      <c r="B5569" s="12">
        <v>1681.0981</v>
      </c>
      <c r="C5569" s="12">
        <v>0</v>
      </c>
      <c r="D5569" s="13">
        <v>0</v>
      </c>
      <c r="E5569" s="12">
        <v>0</v>
      </c>
      <c r="F5569" s="14">
        <v>0</v>
      </c>
      <c r="G5569" s="13">
        <v>2594992.9611000004</v>
      </c>
      <c r="H5569" s="14">
        <v>4362437736.4185839</v>
      </c>
      <c r="I5569" s="14" t="e">
        <f>=Round(165334.44970000,0)</f>
        <v>#VALUE!</v>
      </c>
      <c r="J5569" s="14" t="e">
        <f>=Round(0.00000000,0)</f>
        <v>#VALUE!</v>
      </c>
    </row>
    <row r="5570">
      <c r="A5570" s="11" t="s">
        <v>49</v>
      </c>
      <c r="B5570" s="12">
        <v>1681.0981</v>
      </c>
      <c r="C5570" s="12">
        <v>0</v>
      </c>
      <c r="D5570" s="13">
        <v>0</v>
      </c>
      <c r="E5570" s="12">
        <v>0</v>
      </c>
      <c r="F5570" s="14">
        <v>0</v>
      </c>
      <c r="G5570" s="13">
        <v>2594992.9611000004</v>
      </c>
      <c r="H5570" s="14">
        <v>4362437736.4185839</v>
      </c>
      <c r="I5570" s="14" t="e">
        <f>=Round(164338.40790000,0)</f>
        <v>#VALUE!</v>
      </c>
      <c r="J5570" s="14" t="e">
        <f>=Round(0.00000000,0)</f>
        <v>#VALUE!</v>
      </c>
    </row>
    <row r="5571">
      <c r="A5571" s="11" t="s">
        <v>50</v>
      </c>
      <c r="B5571" s="12">
        <v>1681.0981</v>
      </c>
      <c r="C5571" s="12">
        <v>0</v>
      </c>
      <c r="D5571" s="13">
        <v>0</v>
      </c>
      <c r="E5571" s="12">
        <v>0</v>
      </c>
      <c r="F5571" s="14">
        <v>0</v>
      </c>
      <c r="G5571" s="13">
        <v>2594992.9611000004</v>
      </c>
      <c r="H5571" s="14">
        <v>4362437736.4185839</v>
      </c>
      <c r="I5571" s="14" t="e">
        <f>=Round(164338.40790000,0)</f>
        <v>#VALUE!</v>
      </c>
      <c r="J5571" s="14" t="e">
        <f>=Round(0.00000000,0)</f>
        <v>#VALUE!</v>
      </c>
    </row>
    <row r="5572">
      <c r="A5572" s="11" t="s">
        <v>51</v>
      </c>
      <c r="B5572" s="12">
        <v>1671.3084</v>
      </c>
      <c r="C5572" s="12">
        <v>0</v>
      </c>
      <c r="D5572" s="13">
        <v>0</v>
      </c>
      <c r="E5572" s="12">
        <v>0</v>
      </c>
      <c r="F5572" s="14">
        <v>0</v>
      </c>
      <c r="G5572" s="13">
        <v>2594992.9611000004</v>
      </c>
      <c r="H5572" s="14">
        <v>4337033533.8273029</v>
      </c>
      <c r="I5572" s="14" t="e">
        <f>=Round(164338.40790000,0)</f>
        <v>#VALUE!</v>
      </c>
      <c r="J5572" s="14" t="e">
        <f>=Round(0.00000000,0)</f>
        <v>#VALUE!</v>
      </c>
    </row>
    <row r="5573">
      <c r="A5573" s="11" t="s">
        <v>52</v>
      </c>
      <c r="B5573" s="12">
        <v>1666.7814</v>
      </c>
      <c r="C5573" s="12">
        <v>0</v>
      </c>
      <c r="D5573" s="13">
        <v>0</v>
      </c>
      <c r="E5573" s="12">
        <v>0</v>
      </c>
      <c r="F5573" s="14">
        <v>0</v>
      </c>
      <c r="G5573" s="13">
        <v>2594992.9611000004</v>
      </c>
      <c r="H5573" s="14">
        <v>4325286000.6924038</v>
      </c>
      <c r="I5573" s="14" t="e">
        <f>=Round(163381.40020000,0)</f>
        <v>#VALUE!</v>
      </c>
      <c r="J5573" s="14" t="e">
        <f>=Round(0.00000000,0)</f>
        <v>#VALUE!</v>
      </c>
    </row>
    <row r="5574">
      <c r="A5574" s="11" t="s">
        <v>53</v>
      </c>
      <c r="B5574" s="12">
        <v>1647.4448</v>
      </c>
      <c r="C5574" s="12">
        <v>0</v>
      </c>
      <c r="D5574" s="13">
        <v>0</v>
      </c>
      <c r="E5574" s="12">
        <v>0</v>
      </c>
      <c r="F5574" s="14">
        <v>0</v>
      </c>
      <c r="G5574" s="13">
        <v>2594992.9611000004</v>
      </c>
      <c r="H5574" s="14">
        <v>4275107659.800797</v>
      </c>
      <c r="I5574" s="14" t="e">
        <f>=Round(162938.85620000,0)</f>
        <v>#VALUE!</v>
      </c>
      <c r="J5574" s="14" t="e">
        <f>=Round(0.00000000,0)</f>
        <v>#VALUE!</v>
      </c>
    </row>
    <row r="5575">
      <c r="A5575" s="11" t="s">
        <v>54</v>
      </c>
      <c r="B5575" s="12">
        <v>1631.4758</v>
      </c>
      <c r="C5575" s="12">
        <v>0</v>
      </c>
      <c r="D5575" s="13">
        <v>0</v>
      </c>
      <c r="E5575" s="12">
        <v>0</v>
      </c>
      <c r="F5575" s="14">
        <v>0</v>
      </c>
      <c r="G5575" s="13">
        <v>2594992.9611000004</v>
      </c>
      <c r="H5575" s="14">
        <v>4233668217.2049909</v>
      </c>
      <c r="I5575" s="14" t="e">
        <f>=Round(161048.57620000,0)</f>
        <v>#VALUE!</v>
      </c>
      <c r="J5575" s="14" t="e">
        <f>=Round(0.00000000,0)</f>
        <v>#VALUE!</v>
      </c>
    </row>
    <row r="5576">
      <c r="A5576" s="11" t="s">
        <v>55</v>
      </c>
      <c r="B5576" s="12">
        <v>1613.9929</v>
      </c>
      <c r="C5576" s="12">
        <v>0</v>
      </c>
      <c r="D5576" s="13">
        <v>0</v>
      </c>
      <c r="E5576" s="12">
        <v>0</v>
      </c>
      <c r="F5576" s="14">
        <v>0</v>
      </c>
      <c r="G5576" s="13">
        <v>2594992.9611000004</v>
      </c>
      <c r="H5576" s="14">
        <v>4188300214.7653761</v>
      </c>
      <c r="I5576" s="14" t="e">
        <f>=Round(159487.50130000,0)</f>
        <v>#VALUE!</v>
      </c>
      <c r="J5576" s="14" t="e">
        <f>=Round(0.00000000,0)</f>
        <v>#VALUE!</v>
      </c>
    </row>
    <row r="5577" ht="-1">
      <c r="A5577" s="15"/>
      <c r="B5577" s="16" t="s">
        <v>56</v>
      </c>
      <c r="C5577" s="15"/>
      <c r="D5577" s="15"/>
      <c r="E5577" s="15"/>
      <c r="F5577" s="15"/>
      <c r="G5577" s="15"/>
      <c r="H5577" s="15"/>
      <c r="I5577" s="17" t="e">
        <f>=Round(SUM(I5551:I5576),0)</f>
        <v>#VALUE!</v>
      </c>
      <c r="J5577" s="17" t="e">
        <f>=Round(SUM(J5551:J5576),0)</f>
        <v>#VALUE!</v>
      </c>
    </row>
    <row r="5578">
      <c r="A5578" s="1" t="s">
        <v>0</v>
      </c>
      <c r="B5578" s="1"/>
      <c r="C5578" s="1"/>
      <c r="D5578" s="1"/>
    </row>
    <row r="5579">
      <c r="A5579" s="0" t="s">
        <v>1</v>
      </c>
      <c r="C5579" s="0" t="s">
        <v>192</v>
      </c>
      <c r="H5579" s="2" t="s">
        <v>3</v>
      </c>
    </row>
    <row r="5580">
      <c r="A5580" s="0" t="s">
        <v>4</v>
      </c>
      <c r="C5580" s="0" t="s">
        <v>202</v>
      </c>
      <c r="H5580" s="3" t="s">
        <v>6</v>
      </c>
    </row>
    <row r="5581">
      <c r="A5581" s="0" t="s">
        <v>7</v>
      </c>
      <c r="C5581" s="4" t="s">
        <v>194</v>
      </c>
      <c r="H5581" s="2" t="s">
        <v>9</v>
      </c>
    </row>
    <row r="5582">
      <c r="A5582" s="0" t="s">
        <v>10</v>
      </c>
      <c r="C5582" s="4" t="s">
        <v>11</v>
      </c>
      <c r="H5582" s="2" t="s">
        <v>12</v>
      </c>
    </row>
    <row r="5583">
      <c r="A5583" s="0" t="s">
        <v>13</v>
      </c>
      <c r="C5583" s="0" t="s">
        <v>14</v>
      </c>
    </row>
    <row r="5584">
      <c r="A5584" s="0" t="s">
        <v>15</v>
      </c>
      <c r="C5584" s="0" t="s">
        <v>16</v>
      </c>
    </row>
    <row r="5585">
      <c r="A5585" s="0" t="s">
        <v>17</v>
      </c>
      <c r="C5585" s="0" t="s">
        <v>18</v>
      </c>
    </row>
    <row r="5588">
      <c r="A5588" s="5" t="s">
        <v>19</v>
      </c>
      <c r="B5588" s="5" t="s">
        <v>20</v>
      </c>
      <c r="C5588" s="7" t="s">
        <v>21</v>
      </c>
      <c r="D5588" s="9"/>
      <c r="E5588" s="7" t="s">
        <v>22</v>
      </c>
      <c r="F5588" s="9"/>
      <c r="G5588" s="5" t="s">
        <v>23</v>
      </c>
      <c r="H5588" s="5" t="s">
        <v>24</v>
      </c>
      <c r="I5588" s="5" t="s">
        <v>195</v>
      </c>
      <c r="J5588" s="5" t="s">
        <v>26</v>
      </c>
    </row>
    <row r="5589">
      <c r="A5589" s="6"/>
      <c r="B5589" s="6"/>
      <c r="C5589" s="8" t="s">
        <v>27</v>
      </c>
      <c r="D5589" s="8" t="s">
        <v>28</v>
      </c>
      <c r="E5589" s="8" t="s">
        <v>27</v>
      </c>
      <c r="F5589" s="8" t="s">
        <v>28</v>
      </c>
      <c r="G5589" s="6"/>
      <c r="H5589" s="6"/>
      <c r="I5589" s="10" t="s">
        <v>29</v>
      </c>
      <c r="J5589" s="6"/>
    </row>
    <row r="5590">
      <c r="A5590" s="11" t="s">
        <v>30</v>
      </c>
      <c r="B5590" s="12">
        <v>1677.4582</v>
      </c>
      <c r="C5590" s="12">
        <v>0</v>
      </c>
      <c r="D5590" s="13">
        <v>0</v>
      </c>
      <c r="E5590" s="12">
        <v>0</v>
      </c>
      <c r="F5590" s="14">
        <v>0</v>
      </c>
      <c r="G5590" s="13">
        <v>1785542.8594</v>
      </c>
      <c r="H5590" s="14">
        <v>2995173510.9519768</v>
      </c>
      <c r="I5590" s="14" t="e">
        <f>=Round(113416.22460000,0)</f>
        <v>#VALUE!</v>
      </c>
      <c r="J5590" s="14" t="e">
        <f>=Round(0.00000000,0)</f>
        <v>#VALUE!</v>
      </c>
    </row>
    <row r="5591">
      <c r="A5591" s="11" t="s">
        <v>31</v>
      </c>
      <c r="B5591" s="12">
        <v>1685.5728</v>
      </c>
      <c r="C5591" s="12">
        <v>0</v>
      </c>
      <c r="D5591" s="13">
        <v>0</v>
      </c>
      <c r="E5591" s="12">
        <v>0</v>
      </c>
      <c r="F5591" s="14">
        <v>0</v>
      </c>
      <c r="G5591" s="13">
        <v>1785542.8594</v>
      </c>
      <c r="H5591" s="14">
        <v>3009662477.0388641</v>
      </c>
      <c r="I5591" s="14" t="e">
        <f>=Round(112831.87880000,0)</f>
        <v>#VALUE!</v>
      </c>
      <c r="J5591" s="14" t="e">
        <f>=Round(0.00000000,0)</f>
        <v>#VALUE!</v>
      </c>
    </row>
    <row r="5592">
      <c r="A5592" s="11" t="s">
        <v>32</v>
      </c>
      <c r="B5592" s="12">
        <v>1695.5297</v>
      </c>
      <c r="C5592" s="12">
        <v>0</v>
      </c>
      <c r="D5592" s="13">
        <v>0</v>
      </c>
      <c r="E5592" s="12">
        <v>0</v>
      </c>
      <c r="F5592" s="14">
        <v>0</v>
      </c>
      <c r="G5592" s="13">
        <v>1785542.8594</v>
      </c>
      <c r="H5592" s="14">
        <v>3027440948.7356238</v>
      </c>
      <c r="I5592" s="14" t="e">
        <f>=Round(113377.69610000,0)</f>
        <v>#VALUE!</v>
      </c>
      <c r="J5592" s="14" t="e">
        <f>=Round(0.00000000,0)</f>
        <v>#VALUE!</v>
      </c>
    </row>
    <row r="5593">
      <c r="A5593" s="11" t="s">
        <v>33</v>
      </c>
      <c r="B5593" s="12">
        <v>1694.4162</v>
      </c>
      <c r="C5593" s="12">
        <v>0</v>
      </c>
      <c r="D5593" s="13">
        <v>0</v>
      </c>
      <c r="E5593" s="12">
        <v>0</v>
      </c>
      <c r="F5593" s="14">
        <v>0</v>
      </c>
      <c r="G5593" s="13">
        <v>1785542.8594</v>
      </c>
      <c r="H5593" s="14">
        <v>3025452746.761682</v>
      </c>
      <c r="I5593" s="14" t="e">
        <f>=Round(114047.43300000,0)</f>
        <v>#VALUE!</v>
      </c>
      <c r="J5593" s="14" t="e">
        <f>=Round(0.00000000,0)</f>
        <v>#VALUE!</v>
      </c>
    </row>
    <row r="5594">
      <c r="A5594" s="11" t="s">
        <v>34</v>
      </c>
      <c r="B5594" s="12">
        <v>1694.5359</v>
      </c>
      <c r="C5594" s="12">
        <v>0</v>
      </c>
      <c r="D5594" s="13">
        <v>0</v>
      </c>
      <c r="E5594" s="12">
        <v>0</v>
      </c>
      <c r="F5594" s="14">
        <v>0</v>
      </c>
      <c r="G5594" s="13">
        <v>1785542.8594</v>
      </c>
      <c r="H5594" s="14">
        <v>3025666476.2419519</v>
      </c>
      <c r="I5594" s="14" t="e">
        <f>=Round(113972.53500000,0)</f>
        <v>#VALUE!</v>
      </c>
      <c r="J5594" s="14" t="e">
        <f>=Round(0.00000000,0)</f>
        <v>#VALUE!</v>
      </c>
    </row>
    <row r="5595">
      <c r="A5595" s="11" t="s">
        <v>35</v>
      </c>
      <c r="B5595" s="12">
        <v>1694.5359</v>
      </c>
      <c r="C5595" s="12">
        <v>0</v>
      </c>
      <c r="D5595" s="13">
        <v>0</v>
      </c>
      <c r="E5595" s="12">
        <v>0</v>
      </c>
      <c r="F5595" s="14">
        <v>0</v>
      </c>
      <c r="G5595" s="13">
        <v>1785542.8594</v>
      </c>
      <c r="H5595" s="14">
        <v>3025666476.2419519</v>
      </c>
      <c r="I5595" s="14" t="e">
        <f>=Round(113980.58640000,0)</f>
        <v>#VALUE!</v>
      </c>
      <c r="J5595" s="14" t="e">
        <f>=Round(0.00000000,0)</f>
        <v>#VALUE!</v>
      </c>
    </row>
    <row r="5596">
      <c r="A5596" s="11" t="s">
        <v>36</v>
      </c>
      <c r="B5596" s="12">
        <v>1694.5359</v>
      </c>
      <c r="C5596" s="12">
        <v>0</v>
      </c>
      <c r="D5596" s="13">
        <v>0</v>
      </c>
      <c r="E5596" s="12">
        <v>0</v>
      </c>
      <c r="F5596" s="14">
        <v>0</v>
      </c>
      <c r="G5596" s="13">
        <v>1785542.8594</v>
      </c>
      <c r="H5596" s="14">
        <v>3025666476.2419519</v>
      </c>
      <c r="I5596" s="14" t="e">
        <f>=Round(113980.58640000,0)</f>
        <v>#VALUE!</v>
      </c>
      <c r="J5596" s="14" t="e">
        <f>=Round(0.00000000,0)</f>
        <v>#VALUE!</v>
      </c>
    </row>
    <row r="5597">
      <c r="A5597" s="11" t="s">
        <v>37</v>
      </c>
      <c r="B5597" s="12">
        <v>1686.858</v>
      </c>
      <c r="C5597" s="12">
        <v>0</v>
      </c>
      <c r="D5597" s="13">
        <v>0</v>
      </c>
      <c r="E5597" s="12">
        <v>0</v>
      </c>
      <c r="F5597" s="14">
        <v>0</v>
      </c>
      <c r="G5597" s="13">
        <v>1785542.8594</v>
      </c>
      <c r="H5597" s="14">
        <v>3011957256.721765</v>
      </c>
      <c r="I5597" s="14" t="e">
        <f>=Round(113980.58640000,0)</f>
        <v>#VALUE!</v>
      </c>
      <c r="J5597" s="14" t="e">
        <f>=Round(0.00000000,0)</f>
        <v>#VALUE!</v>
      </c>
    </row>
    <row r="5598">
      <c r="A5598" s="11" t="s">
        <v>38</v>
      </c>
      <c r="B5598" s="12">
        <v>1685.4893</v>
      </c>
      <c r="C5598" s="12">
        <v>0</v>
      </c>
      <c r="D5598" s="13">
        <v>0</v>
      </c>
      <c r="E5598" s="12">
        <v>1785542.8594</v>
      </c>
      <c r="F5598" s="14">
        <v>3009513384</v>
      </c>
      <c r="G5598" s="13">
        <v>1785542.8594</v>
      </c>
      <c r="H5598" s="14">
        <v>3009513384.210104</v>
      </c>
      <c r="I5598" s="14" t="e">
        <f>=Round(113464.14320000,0)</f>
        <v>#VALUE!</v>
      </c>
      <c r="J5598" s="14" t="e">
        <f>=Round(0.00000000,0)</f>
        <v>#VALUE!</v>
      </c>
    </row>
    <row r="5599">
      <c r="A5599" s="11" t="s">
        <v>39</v>
      </c>
      <c r="B5599" s="12">
        <v>1677.9056</v>
      </c>
      <c r="C5599" s="12">
        <v>0</v>
      </c>
      <c r="D5599" s="13">
        <v>0</v>
      </c>
      <c r="E5599" s="12">
        <v>0</v>
      </c>
      <c r="F5599" s="14">
        <v>0</v>
      </c>
      <c r="G5599" s="13">
        <v>0</v>
      </c>
      <c r="H5599" s="14">
        <v>0</v>
      </c>
      <c r="I5599" s="14" t="e">
        <f>=Round(113372.07950000,0)</f>
        <v>#VALUE!</v>
      </c>
      <c r="J5599" s="14" t="e">
        <f>=Round(0.00000000,0)</f>
        <v>#VALUE!</v>
      </c>
    </row>
    <row r="5600">
      <c r="A5600" s="11" t="s">
        <v>40</v>
      </c>
      <c r="B5600" s="12">
        <v>1667.6693</v>
      </c>
      <c r="C5600" s="12">
        <v>0</v>
      </c>
      <c r="D5600" s="13">
        <v>0</v>
      </c>
      <c r="E5600" s="12">
        <v>0</v>
      </c>
      <c r="F5600" s="14">
        <v>0</v>
      </c>
      <c r="G5600" s="13">
        <v>0</v>
      </c>
      <c r="H5600" s="14">
        <v>0</v>
      </c>
      <c r="I5600" s="14" t="e">
        <f>=Round(0.00000000,0)</f>
        <v>#VALUE!</v>
      </c>
      <c r="J5600" s="14" t="e">
        <f>=Round(0.00000000,0)</f>
        <v>#VALUE!</v>
      </c>
    </row>
    <row r="5601">
      <c r="A5601" s="11" t="s">
        <v>41</v>
      </c>
      <c r="B5601" s="12">
        <v>1672.9358</v>
      </c>
      <c r="C5601" s="12">
        <v>0</v>
      </c>
      <c r="D5601" s="13">
        <v>0</v>
      </c>
      <c r="E5601" s="12">
        <v>0</v>
      </c>
      <c r="F5601" s="14">
        <v>0</v>
      </c>
      <c r="G5601" s="13">
        <v>0</v>
      </c>
      <c r="H5601" s="14">
        <v>0</v>
      </c>
      <c r="I5601" s="14" t="e">
        <f>=Round(0.00000000,0)</f>
        <v>#VALUE!</v>
      </c>
      <c r="J5601" s="14" t="e">
        <f>=Round(0.00000000,0)</f>
        <v>#VALUE!</v>
      </c>
    </row>
    <row r="5602">
      <c r="A5602" s="11" t="s">
        <v>42</v>
      </c>
      <c r="B5602" s="12">
        <v>1672.9358</v>
      </c>
      <c r="C5602" s="12">
        <v>0</v>
      </c>
      <c r="D5602" s="13">
        <v>0</v>
      </c>
      <c r="E5602" s="12">
        <v>0</v>
      </c>
      <c r="F5602" s="14">
        <v>0</v>
      </c>
      <c r="G5602" s="13">
        <v>0</v>
      </c>
      <c r="H5602" s="14">
        <v>0</v>
      </c>
      <c r="I5602" s="14" t="e">
        <f>=Round(0.00000000,0)</f>
        <v>#VALUE!</v>
      </c>
      <c r="J5602" s="14" t="e">
        <f>=Round(0.00000000,0)</f>
        <v>#VALUE!</v>
      </c>
    </row>
    <row r="5603">
      <c r="A5603" s="11" t="s">
        <v>43</v>
      </c>
      <c r="B5603" s="12">
        <v>1672.9358</v>
      </c>
      <c r="C5603" s="12">
        <v>0</v>
      </c>
      <c r="D5603" s="13">
        <v>0</v>
      </c>
      <c r="E5603" s="12">
        <v>0</v>
      </c>
      <c r="F5603" s="14">
        <v>0</v>
      </c>
      <c r="G5603" s="13">
        <v>0</v>
      </c>
      <c r="H5603" s="14">
        <v>0</v>
      </c>
      <c r="I5603" s="14" t="e">
        <f>=Round(0.00000000,0)</f>
        <v>#VALUE!</v>
      </c>
      <c r="J5603" s="14" t="e">
        <f>=Round(0.00000000,0)</f>
        <v>#VALUE!</v>
      </c>
    </row>
    <row r="5604">
      <c r="A5604" s="11" t="s">
        <v>44</v>
      </c>
      <c r="B5604" s="12">
        <v>1672.7866</v>
      </c>
      <c r="C5604" s="12">
        <v>0</v>
      </c>
      <c r="D5604" s="13">
        <v>0</v>
      </c>
      <c r="E5604" s="12">
        <v>0</v>
      </c>
      <c r="F5604" s="14">
        <v>0</v>
      </c>
      <c r="G5604" s="13">
        <v>0</v>
      </c>
      <c r="H5604" s="14">
        <v>0</v>
      </c>
      <c r="I5604" s="14" t="e">
        <f>=Round(0.00000000,0)</f>
        <v>#VALUE!</v>
      </c>
      <c r="J5604" s="14" t="e">
        <f>=Round(0.00000000,0)</f>
        <v>#VALUE!</v>
      </c>
    </row>
    <row r="5605">
      <c r="A5605" s="11" t="s">
        <v>45</v>
      </c>
      <c r="B5605" s="12">
        <v>1678.8917</v>
      </c>
      <c r="C5605" s="12">
        <v>0</v>
      </c>
      <c r="D5605" s="13">
        <v>0</v>
      </c>
      <c r="E5605" s="12">
        <v>0</v>
      </c>
      <c r="F5605" s="14">
        <v>0</v>
      </c>
      <c r="G5605" s="13">
        <v>0</v>
      </c>
      <c r="H5605" s="14">
        <v>0</v>
      </c>
      <c r="I5605" s="14" t="e">
        <f>=Round(0.00000000,0)</f>
        <v>#VALUE!</v>
      </c>
      <c r="J5605" s="14" t="e">
        <f>=Round(0.00000000,0)</f>
        <v>#VALUE!</v>
      </c>
    </row>
    <row r="5606">
      <c r="A5606" s="11" t="s">
        <v>46</v>
      </c>
      <c r="B5606" s="12">
        <v>1685.7783</v>
      </c>
      <c r="C5606" s="12">
        <v>0</v>
      </c>
      <c r="D5606" s="13">
        <v>0</v>
      </c>
      <c r="E5606" s="12">
        <v>0</v>
      </c>
      <c r="F5606" s="14">
        <v>0</v>
      </c>
      <c r="G5606" s="13">
        <v>0</v>
      </c>
      <c r="H5606" s="14">
        <v>0</v>
      </c>
      <c r="I5606" s="14" t="e">
        <f>=Round(0.00000000,0)</f>
        <v>#VALUE!</v>
      </c>
      <c r="J5606" s="14" t="e">
        <f>=Round(0.00000000,0)</f>
        <v>#VALUE!</v>
      </c>
    </row>
    <row r="5607">
      <c r="A5607" s="11" t="s">
        <v>47</v>
      </c>
      <c r="B5607" s="12">
        <v>1691.2871</v>
      </c>
      <c r="C5607" s="12">
        <v>0</v>
      </c>
      <c r="D5607" s="13">
        <v>0</v>
      </c>
      <c r="E5607" s="12">
        <v>0</v>
      </c>
      <c r="F5607" s="14">
        <v>0</v>
      </c>
      <c r="G5607" s="13">
        <v>0</v>
      </c>
      <c r="H5607" s="14">
        <v>0</v>
      </c>
      <c r="I5607" s="14" t="e">
        <f>=Round(0.00000000,0)</f>
        <v>#VALUE!</v>
      </c>
      <c r="J5607" s="14" t="e">
        <f>=Round(0.00000000,0)</f>
        <v>#VALUE!</v>
      </c>
    </row>
    <row r="5608">
      <c r="A5608" s="11" t="s">
        <v>48</v>
      </c>
      <c r="B5608" s="12">
        <v>1681.0981</v>
      </c>
      <c r="C5608" s="12">
        <v>0</v>
      </c>
      <c r="D5608" s="13">
        <v>0</v>
      </c>
      <c r="E5608" s="12">
        <v>0</v>
      </c>
      <c r="F5608" s="14">
        <v>0</v>
      </c>
      <c r="G5608" s="13">
        <v>0</v>
      </c>
      <c r="H5608" s="14">
        <v>0</v>
      </c>
      <c r="I5608" s="14" t="e">
        <f>=Round(0.00000000,0)</f>
        <v>#VALUE!</v>
      </c>
      <c r="J5608" s="14" t="e">
        <f>=Round(0.00000000,0)</f>
        <v>#VALUE!</v>
      </c>
    </row>
    <row r="5609">
      <c r="A5609" s="11" t="s">
        <v>49</v>
      </c>
      <c r="B5609" s="12">
        <v>1681.0981</v>
      </c>
      <c r="C5609" s="12">
        <v>0</v>
      </c>
      <c r="D5609" s="13">
        <v>0</v>
      </c>
      <c r="E5609" s="12">
        <v>0</v>
      </c>
      <c r="F5609" s="14">
        <v>0</v>
      </c>
      <c r="G5609" s="13">
        <v>0</v>
      </c>
      <c r="H5609" s="14">
        <v>0</v>
      </c>
      <c r="I5609" s="14" t="e">
        <f>=Round(0.00000000,0)</f>
        <v>#VALUE!</v>
      </c>
      <c r="J5609" s="14" t="e">
        <f>=Round(0.00000000,0)</f>
        <v>#VALUE!</v>
      </c>
    </row>
    <row r="5610">
      <c r="A5610" s="11" t="s">
        <v>50</v>
      </c>
      <c r="B5610" s="12">
        <v>1681.0981</v>
      </c>
      <c r="C5610" s="12">
        <v>0</v>
      </c>
      <c r="D5610" s="13">
        <v>0</v>
      </c>
      <c r="E5610" s="12">
        <v>0</v>
      </c>
      <c r="F5610" s="14">
        <v>0</v>
      </c>
      <c r="G5610" s="13">
        <v>0</v>
      </c>
      <c r="H5610" s="14">
        <v>0</v>
      </c>
      <c r="I5610" s="14" t="e">
        <f>=Round(0.00000000,0)</f>
        <v>#VALUE!</v>
      </c>
      <c r="J5610" s="14" t="e">
        <f>=Round(0.00000000,0)</f>
        <v>#VALUE!</v>
      </c>
    </row>
    <row r="5611">
      <c r="A5611" s="11" t="s">
        <v>51</v>
      </c>
      <c r="B5611" s="12">
        <v>1671.3084</v>
      </c>
      <c r="C5611" s="12">
        <v>0</v>
      </c>
      <c r="D5611" s="13">
        <v>0</v>
      </c>
      <c r="E5611" s="12">
        <v>0</v>
      </c>
      <c r="F5611" s="14">
        <v>0</v>
      </c>
      <c r="G5611" s="13">
        <v>0</v>
      </c>
      <c r="H5611" s="14">
        <v>0</v>
      </c>
      <c r="I5611" s="14" t="e">
        <f>=Round(0.00000000,0)</f>
        <v>#VALUE!</v>
      </c>
      <c r="J5611" s="14" t="e">
        <f>=Round(0.00000000,0)</f>
        <v>#VALUE!</v>
      </c>
    </row>
    <row r="5612">
      <c r="A5612" s="11" t="s">
        <v>52</v>
      </c>
      <c r="B5612" s="12">
        <v>1666.7814</v>
      </c>
      <c r="C5612" s="12">
        <v>0</v>
      </c>
      <c r="D5612" s="13">
        <v>0</v>
      </c>
      <c r="E5612" s="12">
        <v>0</v>
      </c>
      <c r="F5612" s="14">
        <v>0</v>
      </c>
      <c r="G5612" s="13">
        <v>0</v>
      </c>
      <c r="H5612" s="14">
        <v>0</v>
      </c>
      <c r="I5612" s="14" t="e">
        <f>=Round(0.00000000,0)</f>
        <v>#VALUE!</v>
      </c>
      <c r="J5612" s="14" t="e">
        <f>=Round(0.00000000,0)</f>
        <v>#VALUE!</v>
      </c>
    </row>
    <row r="5613">
      <c r="A5613" s="11" t="s">
        <v>53</v>
      </c>
      <c r="B5613" s="12">
        <v>1647.4448</v>
      </c>
      <c r="C5613" s="12">
        <v>0</v>
      </c>
      <c r="D5613" s="13">
        <v>0</v>
      </c>
      <c r="E5613" s="12">
        <v>0</v>
      </c>
      <c r="F5613" s="14">
        <v>0</v>
      </c>
      <c r="G5613" s="13">
        <v>0</v>
      </c>
      <c r="H5613" s="14">
        <v>0</v>
      </c>
      <c r="I5613" s="14" t="e">
        <f>=Round(0.00000000,0)</f>
        <v>#VALUE!</v>
      </c>
      <c r="J5613" s="14" t="e">
        <f>=Round(0.00000000,0)</f>
        <v>#VALUE!</v>
      </c>
    </row>
    <row r="5614">
      <c r="A5614" s="11" t="s">
        <v>54</v>
      </c>
      <c r="B5614" s="12">
        <v>1631.4758</v>
      </c>
      <c r="C5614" s="12">
        <v>0</v>
      </c>
      <c r="D5614" s="13">
        <v>0</v>
      </c>
      <c r="E5614" s="12">
        <v>0</v>
      </c>
      <c r="F5614" s="14">
        <v>0</v>
      </c>
      <c r="G5614" s="13">
        <v>0</v>
      </c>
      <c r="H5614" s="14">
        <v>0</v>
      </c>
      <c r="I5614" s="14" t="e">
        <f>=Round(0.00000000,0)</f>
        <v>#VALUE!</v>
      </c>
      <c r="J5614" s="14" t="e">
        <f>=Round(0.00000000,0)</f>
        <v>#VALUE!</v>
      </c>
    </row>
    <row r="5615">
      <c r="A5615" s="11" t="s">
        <v>55</v>
      </c>
      <c r="B5615" s="12">
        <v>1613.9929</v>
      </c>
      <c r="C5615" s="12">
        <v>0</v>
      </c>
      <c r="D5615" s="13">
        <v>0</v>
      </c>
      <c r="E5615" s="12">
        <v>0</v>
      </c>
      <c r="F5615" s="14">
        <v>0</v>
      </c>
      <c r="G5615" s="13">
        <v>0</v>
      </c>
      <c r="H5615" s="14">
        <v>0</v>
      </c>
      <c r="I5615" s="14" t="e">
        <f>=Round(0.00000000,0)</f>
        <v>#VALUE!</v>
      </c>
      <c r="J5615" s="14" t="e">
        <f>=Round(0.00000000,0)</f>
        <v>#VALUE!</v>
      </c>
    </row>
    <row r="5616" ht="-1">
      <c r="A5616" s="15"/>
      <c r="B5616" s="16" t="s">
        <v>56</v>
      </c>
      <c r="C5616" s="15"/>
      <c r="D5616" s="15"/>
      <c r="E5616" s="15"/>
      <c r="F5616" s="15"/>
      <c r="G5616" s="15"/>
      <c r="H5616" s="15"/>
      <c r="I5616" s="17" t="e">
        <f>=Round(SUM(I5590:I5615),0)</f>
        <v>#VALUE!</v>
      </c>
      <c r="J5616" s="17" t="e">
        <f>=Round(SUM(J5590:J5615),0)</f>
        <v>#VALUE!</v>
      </c>
    </row>
    <row r="5617">
      <c r="A5617" s="1" t="s">
        <v>0</v>
      </c>
      <c r="B5617" s="1"/>
      <c r="C5617" s="1"/>
      <c r="D5617" s="1"/>
    </row>
    <row r="5618">
      <c r="A5618" s="0" t="s">
        <v>1</v>
      </c>
      <c r="C5618" s="0" t="s">
        <v>192</v>
      </c>
      <c r="H5618" s="2" t="s">
        <v>3</v>
      </c>
    </row>
    <row r="5619">
      <c r="A5619" s="0" t="s">
        <v>4</v>
      </c>
      <c r="C5619" s="0" t="s">
        <v>127</v>
      </c>
      <c r="H5619" s="3" t="s">
        <v>6</v>
      </c>
    </row>
    <row r="5620">
      <c r="A5620" s="0" t="s">
        <v>7</v>
      </c>
      <c r="C5620" s="4" t="s">
        <v>194</v>
      </c>
      <c r="H5620" s="2" t="s">
        <v>9</v>
      </c>
    </row>
    <row r="5621">
      <c r="A5621" s="0" t="s">
        <v>10</v>
      </c>
      <c r="C5621" s="4" t="s">
        <v>124</v>
      </c>
      <c r="H5621" s="2" t="s">
        <v>12</v>
      </c>
    </row>
    <row r="5622">
      <c r="A5622" s="0" t="s">
        <v>13</v>
      </c>
      <c r="C5622" s="0" t="s">
        <v>14</v>
      </c>
    </row>
    <row r="5623">
      <c r="A5623" s="0" t="s">
        <v>15</v>
      </c>
      <c r="C5623" s="0" t="s">
        <v>16</v>
      </c>
    </row>
    <row r="5624">
      <c r="A5624" s="0" t="s">
        <v>17</v>
      </c>
      <c r="C5624" s="0" t="s">
        <v>18</v>
      </c>
    </row>
    <row r="5627">
      <c r="A5627" s="5" t="s">
        <v>19</v>
      </c>
      <c r="B5627" s="5" t="s">
        <v>20</v>
      </c>
      <c r="C5627" s="7" t="s">
        <v>21</v>
      </c>
      <c r="D5627" s="9"/>
      <c r="E5627" s="7" t="s">
        <v>22</v>
      </c>
      <c r="F5627" s="9"/>
      <c r="G5627" s="5" t="s">
        <v>23</v>
      </c>
      <c r="H5627" s="5" t="s">
        <v>24</v>
      </c>
      <c r="I5627" s="5" t="s">
        <v>195</v>
      </c>
      <c r="J5627" s="5" t="s">
        <v>125</v>
      </c>
    </row>
    <row r="5628">
      <c r="A5628" s="6"/>
      <c r="B5628" s="6"/>
      <c r="C5628" s="8" t="s">
        <v>27</v>
      </c>
      <c r="D5628" s="8" t="s">
        <v>28</v>
      </c>
      <c r="E5628" s="8" t="s">
        <v>27</v>
      </c>
      <c r="F5628" s="8" t="s">
        <v>28</v>
      </c>
      <c r="G5628" s="6"/>
      <c r="H5628" s="6"/>
      <c r="I5628" s="10" t="s">
        <v>29</v>
      </c>
      <c r="J5628" s="6"/>
    </row>
    <row r="5629">
      <c r="A5629" s="11" t="s">
        <v>30</v>
      </c>
      <c r="B5629" s="12">
        <v>1677.4582</v>
      </c>
      <c r="C5629" s="12">
        <v>5186.45</v>
      </c>
      <c r="D5629" s="13">
        <v>8700053</v>
      </c>
      <c r="E5629" s="12">
        <v>1201081.4184</v>
      </c>
      <c r="F5629" s="14">
        <v>2014763874</v>
      </c>
      <c r="G5629" s="13">
        <v>7427987.4987</v>
      </c>
      <c r="H5629" s="14">
        <v>12460138539.191805</v>
      </c>
      <c r="I5629" s="14" t="e">
        <f>=Round(471841.82750000,0)</f>
        <v>#VALUE!</v>
      </c>
      <c r="J5629" s="14" t="e">
        <f>=Round(214473.34350000,0)</f>
        <v>#VALUE!</v>
      </c>
    </row>
    <row r="5630">
      <c r="A5630" s="11" t="s">
        <v>31</v>
      </c>
      <c r="B5630" s="12">
        <v>1685.5728</v>
      </c>
      <c r="C5630" s="12">
        <v>5143.1074</v>
      </c>
      <c r="D5630" s="13">
        <v>8669082</v>
      </c>
      <c r="E5630" s="12">
        <v>3713.1218</v>
      </c>
      <c r="F5630" s="14">
        <v>6258737</v>
      </c>
      <c r="G5630" s="13">
        <v>6232092.5303000007</v>
      </c>
      <c r="H5630" s="14">
        <v>10504645656.156857</v>
      </c>
      <c r="I5630" s="14" t="e">
        <f>=Round(469388.78060000,0)</f>
        <v>#VALUE!</v>
      </c>
      <c r="J5630" s="14" t="e">
        <f>=Round(213358.32330000,0)</f>
        <v>#VALUE!</v>
      </c>
    </row>
    <row r="5631">
      <c r="A5631" s="11" t="s">
        <v>32</v>
      </c>
      <c r="B5631" s="12">
        <v>1695.5297</v>
      </c>
      <c r="C5631" s="12">
        <v>7302.003</v>
      </c>
      <c r="D5631" s="13">
        <v>12380763</v>
      </c>
      <c r="E5631" s="12">
        <v>18434.044</v>
      </c>
      <c r="F5631" s="14">
        <v>31255469</v>
      </c>
      <c r="G5631" s="13">
        <v>6233522.5159</v>
      </c>
      <c r="H5631" s="14">
        <v>10569122561.327171</v>
      </c>
      <c r="I5631" s="14" t="e">
        <f>=Round(395722.95280000,0)</f>
        <v>#VALUE!</v>
      </c>
      <c r="J5631" s="14" t="e">
        <f>=Round(179873.88960000,0)</f>
        <v>#VALUE!</v>
      </c>
    </row>
    <row r="5632">
      <c r="A5632" s="11" t="s">
        <v>33</v>
      </c>
      <c r="B5632" s="12">
        <v>1694.4162</v>
      </c>
      <c r="C5632" s="12">
        <v>1593.4693</v>
      </c>
      <c r="D5632" s="13">
        <v>2700000</v>
      </c>
      <c r="E5632" s="12">
        <v>596.14</v>
      </c>
      <c r="F5632" s="14">
        <v>1010109</v>
      </c>
      <c r="G5632" s="13">
        <v>6222390.4749</v>
      </c>
      <c r="H5632" s="14">
        <v>10543319223.396252</v>
      </c>
      <c r="I5632" s="14" t="e">
        <f>=Round(398151.87730000,0)</f>
        <v>#VALUE!</v>
      </c>
      <c r="J5632" s="14" t="e">
        <f>=Round(180977.94510000,0)</f>
        <v>#VALUE!</v>
      </c>
    </row>
    <row r="5633">
      <c r="A5633" s="11" t="s">
        <v>34</v>
      </c>
      <c r="B5633" s="12">
        <v>1694.5359</v>
      </c>
      <c r="C5633" s="12">
        <v>1740.8896</v>
      </c>
      <c r="D5633" s="13">
        <v>2950000</v>
      </c>
      <c r="E5633" s="12">
        <v>4236.5459</v>
      </c>
      <c r="F5633" s="14">
        <v>7178979</v>
      </c>
      <c r="G5633" s="13">
        <v>6223387.8041999992</v>
      </c>
      <c r="H5633" s="14">
        <v>10545754053.839071</v>
      </c>
      <c r="I5633" s="14" t="e">
        <f>=Round(397179.83380000,0)</f>
        <v>#VALUE!</v>
      </c>
      <c r="J5633" s="14" t="e">
        <f>=Round(180536.10750000,0)</f>
        <v>#VALUE!</v>
      </c>
    </row>
    <row r="5634">
      <c r="A5634" s="11" t="s">
        <v>35</v>
      </c>
      <c r="B5634" s="12">
        <v>1694.5359</v>
      </c>
      <c r="C5634" s="12">
        <v>0</v>
      </c>
      <c r="D5634" s="13">
        <v>0</v>
      </c>
      <c r="E5634" s="12">
        <v>0</v>
      </c>
      <c r="F5634" s="14">
        <v>0</v>
      </c>
      <c r="G5634" s="13">
        <v>6223387.8041999992</v>
      </c>
      <c r="H5634" s="14">
        <v>10545754053.839071</v>
      </c>
      <c r="I5634" s="14" t="e">
        <f>=Round(397271.55680000,0)</f>
        <v>#VALUE!</v>
      </c>
      <c r="J5634" s="14" t="e">
        <f>=Round(180577.79980000,0)</f>
        <v>#VALUE!</v>
      </c>
    </row>
    <row r="5635">
      <c r="A5635" s="11" t="s">
        <v>36</v>
      </c>
      <c r="B5635" s="12">
        <v>1694.5359</v>
      </c>
      <c r="C5635" s="12">
        <v>0</v>
      </c>
      <c r="D5635" s="13">
        <v>0</v>
      </c>
      <c r="E5635" s="12">
        <v>0</v>
      </c>
      <c r="F5635" s="14">
        <v>0</v>
      </c>
      <c r="G5635" s="13">
        <v>6223387.8041999992</v>
      </c>
      <c r="H5635" s="14">
        <v>10545754053.839071</v>
      </c>
      <c r="I5635" s="14" t="e">
        <f>=Round(397271.55680000,0)</f>
        <v>#VALUE!</v>
      </c>
      <c r="J5635" s="14" t="e">
        <f>=Round(180577.79980000,0)</f>
        <v>#VALUE!</v>
      </c>
    </row>
    <row r="5636">
      <c r="A5636" s="11" t="s">
        <v>37</v>
      </c>
      <c r="B5636" s="12">
        <v>1686.858</v>
      </c>
      <c r="C5636" s="12">
        <v>2893.6562</v>
      </c>
      <c r="D5636" s="13">
        <v>4881187</v>
      </c>
      <c r="E5636" s="12">
        <v>19947.5931</v>
      </c>
      <c r="F5636" s="14">
        <v>33648757</v>
      </c>
      <c r="G5636" s="13">
        <v>6220892.1479</v>
      </c>
      <c r="H5636" s="14">
        <v>10493761686.822298</v>
      </c>
      <c r="I5636" s="14" t="e">
        <f>=Round(397271.55680000,0)</f>
        <v>#VALUE!</v>
      </c>
      <c r="J5636" s="14" t="e">
        <f>=Round(180577.79980000,0)</f>
        <v>#VALUE!</v>
      </c>
    </row>
    <row r="5637">
      <c r="A5637" s="11" t="s">
        <v>38</v>
      </c>
      <c r="B5637" s="12">
        <v>1685.4893</v>
      </c>
      <c r="C5637" s="12">
        <v>31433.9659</v>
      </c>
      <c r="D5637" s="13">
        <v>52981613</v>
      </c>
      <c r="E5637" s="12">
        <v>440.4806</v>
      </c>
      <c r="F5637" s="14">
        <v>742425</v>
      </c>
      <c r="G5637" s="13">
        <v>6203838.211</v>
      </c>
      <c r="H5637" s="14">
        <v>10456502923.571642</v>
      </c>
      <c r="I5637" s="14" t="e">
        <f>=Round(395312.94030000,0)</f>
        <v>#VALUE!</v>
      </c>
      <c r="J5637" s="14" t="e">
        <f>=Round(179687.52040000,0)</f>
        <v>#VALUE!</v>
      </c>
    </row>
    <row r="5638">
      <c r="A5638" s="11" t="s">
        <v>39</v>
      </c>
      <c r="B5638" s="12">
        <v>1677.9056</v>
      </c>
      <c r="C5638" s="12">
        <v>298.0823</v>
      </c>
      <c r="D5638" s="13">
        <v>500154</v>
      </c>
      <c r="E5638" s="12">
        <v>992.5157</v>
      </c>
      <c r="F5638" s="14">
        <v>1665348</v>
      </c>
      <c r="G5638" s="13">
        <v>6234831.6963</v>
      </c>
      <c r="H5638" s="14">
        <v>10461459018.279268</v>
      </c>
      <c r="I5638" s="14" t="e">
        <f>=Round(393909.35670000,0)</f>
        <v>#VALUE!</v>
      </c>
      <c r="J5638" s="14" t="e">
        <f>=Round(179049.52850000,0)</f>
        <v>#VALUE!</v>
      </c>
    </row>
    <row r="5639">
      <c r="A5639" s="11" t="s">
        <v>40</v>
      </c>
      <c r="B5639" s="12">
        <v>1667.6693</v>
      </c>
      <c r="C5639" s="12">
        <v>1499.0982</v>
      </c>
      <c r="D5639" s="13">
        <v>2500000</v>
      </c>
      <c r="E5639" s="12">
        <v>79223.1665</v>
      </c>
      <c r="F5639" s="14">
        <v>132118042</v>
      </c>
      <c r="G5639" s="13">
        <v>6234137.2628999995</v>
      </c>
      <c r="H5639" s="14">
        <v>10396479325.32436</v>
      </c>
      <c r="I5639" s="14" t="e">
        <f>=Round(394096.05890000,0)</f>
        <v>#VALUE!</v>
      </c>
      <c r="J5639" s="14" t="e">
        <f>=Round(179134.39310000,0)</f>
        <v>#VALUE!</v>
      </c>
    </row>
    <row r="5640">
      <c r="A5640" s="11" t="s">
        <v>41</v>
      </c>
      <c r="B5640" s="12">
        <v>1672.9358</v>
      </c>
      <c r="C5640" s="12">
        <v>986.2902</v>
      </c>
      <c r="D5640" s="13">
        <v>1650000</v>
      </c>
      <c r="E5640" s="12">
        <v>20921.9533</v>
      </c>
      <c r="F5640" s="14">
        <v>35001085</v>
      </c>
      <c r="G5640" s="13">
        <v>6156413.1945999991</v>
      </c>
      <c r="H5640" s="14">
        <v>10299284032.838709</v>
      </c>
      <c r="I5640" s="14" t="e">
        <f>=Round(391648.19380000,0)</f>
        <v>#VALUE!</v>
      </c>
      <c r="J5640" s="14" t="e">
        <f>=Round(178021.72820000,0)</f>
        <v>#VALUE!</v>
      </c>
    </row>
    <row r="5641">
      <c r="A5641" s="11" t="s">
        <v>42</v>
      </c>
      <c r="B5641" s="12">
        <v>1672.9358</v>
      </c>
      <c r="C5641" s="12">
        <v>0</v>
      </c>
      <c r="D5641" s="13">
        <v>0</v>
      </c>
      <c r="E5641" s="12">
        <v>0</v>
      </c>
      <c r="F5641" s="14">
        <v>0</v>
      </c>
      <c r="G5641" s="13">
        <v>6156413.1945999991</v>
      </c>
      <c r="H5641" s="14">
        <v>10299284032.838709</v>
      </c>
      <c r="I5641" s="14" t="e">
        <f>=Round(387986.72730000,0)</f>
        <v>#VALUE!</v>
      </c>
      <c r="J5641" s="14" t="e">
        <f>=Round(176357.42690000,0)</f>
        <v>#VALUE!</v>
      </c>
    </row>
    <row r="5642">
      <c r="A5642" s="11" t="s">
        <v>43</v>
      </c>
      <c r="B5642" s="12">
        <v>1672.9358</v>
      </c>
      <c r="C5642" s="12">
        <v>0</v>
      </c>
      <c r="D5642" s="13">
        <v>0</v>
      </c>
      <c r="E5642" s="12">
        <v>0</v>
      </c>
      <c r="F5642" s="14">
        <v>0</v>
      </c>
      <c r="G5642" s="13">
        <v>6156413.1945999991</v>
      </c>
      <c r="H5642" s="14">
        <v>10299284032.838709</v>
      </c>
      <c r="I5642" s="14" t="e">
        <f>=Round(387986.72730000,0)</f>
        <v>#VALUE!</v>
      </c>
      <c r="J5642" s="14" t="e">
        <f>=Round(176357.42690000,0)</f>
        <v>#VALUE!</v>
      </c>
    </row>
    <row r="5643">
      <c r="A5643" s="11" t="s">
        <v>44</v>
      </c>
      <c r="B5643" s="12">
        <v>1672.7866</v>
      </c>
      <c r="C5643" s="12">
        <v>7085.5338</v>
      </c>
      <c r="D5643" s="13">
        <v>11852586</v>
      </c>
      <c r="E5643" s="12">
        <v>3649.6652</v>
      </c>
      <c r="F5643" s="14">
        <v>6105111</v>
      </c>
      <c r="G5643" s="13">
        <v>6136477.5315000005</v>
      </c>
      <c r="H5643" s="14">
        <v>10265017385.894278</v>
      </c>
      <c r="I5643" s="14" t="e">
        <f>=Round(387986.72730000,0)</f>
        <v>#VALUE!</v>
      </c>
      <c r="J5643" s="14" t="e">
        <f>=Round(176357.42690000,0)</f>
        <v>#VALUE!</v>
      </c>
    </row>
    <row r="5644">
      <c r="A5644" s="11" t="s">
        <v>45</v>
      </c>
      <c r="B5644" s="12">
        <v>1678.8917</v>
      </c>
      <c r="C5644" s="12">
        <v>12525.9534</v>
      </c>
      <c r="D5644" s="13">
        <v>21029719</v>
      </c>
      <c r="E5644" s="12">
        <v>833.9318</v>
      </c>
      <c r="F5644" s="14">
        <v>1400081</v>
      </c>
      <c r="G5644" s="13">
        <v>6139913.4001</v>
      </c>
      <c r="H5644" s="14">
        <v>10308249646.146668</v>
      </c>
      <c r="I5644" s="14" t="e">
        <f>=Round(386695.86040000,0)</f>
        <v>#VALUE!</v>
      </c>
      <c r="J5644" s="14" t="e">
        <f>=Round(175770.66990000,0)</f>
        <v>#VALUE!</v>
      </c>
    </row>
    <row r="5645">
      <c r="A5645" s="11" t="s">
        <v>46</v>
      </c>
      <c r="B5645" s="12">
        <v>1685.7783</v>
      </c>
      <c r="C5645" s="12">
        <v>237.2792</v>
      </c>
      <c r="D5645" s="13">
        <v>400000</v>
      </c>
      <c r="E5645" s="12">
        <v>638.7458</v>
      </c>
      <c r="F5645" s="14">
        <v>1076784</v>
      </c>
      <c r="G5645" s="13">
        <v>6151605.4217</v>
      </c>
      <c r="H5645" s="14">
        <v>10370242930.064207</v>
      </c>
      <c r="I5645" s="14" t="e">
        <f>=Round(388324.47300000,0)</f>
        <v>#VALUE!</v>
      </c>
      <c r="J5645" s="14" t="e">
        <f>=Round(176510.94760000,0)</f>
        <v>#VALUE!</v>
      </c>
    </row>
    <row r="5646">
      <c r="A5646" s="11" t="s">
        <v>47</v>
      </c>
      <c r="B5646" s="12">
        <v>1691.2871</v>
      </c>
      <c r="C5646" s="12">
        <v>8395.9725</v>
      </c>
      <c r="D5646" s="13">
        <v>14200000</v>
      </c>
      <c r="E5646" s="12">
        <v>3123.0125</v>
      </c>
      <c r="F5646" s="14">
        <v>5281911</v>
      </c>
      <c r="G5646" s="13">
        <v>6151203.9551</v>
      </c>
      <c r="H5646" s="14">
        <v>10403451898.729609</v>
      </c>
      <c r="I5646" s="14" t="e">
        <f>=Round(390659.83640000,0)</f>
        <v>#VALUE!</v>
      </c>
      <c r="J5646" s="14" t="e">
        <f>=Round(177572.47530000,0)</f>
        <v>#VALUE!</v>
      </c>
    </row>
    <row r="5647">
      <c r="A5647" s="11" t="s">
        <v>48</v>
      </c>
      <c r="B5647" s="12">
        <v>1681.0981</v>
      </c>
      <c r="C5647" s="12">
        <v>6394.6298</v>
      </c>
      <c r="D5647" s="13">
        <v>10750000</v>
      </c>
      <c r="E5647" s="12">
        <v>0.0001</v>
      </c>
      <c r="F5647" s="14">
        <v>0</v>
      </c>
      <c r="G5647" s="13">
        <v>6156476.9151</v>
      </c>
      <c r="H5647" s="14">
        <v>10349641644.668472</v>
      </c>
      <c r="I5647" s="14" t="e">
        <f>=Round(391910.85920000,0)</f>
        <v>#VALUE!</v>
      </c>
      <c r="J5647" s="14" t="e">
        <f>=Round(178141.12150000,0)</f>
        <v>#VALUE!</v>
      </c>
    </row>
    <row r="5648">
      <c r="A5648" s="11" t="s">
        <v>49</v>
      </c>
      <c r="B5648" s="12">
        <v>1681.0981</v>
      </c>
      <c r="C5648" s="12">
        <v>0</v>
      </c>
      <c r="D5648" s="13">
        <v>0</v>
      </c>
      <c r="E5648" s="12">
        <v>0</v>
      </c>
      <c r="F5648" s="14">
        <v>0</v>
      </c>
      <c r="G5648" s="13">
        <v>6156476.9151</v>
      </c>
      <c r="H5648" s="14">
        <v>10349641644.668472</v>
      </c>
      <c r="I5648" s="14" t="e">
        <f>=Round(389883.76060000,0)</f>
        <v>#VALUE!</v>
      </c>
      <c r="J5648" s="14" t="e">
        <f>=Round(177219.71400000,0)</f>
        <v>#VALUE!</v>
      </c>
    </row>
    <row r="5649">
      <c r="A5649" s="11" t="s">
        <v>50</v>
      </c>
      <c r="B5649" s="12">
        <v>1681.0981</v>
      </c>
      <c r="C5649" s="12">
        <v>0</v>
      </c>
      <c r="D5649" s="13">
        <v>0</v>
      </c>
      <c r="E5649" s="12">
        <v>0</v>
      </c>
      <c r="F5649" s="14">
        <v>0</v>
      </c>
      <c r="G5649" s="13">
        <v>6156476.9151</v>
      </c>
      <c r="H5649" s="14">
        <v>10349641644.668472</v>
      </c>
      <c r="I5649" s="14" t="e">
        <f>=Round(389883.76060000,0)</f>
        <v>#VALUE!</v>
      </c>
      <c r="J5649" s="14" t="e">
        <f>=Round(177219.71400000,0)</f>
        <v>#VALUE!</v>
      </c>
    </row>
    <row r="5650">
      <c r="A5650" s="11" t="s">
        <v>51</v>
      </c>
      <c r="B5650" s="12">
        <v>1671.3084</v>
      </c>
      <c r="C5650" s="12">
        <v>1292.4497</v>
      </c>
      <c r="D5650" s="13">
        <v>2160082</v>
      </c>
      <c r="E5650" s="12">
        <v>883.6341</v>
      </c>
      <c r="F5650" s="14">
        <v>1476825</v>
      </c>
      <c r="G5650" s="13">
        <v>6162871.5448</v>
      </c>
      <c r="H5650" s="14">
        <v>10300058980.945215</v>
      </c>
      <c r="I5650" s="14" t="e">
        <f>=Round(389883.76060000,0)</f>
        <v>#VALUE!</v>
      </c>
      <c r="J5650" s="14" t="e">
        <f>=Round(177219.71400000,0)</f>
        <v>#VALUE!</v>
      </c>
    </row>
    <row r="5651">
      <c r="A5651" s="11" t="s">
        <v>52</v>
      </c>
      <c r="B5651" s="12">
        <v>1666.7814</v>
      </c>
      <c r="C5651" s="12">
        <v>3749.742</v>
      </c>
      <c r="D5651" s="13">
        <v>6250000</v>
      </c>
      <c r="E5651" s="12">
        <v>4137.2975</v>
      </c>
      <c r="F5651" s="14">
        <v>6895971</v>
      </c>
      <c r="G5651" s="13">
        <v>6163280.3604</v>
      </c>
      <c r="H5651" s="14">
        <v>10272841067.700016</v>
      </c>
      <c r="I5651" s="14" t="e">
        <f>=Round(388015.92050000,0)</f>
        <v>#VALUE!</v>
      </c>
      <c r="J5651" s="14" t="e">
        <f>=Round(176370.69660000,0)</f>
        <v>#VALUE!</v>
      </c>
    </row>
    <row r="5652">
      <c r="A5652" s="11" t="s">
        <v>53</v>
      </c>
      <c r="B5652" s="12">
        <v>1647.4448</v>
      </c>
      <c r="C5652" s="12">
        <v>1098.6711</v>
      </c>
      <c r="D5652" s="13">
        <v>1810000</v>
      </c>
      <c r="E5652" s="12">
        <v>1006.6718</v>
      </c>
      <c r="F5652" s="14">
        <v>1658436</v>
      </c>
      <c r="G5652" s="13">
        <v>6162892.8049</v>
      </c>
      <c r="H5652" s="14">
        <v>10153025704.389919</v>
      </c>
      <c r="I5652" s="14" t="e">
        <f>=Round(386990.58820000,0)</f>
        <v>#VALUE!</v>
      </c>
      <c r="J5652" s="14" t="e">
        <f>=Round(175904.63690000,0)</f>
        <v>#VALUE!</v>
      </c>
    </row>
    <row r="5653">
      <c r="A5653" s="11" t="s">
        <v>54</v>
      </c>
      <c r="B5653" s="12">
        <v>1631.4758</v>
      </c>
      <c r="C5653" s="12">
        <v>2053.3556</v>
      </c>
      <c r="D5653" s="13">
        <v>3350000</v>
      </c>
      <c r="E5653" s="12">
        <v>804609.0504</v>
      </c>
      <c r="F5653" s="14">
        <v>1312700194</v>
      </c>
      <c r="G5653" s="13">
        <v>6162984.8041999992</v>
      </c>
      <c r="H5653" s="14">
        <v>10054760563.820038</v>
      </c>
      <c r="I5653" s="14" t="e">
        <f>=Round(382476.99570000,0)</f>
        <v>#VALUE!</v>
      </c>
      <c r="J5653" s="14" t="e">
        <f>=Round(173853.00600000,0)</f>
        <v>#VALUE!</v>
      </c>
    </row>
    <row r="5654">
      <c r="A5654" s="11" t="s">
        <v>55</v>
      </c>
      <c r="B5654" s="12">
        <v>1613.9929</v>
      </c>
      <c r="C5654" s="12">
        <v>743.4979</v>
      </c>
      <c r="D5654" s="13">
        <v>1200000</v>
      </c>
      <c r="E5654" s="12">
        <v>81906.6059</v>
      </c>
      <c r="F5654" s="14">
        <v>132196680</v>
      </c>
      <c r="G5654" s="13">
        <v>5360429.1094</v>
      </c>
      <c r="H5654" s="14">
        <v>8651694523.5249233</v>
      </c>
      <c r="I5654" s="14" t="e">
        <f>=Round(378775.22670000,0)</f>
        <v>#VALUE!</v>
      </c>
      <c r="J5654" s="14" t="e">
        <f>=Round(172170.38540000,0)</f>
        <v>#VALUE!</v>
      </c>
    </row>
    <row r="5655" ht="-1">
      <c r="A5655" s="15"/>
      <c r="B5655" s="16" t="s">
        <v>56</v>
      </c>
      <c r="C5655" s="15"/>
      <c r="D5655" s="15"/>
      <c r="E5655" s="15"/>
      <c r="F5655" s="15"/>
      <c r="G5655" s="15"/>
      <c r="H5655" s="15"/>
      <c r="I5655" s="17" t="e">
        <f>=Round(SUM(I5629:I5654),0)</f>
        <v>#VALUE!</v>
      </c>
      <c r="J5655" s="17" t="e">
        <f>=Round(SUM(J5629:J5654),0)</f>
        <v>#VALUE!</v>
      </c>
    </row>
    <row r="5656">
      <c r="A5656" s="1" t="s">
        <v>0</v>
      </c>
      <c r="B5656" s="1"/>
      <c r="C5656" s="1"/>
      <c r="D5656" s="1"/>
    </row>
    <row r="5657">
      <c r="A5657" s="0" t="s">
        <v>1</v>
      </c>
      <c r="C5657" s="0" t="s">
        <v>203</v>
      </c>
      <c r="H5657" s="2" t="s">
        <v>3</v>
      </c>
    </row>
    <row r="5658">
      <c r="A5658" s="0" t="s">
        <v>4</v>
      </c>
      <c r="C5658" s="0" t="s">
        <v>204</v>
      </c>
      <c r="H5658" s="3" t="s">
        <v>6</v>
      </c>
    </row>
    <row r="5659">
      <c r="A5659" s="0" t="s">
        <v>7</v>
      </c>
      <c r="C5659" s="4" t="s">
        <v>205</v>
      </c>
      <c r="H5659" s="2" t="s">
        <v>9</v>
      </c>
    </row>
    <row r="5660">
      <c r="A5660" s="0" t="s">
        <v>10</v>
      </c>
      <c r="C5660" s="4" t="s">
        <v>11</v>
      </c>
      <c r="H5660" s="2" t="s">
        <v>12</v>
      </c>
    </row>
    <row r="5661">
      <c r="A5661" s="0" t="s">
        <v>13</v>
      </c>
      <c r="C5661" s="0" t="s">
        <v>14</v>
      </c>
    </row>
    <row r="5662">
      <c r="A5662" s="0" t="s">
        <v>15</v>
      </c>
      <c r="C5662" s="0" t="s">
        <v>16</v>
      </c>
    </row>
    <row r="5663">
      <c r="A5663" s="0" t="s">
        <v>17</v>
      </c>
      <c r="C5663" s="0" t="s">
        <v>18</v>
      </c>
    </row>
    <row r="5666">
      <c r="A5666" s="5" t="s">
        <v>19</v>
      </c>
      <c r="B5666" s="5" t="s">
        <v>20</v>
      </c>
      <c r="C5666" s="7" t="s">
        <v>21</v>
      </c>
      <c r="D5666" s="9"/>
      <c r="E5666" s="7" t="s">
        <v>22</v>
      </c>
      <c r="F5666" s="9"/>
      <c r="G5666" s="5" t="s">
        <v>23</v>
      </c>
      <c r="H5666" s="5" t="s">
        <v>24</v>
      </c>
      <c r="I5666" s="5" t="s">
        <v>206</v>
      </c>
      <c r="J5666" s="5" t="s">
        <v>26</v>
      </c>
    </row>
    <row r="5667">
      <c r="A5667" s="6"/>
      <c r="B5667" s="6"/>
      <c r="C5667" s="8" t="s">
        <v>27</v>
      </c>
      <c r="D5667" s="8" t="s">
        <v>28</v>
      </c>
      <c r="E5667" s="8" t="s">
        <v>27</v>
      </c>
      <c r="F5667" s="8" t="s">
        <v>28</v>
      </c>
      <c r="G5667" s="6"/>
      <c r="H5667" s="6"/>
      <c r="I5667" s="10" t="s">
        <v>29</v>
      </c>
      <c r="J5667" s="6"/>
    </row>
    <row r="5668">
      <c r="A5668" s="11" t="s">
        <v>30</v>
      </c>
      <c r="B5668" s="12">
        <v>953.7461</v>
      </c>
      <c r="C5668" s="12">
        <v>0</v>
      </c>
      <c r="D5668" s="13">
        <v>0</v>
      </c>
      <c r="E5668" s="12">
        <v>0</v>
      </c>
      <c r="F5668" s="14">
        <v>0</v>
      </c>
      <c r="G5668" s="13">
        <v>103550000</v>
      </c>
      <c r="H5668" s="14">
        <v>98760408655</v>
      </c>
      <c r="I5668" s="14" t="e">
        <f>=Round(1038428.08140000,0)</f>
        <v>#VALUE!</v>
      </c>
      <c r="J5668" s="14" t="e">
        <f>=Round(0.00000000,0)</f>
        <v>#VALUE!</v>
      </c>
    </row>
    <row r="5669">
      <c r="A5669" s="11" t="s">
        <v>31</v>
      </c>
      <c r="B5669" s="12">
        <v>953.8826</v>
      </c>
      <c r="C5669" s="12">
        <v>0</v>
      </c>
      <c r="D5669" s="13">
        <v>0</v>
      </c>
      <c r="E5669" s="12">
        <v>0</v>
      </c>
      <c r="F5669" s="14">
        <v>0</v>
      </c>
      <c r="G5669" s="13">
        <v>103550000</v>
      </c>
      <c r="H5669" s="14">
        <v>98774543230</v>
      </c>
      <c r="I5669" s="14" t="e">
        <f>=Round(1038873.15120000,0)</f>
        <v>#VALUE!</v>
      </c>
      <c r="J5669" s="14" t="e">
        <f>=Round(0.00000000,0)</f>
        <v>#VALUE!</v>
      </c>
    </row>
    <row r="5670">
      <c r="A5670" s="11" t="s">
        <v>32</v>
      </c>
      <c r="B5670" s="12">
        <v>954.0191</v>
      </c>
      <c r="C5670" s="12">
        <v>0</v>
      </c>
      <c r="D5670" s="13">
        <v>0</v>
      </c>
      <c r="E5670" s="12">
        <v>0</v>
      </c>
      <c r="F5670" s="14">
        <v>0</v>
      </c>
      <c r="G5670" s="13">
        <v>103550000</v>
      </c>
      <c r="H5670" s="14">
        <v>98788677805</v>
      </c>
      <c r="I5670" s="14" t="e">
        <f>=Round(1039021.83450000,0)</f>
        <v>#VALUE!</v>
      </c>
      <c r="J5670" s="14" t="e">
        <f>=Round(0.00000000,0)</f>
        <v>#VALUE!</v>
      </c>
    </row>
    <row r="5671">
      <c r="A5671" s="11" t="s">
        <v>33</v>
      </c>
      <c r="B5671" s="12">
        <v>954.1556</v>
      </c>
      <c r="C5671" s="12">
        <v>0</v>
      </c>
      <c r="D5671" s="13">
        <v>0</v>
      </c>
      <c r="E5671" s="12">
        <v>0</v>
      </c>
      <c r="F5671" s="14">
        <v>0</v>
      </c>
      <c r="G5671" s="13">
        <v>103550000</v>
      </c>
      <c r="H5671" s="14">
        <v>98802812380</v>
      </c>
      <c r="I5671" s="14" t="e">
        <f>=Round(1039170.51790000,0)</f>
        <v>#VALUE!</v>
      </c>
      <c r="J5671" s="14" t="e">
        <f>=Round(0.00000000,0)</f>
        <v>#VALUE!</v>
      </c>
    </row>
    <row r="5672">
      <c r="A5672" s="11" t="s">
        <v>34</v>
      </c>
      <c r="B5672" s="12">
        <v>954.292</v>
      </c>
      <c r="C5672" s="12">
        <v>0</v>
      </c>
      <c r="D5672" s="13">
        <v>0</v>
      </c>
      <c r="E5672" s="12">
        <v>0</v>
      </c>
      <c r="F5672" s="14">
        <v>0</v>
      </c>
      <c r="G5672" s="13">
        <v>103550000</v>
      </c>
      <c r="H5672" s="14">
        <v>98816936600</v>
      </c>
      <c r="I5672" s="14" t="e">
        <f>=Round(1039319.20130000,0)</f>
        <v>#VALUE!</v>
      </c>
      <c r="J5672" s="14" t="e">
        <f>=Round(0.00000000,0)</f>
        <v>#VALUE!</v>
      </c>
    </row>
    <row r="5673">
      <c r="A5673" s="11" t="s">
        <v>35</v>
      </c>
      <c r="B5673" s="12">
        <v>954.292</v>
      </c>
      <c r="C5673" s="12">
        <v>0</v>
      </c>
      <c r="D5673" s="13">
        <v>0</v>
      </c>
      <c r="E5673" s="12">
        <v>0</v>
      </c>
      <c r="F5673" s="14">
        <v>0</v>
      </c>
      <c r="G5673" s="13">
        <v>103550000</v>
      </c>
      <c r="H5673" s="14">
        <v>98816936600</v>
      </c>
      <c r="I5673" s="14" t="e">
        <f>=Round(1039467.77570000,0)</f>
        <v>#VALUE!</v>
      </c>
      <c r="J5673" s="14" t="e">
        <f>=Round(0.00000000,0)</f>
        <v>#VALUE!</v>
      </c>
    </row>
    <row r="5674">
      <c r="A5674" s="11" t="s">
        <v>36</v>
      </c>
      <c r="B5674" s="12">
        <v>954.292</v>
      </c>
      <c r="C5674" s="12">
        <v>0</v>
      </c>
      <c r="D5674" s="13">
        <v>0</v>
      </c>
      <c r="E5674" s="12">
        <v>0</v>
      </c>
      <c r="F5674" s="14">
        <v>0</v>
      </c>
      <c r="G5674" s="13">
        <v>103550000</v>
      </c>
      <c r="H5674" s="14">
        <v>98816936600</v>
      </c>
      <c r="I5674" s="14" t="e">
        <f>=Round(1039467.77570000,0)</f>
        <v>#VALUE!</v>
      </c>
      <c r="J5674" s="14" t="e">
        <f>=Round(0.00000000,0)</f>
        <v>#VALUE!</v>
      </c>
    </row>
    <row r="5675">
      <c r="A5675" s="11" t="s">
        <v>37</v>
      </c>
      <c r="B5675" s="12">
        <v>954.7014</v>
      </c>
      <c r="C5675" s="12">
        <v>0</v>
      </c>
      <c r="D5675" s="13">
        <v>0</v>
      </c>
      <c r="E5675" s="12">
        <v>0</v>
      </c>
      <c r="F5675" s="14">
        <v>0</v>
      </c>
      <c r="G5675" s="13">
        <v>103550000</v>
      </c>
      <c r="H5675" s="14">
        <v>98859329970</v>
      </c>
      <c r="I5675" s="14" t="e">
        <f>=Round(1039467.77570000,0)</f>
        <v>#VALUE!</v>
      </c>
      <c r="J5675" s="14" t="e">
        <f>=Round(0.00000000,0)</f>
        <v>#VALUE!</v>
      </c>
    </row>
    <row r="5676">
      <c r="A5676" s="11" t="s">
        <v>38</v>
      </c>
      <c r="B5676" s="12">
        <v>954.8381</v>
      </c>
      <c r="C5676" s="12">
        <v>0</v>
      </c>
      <c r="D5676" s="13">
        <v>0</v>
      </c>
      <c r="E5676" s="12">
        <v>0</v>
      </c>
      <c r="F5676" s="14">
        <v>0</v>
      </c>
      <c r="G5676" s="13">
        <v>103550000</v>
      </c>
      <c r="H5676" s="14">
        <v>98873485255</v>
      </c>
      <c r="I5676" s="14" t="e">
        <f>=Round(1039913.71690000,0)</f>
        <v>#VALUE!</v>
      </c>
      <c r="J5676" s="14" t="e">
        <f>=Round(0.00000000,0)</f>
        <v>#VALUE!</v>
      </c>
    </row>
    <row r="5677">
      <c r="A5677" s="11" t="s">
        <v>39</v>
      </c>
      <c r="B5677" s="12">
        <v>954.9748</v>
      </c>
      <c r="C5677" s="12">
        <v>0</v>
      </c>
      <c r="D5677" s="13">
        <v>0</v>
      </c>
      <c r="E5677" s="12">
        <v>0</v>
      </c>
      <c r="F5677" s="14">
        <v>0</v>
      </c>
      <c r="G5677" s="13">
        <v>103550000</v>
      </c>
      <c r="H5677" s="14">
        <v>98887640540</v>
      </c>
      <c r="I5677" s="14" t="e">
        <f>=Round(1040062.61810000,0)</f>
        <v>#VALUE!</v>
      </c>
      <c r="J5677" s="14" t="e">
        <f>=Round(0.00000000,0)</f>
        <v>#VALUE!</v>
      </c>
    </row>
    <row r="5678">
      <c r="A5678" s="11" t="s">
        <v>40</v>
      </c>
      <c r="B5678" s="12">
        <v>955.1115</v>
      </c>
      <c r="C5678" s="12">
        <v>0</v>
      </c>
      <c r="D5678" s="13">
        <v>0</v>
      </c>
      <c r="E5678" s="12">
        <v>0</v>
      </c>
      <c r="F5678" s="14">
        <v>0</v>
      </c>
      <c r="G5678" s="13">
        <v>103550000</v>
      </c>
      <c r="H5678" s="14">
        <v>98901795825</v>
      </c>
      <c r="I5678" s="14" t="e">
        <f>=Round(1040211.51930000,0)</f>
        <v>#VALUE!</v>
      </c>
      <c r="J5678" s="14" t="e">
        <f>=Round(0.00000000,0)</f>
        <v>#VALUE!</v>
      </c>
    </row>
    <row r="5679">
      <c r="A5679" s="11" t="s">
        <v>41</v>
      </c>
      <c r="B5679" s="12">
        <v>955.2481</v>
      </c>
      <c r="C5679" s="12">
        <v>0</v>
      </c>
      <c r="D5679" s="13">
        <v>0</v>
      </c>
      <c r="E5679" s="12">
        <v>0</v>
      </c>
      <c r="F5679" s="14">
        <v>0</v>
      </c>
      <c r="G5679" s="13">
        <v>103550000</v>
      </c>
      <c r="H5679" s="14">
        <v>98915940755</v>
      </c>
      <c r="I5679" s="14" t="e">
        <f>=Round(1040360.42060000,0)</f>
        <v>#VALUE!</v>
      </c>
      <c r="J5679" s="14" t="e">
        <f>=Round(0.00000000,0)</f>
        <v>#VALUE!</v>
      </c>
    </row>
    <row r="5680">
      <c r="A5680" s="11" t="s">
        <v>42</v>
      </c>
      <c r="B5680" s="12">
        <v>955.2481</v>
      </c>
      <c r="C5680" s="12">
        <v>0</v>
      </c>
      <c r="D5680" s="13">
        <v>0</v>
      </c>
      <c r="E5680" s="12">
        <v>0</v>
      </c>
      <c r="F5680" s="14">
        <v>0</v>
      </c>
      <c r="G5680" s="13">
        <v>103550000</v>
      </c>
      <c r="H5680" s="14">
        <v>98915940755</v>
      </c>
      <c r="I5680" s="14" t="e">
        <f>=Round(1040509.21290000,0)</f>
        <v>#VALUE!</v>
      </c>
      <c r="J5680" s="14" t="e">
        <f>=Round(0.00000000,0)</f>
        <v>#VALUE!</v>
      </c>
    </row>
    <row r="5681">
      <c r="A5681" s="11" t="s">
        <v>43</v>
      </c>
      <c r="B5681" s="12">
        <v>955.2481</v>
      </c>
      <c r="C5681" s="12">
        <v>0</v>
      </c>
      <c r="D5681" s="13">
        <v>0</v>
      </c>
      <c r="E5681" s="12">
        <v>0</v>
      </c>
      <c r="F5681" s="14">
        <v>0</v>
      </c>
      <c r="G5681" s="13">
        <v>103550000</v>
      </c>
      <c r="H5681" s="14">
        <v>98915940755</v>
      </c>
      <c r="I5681" s="14" t="e">
        <f>=Round(1040509.21290000,0)</f>
        <v>#VALUE!</v>
      </c>
      <c r="J5681" s="14" t="e">
        <f>=Round(0.00000000,0)</f>
        <v>#VALUE!</v>
      </c>
    </row>
    <row r="5682">
      <c r="A5682" s="11" t="s">
        <v>44</v>
      </c>
      <c r="B5682" s="12">
        <v>955.6582</v>
      </c>
      <c r="C5682" s="12">
        <v>0</v>
      </c>
      <c r="D5682" s="13">
        <v>0</v>
      </c>
      <c r="E5682" s="12">
        <v>0</v>
      </c>
      <c r="F5682" s="14">
        <v>0</v>
      </c>
      <c r="G5682" s="13">
        <v>103550000</v>
      </c>
      <c r="H5682" s="14">
        <v>98958406610</v>
      </c>
      <c r="I5682" s="14" t="e">
        <f>=Round(1040509.21290000,0)</f>
        <v>#VALUE!</v>
      </c>
      <c r="J5682" s="14" t="e">
        <f>=Round(0.00000000,0)</f>
        <v>#VALUE!</v>
      </c>
    </row>
    <row r="5683">
      <c r="A5683" s="11" t="s">
        <v>45</v>
      </c>
      <c r="B5683" s="12">
        <v>955.7948</v>
      </c>
      <c r="C5683" s="12">
        <v>0</v>
      </c>
      <c r="D5683" s="13">
        <v>0</v>
      </c>
      <c r="E5683" s="12">
        <v>0</v>
      </c>
      <c r="F5683" s="14">
        <v>0</v>
      </c>
      <c r="G5683" s="13">
        <v>103550000</v>
      </c>
      <c r="H5683" s="14">
        <v>98972551540</v>
      </c>
      <c r="I5683" s="14" t="e">
        <f>=Round(1040955.91650000,0)</f>
        <v>#VALUE!</v>
      </c>
      <c r="J5683" s="14" t="e">
        <f>=Round(0.00000000,0)</f>
        <v>#VALUE!</v>
      </c>
    </row>
    <row r="5684">
      <c r="A5684" s="11" t="s">
        <v>46</v>
      </c>
      <c r="B5684" s="12">
        <v>955.9315</v>
      </c>
      <c r="C5684" s="12">
        <v>0</v>
      </c>
      <c r="D5684" s="13">
        <v>0</v>
      </c>
      <c r="E5684" s="12">
        <v>0</v>
      </c>
      <c r="F5684" s="14">
        <v>0</v>
      </c>
      <c r="G5684" s="13">
        <v>103550000</v>
      </c>
      <c r="H5684" s="14">
        <v>98986706825</v>
      </c>
      <c r="I5684" s="14" t="e">
        <f>=Round(1041104.70880000,0)</f>
        <v>#VALUE!</v>
      </c>
      <c r="J5684" s="14" t="e">
        <f>=Round(0.00000000,0)</f>
        <v>#VALUE!</v>
      </c>
    </row>
    <row r="5685">
      <c r="A5685" s="11" t="s">
        <v>47</v>
      </c>
      <c r="B5685" s="12">
        <v>956.0682</v>
      </c>
      <c r="C5685" s="12">
        <v>0</v>
      </c>
      <c r="D5685" s="13">
        <v>0</v>
      </c>
      <c r="E5685" s="12">
        <v>0</v>
      </c>
      <c r="F5685" s="14">
        <v>0</v>
      </c>
      <c r="G5685" s="13">
        <v>103550000</v>
      </c>
      <c r="H5685" s="14">
        <v>99000862110</v>
      </c>
      <c r="I5685" s="14" t="e">
        <f>=Round(1041253.61000000,0)</f>
        <v>#VALUE!</v>
      </c>
      <c r="J5685" s="14" t="e">
        <f>=Round(0.00000000,0)</f>
        <v>#VALUE!</v>
      </c>
    </row>
    <row r="5686">
      <c r="A5686" s="11" t="s">
        <v>48</v>
      </c>
      <c r="B5686" s="12">
        <v>956.2048</v>
      </c>
      <c r="C5686" s="12">
        <v>0</v>
      </c>
      <c r="D5686" s="13">
        <v>0</v>
      </c>
      <c r="E5686" s="12">
        <v>0</v>
      </c>
      <c r="F5686" s="14">
        <v>0</v>
      </c>
      <c r="G5686" s="13">
        <v>103550000</v>
      </c>
      <c r="H5686" s="14">
        <v>99015007040</v>
      </c>
      <c r="I5686" s="14" t="e">
        <f>=Round(1041402.51130000,0)</f>
        <v>#VALUE!</v>
      </c>
      <c r="J5686" s="14" t="e">
        <f>=Round(0.00000000,0)</f>
        <v>#VALUE!</v>
      </c>
    </row>
    <row r="5687">
      <c r="A5687" s="11" t="s">
        <v>49</v>
      </c>
      <c r="B5687" s="12">
        <v>956.2048</v>
      </c>
      <c r="C5687" s="12">
        <v>0</v>
      </c>
      <c r="D5687" s="13">
        <v>0</v>
      </c>
      <c r="E5687" s="12">
        <v>0</v>
      </c>
      <c r="F5687" s="14">
        <v>0</v>
      </c>
      <c r="G5687" s="13">
        <v>103550000</v>
      </c>
      <c r="H5687" s="14">
        <v>99015007040</v>
      </c>
      <c r="I5687" s="14" t="e">
        <f>=Round(1041551.30360000,0)</f>
        <v>#VALUE!</v>
      </c>
      <c r="J5687" s="14" t="e">
        <f>=Round(0.00000000,0)</f>
        <v>#VALUE!</v>
      </c>
    </row>
    <row r="5688">
      <c r="A5688" s="11" t="s">
        <v>50</v>
      </c>
      <c r="B5688" s="12">
        <v>956.2048</v>
      </c>
      <c r="C5688" s="12">
        <v>0</v>
      </c>
      <c r="D5688" s="13">
        <v>0</v>
      </c>
      <c r="E5688" s="12">
        <v>0</v>
      </c>
      <c r="F5688" s="14">
        <v>0</v>
      </c>
      <c r="G5688" s="13">
        <v>103550000</v>
      </c>
      <c r="H5688" s="14">
        <v>99015007040</v>
      </c>
      <c r="I5688" s="14" t="e">
        <f>=Round(1041551.30360000,0)</f>
        <v>#VALUE!</v>
      </c>
      <c r="J5688" s="14" t="e">
        <f>=Round(0.00000000,0)</f>
        <v>#VALUE!</v>
      </c>
    </row>
    <row r="5689">
      <c r="A5689" s="11" t="s">
        <v>51</v>
      </c>
      <c r="B5689" s="12">
        <v>956.6148</v>
      </c>
      <c r="C5689" s="12">
        <v>0</v>
      </c>
      <c r="D5689" s="13">
        <v>0</v>
      </c>
      <c r="E5689" s="12">
        <v>0</v>
      </c>
      <c r="F5689" s="14">
        <v>0</v>
      </c>
      <c r="G5689" s="13">
        <v>103550000</v>
      </c>
      <c r="H5689" s="14">
        <v>99057462540</v>
      </c>
      <c r="I5689" s="14" t="e">
        <f>=Round(1041551.30360000,0)</f>
        <v>#VALUE!</v>
      </c>
      <c r="J5689" s="14" t="e">
        <f>=Round(0.00000000,0)</f>
        <v>#VALUE!</v>
      </c>
    </row>
    <row r="5690">
      <c r="A5690" s="11" t="s">
        <v>52</v>
      </c>
      <c r="B5690" s="12">
        <v>956.7514</v>
      </c>
      <c r="C5690" s="12">
        <v>0</v>
      </c>
      <c r="D5690" s="13">
        <v>0</v>
      </c>
      <c r="E5690" s="12">
        <v>0</v>
      </c>
      <c r="F5690" s="14">
        <v>0</v>
      </c>
      <c r="G5690" s="13">
        <v>103550000</v>
      </c>
      <c r="H5690" s="14">
        <v>99071607470</v>
      </c>
      <c r="I5690" s="14" t="e">
        <f>=Round(1041997.89830000,0)</f>
        <v>#VALUE!</v>
      </c>
      <c r="J5690" s="14" t="e">
        <f>=Round(0.00000000,0)</f>
        <v>#VALUE!</v>
      </c>
    </row>
    <row r="5691">
      <c r="A5691" s="11" t="s">
        <v>53</v>
      </c>
      <c r="B5691" s="12">
        <v>956.888</v>
      </c>
      <c r="C5691" s="12">
        <v>0</v>
      </c>
      <c r="D5691" s="13">
        <v>0</v>
      </c>
      <c r="E5691" s="12">
        <v>0</v>
      </c>
      <c r="F5691" s="14">
        <v>0</v>
      </c>
      <c r="G5691" s="13">
        <v>103550000</v>
      </c>
      <c r="H5691" s="14">
        <v>99085752400</v>
      </c>
      <c r="I5691" s="14" t="e">
        <f>=Round(1042146.69060000,0)</f>
        <v>#VALUE!</v>
      </c>
      <c r="J5691" s="14" t="e">
        <f>=Round(0.00000000,0)</f>
        <v>#VALUE!</v>
      </c>
    </row>
    <row r="5692">
      <c r="A5692" s="11" t="s">
        <v>54</v>
      </c>
      <c r="B5692" s="12">
        <v>957.0246</v>
      </c>
      <c r="C5692" s="12">
        <v>0</v>
      </c>
      <c r="D5692" s="13">
        <v>0</v>
      </c>
      <c r="E5692" s="12">
        <v>0</v>
      </c>
      <c r="F5692" s="14">
        <v>0</v>
      </c>
      <c r="G5692" s="13">
        <v>103550000</v>
      </c>
      <c r="H5692" s="14">
        <v>99099897330</v>
      </c>
      <c r="I5692" s="14" t="e">
        <f>=Round(1042295.48290000,0)</f>
        <v>#VALUE!</v>
      </c>
      <c r="J5692" s="14" t="e">
        <f>=Round(0.00000000,0)</f>
        <v>#VALUE!</v>
      </c>
    </row>
    <row r="5693">
      <c r="A5693" s="11" t="s">
        <v>55</v>
      </c>
      <c r="B5693" s="12">
        <v>957.1613</v>
      </c>
      <c r="C5693" s="12">
        <v>0</v>
      </c>
      <c r="D5693" s="13">
        <v>0</v>
      </c>
      <c r="E5693" s="12">
        <v>0</v>
      </c>
      <c r="F5693" s="14">
        <v>0</v>
      </c>
      <c r="G5693" s="13">
        <v>103550000</v>
      </c>
      <c r="H5693" s="14">
        <v>99114052615</v>
      </c>
      <c r="I5693" s="14" t="e">
        <f>=Round(1042444.27520000,0)</f>
        <v>#VALUE!</v>
      </c>
      <c r="J5693" s="14" t="e">
        <f>=Round(0.00000000,0)</f>
        <v>#VALUE!</v>
      </c>
    </row>
    <row r="5694" ht="-1">
      <c r="A5694" s="15"/>
      <c r="B5694" s="16" t="s">
        <v>56</v>
      </c>
      <c r="C5694" s="15"/>
      <c r="D5694" s="15"/>
      <c r="E5694" s="15"/>
      <c r="F5694" s="15"/>
      <c r="G5694" s="15"/>
      <c r="H5694" s="15"/>
      <c r="I5694" s="17" t="e">
        <f>=Round(SUM(I5668:I5693),0)</f>
        <v>#VALUE!</v>
      </c>
      <c r="J5694" s="17" t="e">
        <f>=Round(SUM(J5668:J5693),0)</f>
        <v>#VALUE!</v>
      </c>
    </row>
    <row r="5695">
      <c r="A5695" s="1" t="s">
        <v>0</v>
      </c>
      <c r="B5695" s="1"/>
      <c r="C5695" s="1"/>
      <c r="D5695" s="1"/>
    </row>
    <row r="5696">
      <c r="A5696" s="0" t="s">
        <v>1</v>
      </c>
      <c r="C5696" s="0" t="s">
        <v>207</v>
      </c>
      <c r="H5696" s="2" t="s">
        <v>3</v>
      </c>
    </row>
    <row r="5697">
      <c r="A5697" s="0" t="s">
        <v>4</v>
      </c>
      <c r="C5697" s="0" t="s">
        <v>208</v>
      </c>
      <c r="H5697" s="3" t="s">
        <v>6</v>
      </c>
    </row>
    <row r="5698">
      <c r="A5698" s="0" t="s">
        <v>7</v>
      </c>
      <c r="C5698" s="4" t="s">
        <v>8</v>
      </c>
      <c r="H5698" s="2" t="s">
        <v>9</v>
      </c>
    </row>
    <row r="5699">
      <c r="A5699" s="0" t="s">
        <v>10</v>
      </c>
      <c r="C5699" s="4" t="s">
        <v>11</v>
      </c>
      <c r="H5699" s="2" t="s">
        <v>12</v>
      </c>
    </row>
    <row r="5700">
      <c r="A5700" s="0" t="s">
        <v>13</v>
      </c>
      <c r="C5700" s="0" t="s">
        <v>14</v>
      </c>
    </row>
    <row r="5701">
      <c r="A5701" s="0" t="s">
        <v>15</v>
      </c>
      <c r="C5701" s="0" t="s">
        <v>16</v>
      </c>
    </row>
    <row r="5702">
      <c r="A5702" s="0" t="s">
        <v>17</v>
      </c>
      <c r="C5702" s="0" t="s">
        <v>18</v>
      </c>
    </row>
    <row r="5705">
      <c r="A5705" s="5" t="s">
        <v>19</v>
      </c>
      <c r="B5705" s="5" t="s">
        <v>20</v>
      </c>
      <c r="C5705" s="7" t="s">
        <v>21</v>
      </c>
      <c r="D5705" s="9"/>
      <c r="E5705" s="7" t="s">
        <v>22</v>
      </c>
      <c r="F5705" s="9"/>
      <c r="G5705" s="5" t="s">
        <v>23</v>
      </c>
      <c r="H5705" s="5" t="s">
        <v>24</v>
      </c>
      <c r="I5705" s="5" t="s">
        <v>25</v>
      </c>
      <c r="J5705" s="5" t="s">
        <v>26</v>
      </c>
    </row>
    <row r="5706">
      <c r="A5706" s="6"/>
      <c r="B5706" s="6"/>
      <c r="C5706" s="8" t="s">
        <v>27</v>
      </c>
      <c r="D5706" s="8" t="s">
        <v>28</v>
      </c>
      <c r="E5706" s="8" t="s">
        <v>27</v>
      </c>
      <c r="F5706" s="8" t="s">
        <v>28</v>
      </c>
      <c r="G5706" s="6"/>
      <c r="H5706" s="6"/>
      <c r="I5706" s="10" t="s">
        <v>29</v>
      </c>
      <c r="J5706" s="6"/>
    </row>
    <row r="5707">
      <c r="A5707" s="11" t="s">
        <v>30</v>
      </c>
      <c r="B5707" s="12">
        <v>1237.2413</v>
      </c>
      <c r="C5707" s="12">
        <v>0</v>
      </c>
      <c r="D5707" s="13">
        <v>0</v>
      </c>
      <c r="E5707" s="12">
        <v>0</v>
      </c>
      <c r="F5707" s="14">
        <v>0</v>
      </c>
      <c r="G5707" s="13">
        <v>550989015.1161</v>
      </c>
      <c r="H5707" s="14">
        <v>681706365347.96326</v>
      </c>
      <c r="I5707" s="14" t="e">
        <f>=Round(15416606.26010000,0)</f>
        <v>#VALUE!</v>
      </c>
      <c r="J5707" s="14" t="e">
        <f>=Round(0.00000000,0)</f>
        <v>#VALUE!</v>
      </c>
    </row>
    <row r="5708">
      <c r="A5708" s="11" t="s">
        <v>31</v>
      </c>
      <c r="B5708" s="12">
        <v>1242.1014</v>
      </c>
      <c r="C5708" s="12">
        <v>0</v>
      </c>
      <c r="D5708" s="13">
        <v>0</v>
      </c>
      <c r="E5708" s="12">
        <v>0</v>
      </c>
      <c r="F5708" s="14">
        <v>0</v>
      </c>
      <c r="G5708" s="13">
        <v>550989015.1161</v>
      </c>
      <c r="H5708" s="14">
        <v>684384227060.329</v>
      </c>
      <c r="I5708" s="14" t="e">
        <f>=Round(15408431.54550000,0)</f>
        <v>#VALUE!</v>
      </c>
      <c r="J5708" s="14" t="e">
        <f>=Round(0.00000000,0)</f>
        <v>#VALUE!</v>
      </c>
    </row>
    <row r="5709">
      <c r="A5709" s="11" t="s">
        <v>32</v>
      </c>
      <c r="B5709" s="12">
        <v>1241.3133</v>
      </c>
      <c r="C5709" s="12">
        <v>0</v>
      </c>
      <c r="D5709" s="13">
        <v>0</v>
      </c>
      <c r="E5709" s="12">
        <v>0</v>
      </c>
      <c r="F5709" s="14">
        <v>0</v>
      </c>
      <c r="G5709" s="13">
        <v>550989015.1161</v>
      </c>
      <c r="H5709" s="14">
        <v>683949992617.516</v>
      </c>
      <c r="I5709" s="14" t="e">
        <f>=Round(15468958.55680000,0)</f>
        <v>#VALUE!</v>
      </c>
      <c r="J5709" s="14" t="e">
        <f>=Round(0.00000000,0)</f>
        <v>#VALUE!</v>
      </c>
    </row>
    <row r="5710">
      <c r="A5710" s="11" t="s">
        <v>33</v>
      </c>
      <c r="B5710" s="12">
        <v>1243.92</v>
      </c>
      <c r="C5710" s="12">
        <v>0</v>
      </c>
      <c r="D5710" s="13">
        <v>0</v>
      </c>
      <c r="E5710" s="12">
        <v>0</v>
      </c>
      <c r="F5710" s="14">
        <v>0</v>
      </c>
      <c r="G5710" s="13">
        <v>550989015.1161</v>
      </c>
      <c r="H5710" s="14">
        <v>685386255683.21912</v>
      </c>
      <c r="I5710" s="14" t="e">
        <f>=Round(15459143.66880000,0)</f>
        <v>#VALUE!</v>
      </c>
      <c r="J5710" s="14" t="e">
        <f>=Round(0.00000000,0)</f>
        <v>#VALUE!</v>
      </c>
    </row>
    <row r="5711">
      <c r="A5711" s="11" t="s">
        <v>34</v>
      </c>
      <c r="B5711" s="12">
        <v>1244.4063</v>
      </c>
      <c r="C5711" s="12">
        <v>0</v>
      </c>
      <c r="D5711" s="13">
        <v>0</v>
      </c>
      <c r="E5711" s="12">
        <v>0</v>
      </c>
      <c r="F5711" s="14">
        <v>0</v>
      </c>
      <c r="G5711" s="13">
        <v>550989015.1161</v>
      </c>
      <c r="H5711" s="14">
        <v>685654201641.27</v>
      </c>
      <c r="I5711" s="14" t="e">
        <f>=Round(15491607.14900000,0)</f>
        <v>#VALUE!</v>
      </c>
      <c r="J5711" s="14" t="e">
        <f>=Round(0.00000000,0)</f>
        <v>#VALUE!</v>
      </c>
    </row>
    <row r="5712">
      <c r="A5712" s="11" t="s">
        <v>35</v>
      </c>
      <c r="B5712" s="12">
        <v>1244.4063</v>
      </c>
      <c r="C5712" s="12">
        <v>0</v>
      </c>
      <c r="D5712" s="13">
        <v>0</v>
      </c>
      <c r="E5712" s="12">
        <v>0</v>
      </c>
      <c r="F5712" s="14">
        <v>0</v>
      </c>
      <c r="G5712" s="13">
        <v>550989015.1161</v>
      </c>
      <c r="H5712" s="14">
        <v>685654201641.27</v>
      </c>
      <c r="I5712" s="14" t="e">
        <f>=Round(15497663.46180000,0)</f>
        <v>#VALUE!</v>
      </c>
      <c r="J5712" s="14" t="e">
        <f>=Round(0.00000000,0)</f>
        <v>#VALUE!</v>
      </c>
    </row>
    <row r="5713">
      <c r="A5713" s="11" t="s">
        <v>36</v>
      </c>
      <c r="B5713" s="12">
        <v>1244.4063</v>
      </c>
      <c r="C5713" s="12">
        <v>0</v>
      </c>
      <c r="D5713" s="13">
        <v>0</v>
      </c>
      <c r="E5713" s="12">
        <v>0</v>
      </c>
      <c r="F5713" s="14">
        <v>0</v>
      </c>
      <c r="G5713" s="13">
        <v>550989015.1161</v>
      </c>
      <c r="H5713" s="14">
        <v>685654201641.27</v>
      </c>
      <c r="I5713" s="14" t="e">
        <f>=Round(15497663.46180000,0)</f>
        <v>#VALUE!</v>
      </c>
      <c r="J5713" s="14" t="e">
        <f>=Round(0.00000000,0)</f>
        <v>#VALUE!</v>
      </c>
    </row>
    <row r="5714">
      <c r="A5714" s="11" t="s">
        <v>37</v>
      </c>
      <c r="B5714" s="12">
        <v>1244.2054</v>
      </c>
      <c r="C5714" s="12">
        <v>0</v>
      </c>
      <c r="D5714" s="13">
        <v>0</v>
      </c>
      <c r="E5714" s="12">
        <v>0</v>
      </c>
      <c r="F5714" s="14">
        <v>0</v>
      </c>
      <c r="G5714" s="13">
        <v>550989015.1161</v>
      </c>
      <c r="H5714" s="14">
        <v>685543507948.1333</v>
      </c>
      <c r="I5714" s="14" t="e">
        <f>=Round(15497663.46180000,0)</f>
        <v>#VALUE!</v>
      </c>
      <c r="J5714" s="14" t="e">
        <f>=Round(0.00000000,0)</f>
        <v>#VALUE!</v>
      </c>
    </row>
    <row r="5715">
      <c r="A5715" s="11" t="s">
        <v>38</v>
      </c>
      <c r="B5715" s="12">
        <v>1244.3409</v>
      </c>
      <c r="C5715" s="12">
        <v>0</v>
      </c>
      <c r="D5715" s="13">
        <v>0</v>
      </c>
      <c r="E5715" s="12">
        <v>0</v>
      </c>
      <c r="F5715" s="14">
        <v>0</v>
      </c>
      <c r="G5715" s="13">
        <v>550989015.1161</v>
      </c>
      <c r="H5715" s="14">
        <v>685618166959.68152</v>
      </c>
      <c r="I5715" s="14" t="e">
        <f>=Round(15495161.48100000,0)</f>
        <v>#VALUE!</v>
      </c>
      <c r="J5715" s="14" t="e">
        <f>=Round(0.00000000,0)</f>
        <v>#VALUE!</v>
      </c>
    </row>
    <row r="5716">
      <c r="A5716" s="11" t="s">
        <v>39</v>
      </c>
      <c r="B5716" s="12">
        <v>1246.2792</v>
      </c>
      <c r="C5716" s="12">
        <v>0</v>
      </c>
      <c r="D5716" s="13">
        <v>0</v>
      </c>
      <c r="E5716" s="12">
        <v>0</v>
      </c>
      <c r="F5716" s="14">
        <v>0</v>
      </c>
      <c r="G5716" s="13">
        <v>550989015.1161</v>
      </c>
      <c r="H5716" s="14">
        <v>686686148967.681</v>
      </c>
      <c r="I5716" s="14" t="e">
        <f>=Round(15496848.97920000,0)</f>
        <v>#VALUE!</v>
      </c>
      <c r="J5716" s="14" t="e">
        <f>=Round(0.00000000,0)</f>
        <v>#VALUE!</v>
      </c>
    </row>
    <row r="5717">
      <c r="A5717" s="11" t="s">
        <v>40</v>
      </c>
      <c r="B5717" s="12">
        <v>1246.0803</v>
      </c>
      <c r="C5717" s="12">
        <v>0</v>
      </c>
      <c r="D5717" s="13">
        <v>0</v>
      </c>
      <c r="E5717" s="12">
        <v>0</v>
      </c>
      <c r="F5717" s="14">
        <v>0</v>
      </c>
      <c r="G5717" s="13">
        <v>550989015.1161</v>
      </c>
      <c r="H5717" s="14">
        <v>686576557252.57446</v>
      </c>
      <c r="I5717" s="14" t="e">
        <f>=Round(15520988.29860000,0)</f>
        <v>#VALUE!</v>
      </c>
      <c r="J5717" s="14" t="e">
        <f>=Round(0.00000000,0)</f>
        <v>#VALUE!</v>
      </c>
    </row>
    <row r="5718">
      <c r="A5718" s="11" t="s">
        <v>41</v>
      </c>
      <c r="B5718" s="12">
        <v>1245.9987</v>
      </c>
      <c r="C5718" s="12">
        <v>0</v>
      </c>
      <c r="D5718" s="13">
        <v>0</v>
      </c>
      <c r="E5718" s="12">
        <v>0</v>
      </c>
      <c r="F5718" s="14">
        <v>0</v>
      </c>
      <c r="G5718" s="13">
        <v>550989015.1161</v>
      </c>
      <c r="H5718" s="14">
        <v>686531596548.94092</v>
      </c>
      <c r="I5718" s="14" t="e">
        <f>=Round(15518511.22560000,0)</f>
        <v>#VALUE!</v>
      </c>
      <c r="J5718" s="14" t="e">
        <f>=Round(0.00000000,0)</f>
        <v>#VALUE!</v>
      </c>
    </row>
    <row r="5719">
      <c r="A5719" s="11" t="s">
        <v>42</v>
      </c>
      <c r="B5719" s="12">
        <v>1245.9987</v>
      </c>
      <c r="C5719" s="12">
        <v>0</v>
      </c>
      <c r="D5719" s="13">
        <v>0</v>
      </c>
      <c r="E5719" s="12">
        <v>0</v>
      </c>
      <c r="F5719" s="14">
        <v>0</v>
      </c>
      <c r="G5719" s="13">
        <v>550989015.1161</v>
      </c>
      <c r="H5719" s="14">
        <v>686531596548.94092</v>
      </c>
      <c r="I5719" s="14" t="e">
        <f>=Round(15517494.99050000,0)</f>
        <v>#VALUE!</v>
      </c>
      <c r="J5719" s="14" t="e">
        <f>=Round(0.00000000,0)</f>
        <v>#VALUE!</v>
      </c>
    </row>
    <row r="5720">
      <c r="A5720" s="11" t="s">
        <v>43</v>
      </c>
      <c r="B5720" s="12">
        <v>1245.9987</v>
      </c>
      <c r="C5720" s="12">
        <v>0</v>
      </c>
      <c r="D5720" s="13">
        <v>0</v>
      </c>
      <c r="E5720" s="12">
        <v>0</v>
      </c>
      <c r="F5720" s="14">
        <v>0</v>
      </c>
      <c r="G5720" s="13">
        <v>550989015.1161</v>
      </c>
      <c r="H5720" s="14">
        <v>686531596548.94092</v>
      </c>
      <c r="I5720" s="14" t="e">
        <f>=Round(15517494.99050000,0)</f>
        <v>#VALUE!</v>
      </c>
      <c r="J5720" s="14" t="e">
        <f>=Round(0.00000000,0)</f>
        <v>#VALUE!</v>
      </c>
    </row>
    <row r="5721">
      <c r="A5721" s="11" t="s">
        <v>44</v>
      </c>
      <c r="B5721" s="12">
        <v>1247.5063</v>
      </c>
      <c r="C5721" s="12">
        <v>0</v>
      </c>
      <c r="D5721" s="13">
        <v>0</v>
      </c>
      <c r="E5721" s="12">
        <v>0</v>
      </c>
      <c r="F5721" s="14">
        <v>0</v>
      </c>
      <c r="G5721" s="13">
        <v>550989015.1161</v>
      </c>
      <c r="H5721" s="14">
        <v>687362267588.12988</v>
      </c>
      <c r="I5721" s="14" t="e">
        <f>=Round(15517494.99050000,0)</f>
        <v>#VALUE!</v>
      </c>
      <c r="J5721" s="14" t="e">
        <f>=Round(0.00000000,0)</f>
        <v>#VALUE!</v>
      </c>
    </row>
    <row r="5722">
      <c r="A5722" s="11" t="s">
        <v>45</v>
      </c>
      <c r="B5722" s="12">
        <v>1249.0791</v>
      </c>
      <c r="C5722" s="12">
        <v>0</v>
      </c>
      <c r="D5722" s="13">
        <v>0</v>
      </c>
      <c r="E5722" s="12">
        <v>0</v>
      </c>
      <c r="F5722" s="14">
        <v>0</v>
      </c>
      <c r="G5722" s="13">
        <v>550989015.1161</v>
      </c>
      <c r="H5722" s="14">
        <v>688228863111.10461</v>
      </c>
      <c r="I5722" s="14" t="e">
        <f>=Round(15536270.43180000,0)</f>
        <v>#VALUE!</v>
      </c>
      <c r="J5722" s="14" t="e">
        <f>=Round(0.00000000,0)</f>
        <v>#VALUE!</v>
      </c>
    </row>
    <row r="5723">
      <c r="A5723" s="11" t="s">
        <v>46</v>
      </c>
      <c r="B5723" s="12">
        <v>1248.8196</v>
      </c>
      <c r="C5723" s="12">
        <v>0</v>
      </c>
      <c r="D5723" s="13">
        <v>0</v>
      </c>
      <c r="E5723" s="12">
        <v>0</v>
      </c>
      <c r="F5723" s="14">
        <v>0</v>
      </c>
      <c r="G5723" s="13">
        <v>550989015.1161</v>
      </c>
      <c r="H5723" s="14">
        <v>688085881461.68188</v>
      </c>
      <c r="I5723" s="14" t="e">
        <f>=Round(15555857.86480000,0)</f>
        <v>#VALUE!</v>
      </c>
      <c r="J5723" s="14" t="e">
        <f>=Round(0.00000000,0)</f>
        <v>#VALUE!</v>
      </c>
    </row>
    <row r="5724">
      <c r="A5724" s="11" t="s">
        <v>47</v>
      </c>
      <c r="B5724" s="12">
        <v>1249.4713</v>
      </c>
      <c r="C5724" s="12">
        <v>0</v>
      </c>
      <c r="D5724" s="13">
        <v>0</v>
      </c>
      <c r="E5724" s="12">
        <v>0</v>
      </c>
      <c r="F5724" s="14">
        <v>0</v>
      </c>
      <c r="G5724" s="13">
        <v>550989015.1161</v>
      </c>
      <c r="H5724" s="14">
        <v>688444961002.83313</v>
      </c>
      <c r="I5724" s="14" t="e">
        <f>=Round(15552626.08780000,0)</f>
        <v>#VALUE!</v>
      </c>
      <c r="J5724" s="14" t="e">
        <f>=Round(0.00000000,0)</f>
        <v>#VALUE!</v>
      </c>
    </row>
    <row r="5725">
      <c r="A5725" s="11" t="s">
        <v>48</v>
      </c>
      <c r="B5725" s="12">
        <v>1249.6052</v>
      </c>
      <c r="C5725" s="12">
        <v>0</v>
      </c>
      <c r="D5725" s="13">
        <v>0</v>
      </c>
      <c r="E5725" s="12">
        <v>0</v>
      </c>
      <c r="F5725" s="14">
        <v>0</v>
      </c>
      <c r="G5725" s="13">
        <v>550989015.1161</v>
      </c>
      <c r="H5725" s="14">
        <v>688518738431.95715</v>
      </c>
      <c r="I5725" s="14" t="e">
        <f>=Round(15560742.26920000,0)</f>
        <v>#VALUE!</v>
      </c>
      <c r="J5725" s="14" t="e">
        <f>=Round(0.00000000,0)</f>
        <v>#VALUE!</v>
      </c>
    </row>
    <row r="5726">
      <c r="A5726" s="11" t="s">
        <v>49</v>
      </c>
      <c r="B5726" s="12">
        <v>1249.6052</v>
      </c>
      <c r="C5726" s="12">
        <v>0</v>
      </c>
      <c r="D5726" s="13">
        <v>0</v>
      </c>
      <c r="E5726" s="12">
        <v>0</v>
      </c>
      <c r="F5726" s="14">
        <v>0</v>
      </c>
      <c r="G5726" s="13">
        <v>550989015.1161</v>
      </c>
      <c r="H5726" s="14">
        <v>688518738431.95715</v>
      </c>
      <c r="I5726" s="14" t="e">
        <f>=Round(15562409.84130000,0)</f>
        <v>#VALUE!</v>
      </c>
      <c r="J5726" s="14" t="e">
        <f>=Round(0.00000000,0)</f>
        <v>#VALUE!</v>
      </c>
    </row>
    <row r="5727">
      <c r="A5727" s="11" t="s">
        <v>50</v>
      </c>
      <c r="B5727" s="12">
        <v>1249.6052</v>
      </c>
      <c r="C5727" s="12">
        <v>0</v>
      </c>
      <c r="D5727" s="13">
        <v>0</v>
      </c>
      <c r="E5727" s="12">
        <v>0</v>
      </c>
      <c r="F5727" s="14">
        <v>0</v>
      </c>
      <c r="G5727" s="13">
        <v>550989015.1161</v>
      </c>
      <c r="H5727" s="14">
        <v>688518738431.95715</v>
      </c>
      <c r="I5727" s="14" t="e">
        <f>=Round(15562409.84130000,0)</f>
        <v>#VALUE!</v>
      </c>
      <c r="J5727" s="14" t="e">
        <f>=Round(0.00000000,0)</f>
        <v>#VALUE!</v>
      </c>
    </row>
    <row r="5728">
      <c r="A5728" s="11" t="s">
        <v>51</v>
      </c>
      <c r="B5728" s="12">
        <v>1248.8298</v>
      </c>
      <c r="C5728" s="12">
        <v>0</v>
      </c>
      <c r="D5728" s="13">
        <v>0</v>
      </c>
      <c r="E5728" s="12">
        <v>0</v>
      </c>
      <c r="F5728" s="14">
        <v>0</v>
      </c>
      <c r="G5728" s="13">
        <v>550989015.1161</v>
      </c>
      <c r="H5728" s="14">
        <v>688091501549.63611</v>
      </c>
      <c r="I5728" s="14" t="e">
        <f>=Round(15562409.84130000,0)</f>
        <v>#VALUE!</v>
      </c>
      <c r="J5728" s="14" t="e">
        <f>=Round(0.00000000,0)</f>
        <v>#VALUE!</v>
      </c>
    </row>
    <row r="5729">
      <c r="A5729" s="11" t="s">
        <v>52</v>
      </c>
      <c r="B5729" s="12">
        <v>1249.0228</v>
      </c>
      <c r="C5729" s="12">
        <v>0</v>
      </c>
      <c r="D5729" s="13">
        <v>0</v>
      </c>
      <c r="E5729" s="12">
        <v>0</v>
      </c>
      <c r="F5729" s="14">
        <v>0</v>
      </c>
      <c r="G5729" s="13">
        <v>550989015.1161</v>
      </c>
      <c r="H5729" s="14">
        <v>688197842429.55359</v>
      </c>
      <c r="I5729" s="14" t="e">
        <f>=Round(15552753.11720000,0)</f>
        <v>#VALUE!</v>
      </c>
      <c r="J5729" s="14" t="e">
        <f>=Round(0.00000000,0)</f>
        <v>#VALUE!</v>
      </c>
    </row>
    <row r="5730">
      <c r="A5730" s="11" t="s">
        <v>53</v>
      </c>
      <c r="B5730" s="12">
        <v>1250.0496</v>
      </c>
      <c r="C5730" s="12">
        <v>0</v>
      </c>
      <c r="D5730" s="13">
        <v>0</v>
      </c>
      <c r="E5730" s="12">
        <v>165000000</v>
      </c>
      <c r="F5730" s="14">
        <v>206258184000</v>
      </c>
      <c r="G5730" s="13">
        <v>550989015.1161</v>
      </c>
      <c r="H5730" s="14">
        <v>688763597950.27478</v>
      </c>
      <c r="I5730" s="14" t="e">
        <f>=Round(15555156.71240000,0)</f>
        <v>#VALUE!</v>
      </c>
      <c r="J5730" s="14" t="e">
        <f>=Round(0.00000000,0)</f>
        <v>#VALUE!</v>
      </c>
    </row>
    <row r="5731">
      <c r="A5731" s="11" t="s">
        <v>54</v>
      </c>
      <c r="B5731" s="12">
        <v>1245.408</v>
      </c>
      <c r="C5731" s="12">
        <v>0</v>
      </c>
      <c r="D5731" s="13">
        <v>0</v>
      </c>
      <c r="E5731" s="12">
        <v>0</v>
      </c>
      <c r="F5731" s="14">
        <v>0</v>
      </c>
      <c r="G5731" s="13">
        <v>385989015.1161</v>
      </c>
      <c r="H5731" s="14">
        <v>480713807337.71185</v>
      </c>
      <c r="I5731" s="14" t="e">
        <f>=Round(15567944.33720000,0)</f>
        <v>#VALUE!</v>
      </c>
      <c r="J5731" s="14" t="e">
        <f>=Round(0.00000000,0)</f>
        <v>#VALUE!</v>
      </c>
    </row>
    <row r="5732">
      <c r="A5732" s="11" t="s">
        <v>55</v>
      </c>
      <c r="B5732" s="12">
        <v>1240.4512</v>
      </c>
      <c r="C5732" s="12">
        <v>0</v>
      </c>
      <c r="D5732" s="13">
        <v>0</v>
      </c>
      <c r="E5732" s="12">
        <v>0</v>
      </c>
      <c r="F5732" s="14">
        <v>0</v>
      </c>
      <c r="G5732" s="13">
        <v>385989015.1161</v>
      </c>
      <c r="H5732" s="14">
        <v>478800536987.58441</v>
      </c>
      <c r="I5732" s="14" t="e">
        <f>=Round(10865449.07000000,0)</f>
        <v>#VALUE!</v>
      </c>
      <c r="J5732" s="14" t="e">
        <f>=Round(0.00000000,0)</f>
        <v>#VALUE!</v>
      </c>
    </row>
    <row r="5733" ht="-1">
      <c r="A5733" s="15"/>
      <c r="B5733" s="16" t="s">
        <v>56</v>
      </c>
      <c r="C5733" s="15"/>
      <c r="D5733" s="15"/>
      <c r="E5733" s="15"/>
      <c r="F5733" s="15"/>
      <c r="G5733" s="15"/>
      <c r="H5733" s="15"/>
      <c r="I5733" s="17" t="e">
        <f>=Round(SUM(I5707:I5732),0)</f>
        <v>#VALUE!</v>
      </c>
      <c r="J5733" s="17" t="e">
        <f>=Round(SUM(J5707:J5732),0)</f>
        <v>#VALUE!</v>
      </c>
    </row>
    <row r="5734">
      <c r="A5734" s="1" t="s">
        <v>0</v>
      </c>
      <c r="B5734" s="1"/>
      <c r="C5734" s="1"/>
      <c r="D5734" s="1"/>
    </row>
    <row r="5735">
      <c r="A5735" s="0" t="s">
        <v>1</v>
      </c>
      <c r="C5735" s="0" t="s">
        <v>209</v>
      </c>
      <c r="H5735" s="2" t="s">
        <v>3</v>
      </c>
    </row>
    <row r="5736">
      <c r="A5736" s="0" t="s">
        <v>4</v>
      </c>
      <c r="C5736" s="0" t="s">
        <v>210</v>
      </c>
      <c r="H5736" s="3" t="s">
        <v>6</v>
      </c>
    </row>
    <row r="5737">
      <c r="A5737" s="0" t="s">
        <v>7</v>
      </c>
      <c r="C5737" s="4" t="s">
        <v>211</v>
      </c>
      <c r="H5737" s="2" t="s">
        <v>9</v>
      </c>
    </row>
    <row r="5738">
      <c r="A5738" s="0" t="s">
        <v>10</v>
      </c>
      <c r="C5738" s="4" t="s">
        <v>11</v>
      </c>
      <c r="H5738" s="2" t="s">
        <v>12</v>
      </c>
    </row>
    <row r="5739">
      <c r="A5739" s="0" t="s">
        <v>13</v>
      </c>
      <c r="C5739" s="0" t="s">
        <v>14</v>
      </c>
    </row>
    <row r="5740">
      <c r="A5740" s="0" t="s">
        <v>15</v>
      </c>
      <c r="C5740" s="0" t="s">
        <v>16</v>
      </c>
    </row>
    <row r="5741">
      <c r="A5741" s="0" t="s">
        <v>17</v>
      </c>
      <c r="C5741" s="0" t="s">
        <v>18</v>
      </c>
    </row>
    <row r="5744">
      <c r="A5744" s="5" t="s">
        <v>19</v>
      </c>
      <c r="B5744" s="5" t="s">
        <v>20</v>
      </c>
      <c r="C5744" s="7" t="s">
        <v>21</v>
      </c>
      <c r="D5744" s="9"/>
      <c r="E5744" s="7" t="s">
        <v>22</v>
      </c>
      <c r="F5744" s="9"/>
      <c r="G5744" s="5" t="s">
        <v>23</v>
      </c>
      <c r="H5744" s="5" t="s">
        <v>24</v>
      </c>
      <c r="I5744" s="5" t="s">
        <v>212</v>
      </c>
      <c r="J5744" s="5" t="s">
        <v>26</v>
      </c>
    </row>
    <row r="5745">
      <c r="A5745" s="6"/>
      <c r="B5745" s="6"/>
      <c r="C5745" s="8" t="s">
        <v>27</v>
      </c>
      <c r="D5745" s="8" t="s">
        <v>28</v>
      </c>
      <c r="E5745" s="8" t="s">
        <v>27</v>
      </c>
      <c r="F5745" s="8" t="s">
        <v>28</v>
      </c>
      <c r="G5745" s="6"/>
      <c r="H5745" s="6"/>
      <c r="I5745" s="10" t="s">
        <v>29</v>
      </c>
      <c r="J5745" s="6"/>
    </row>
    <row r="5746">
      <c r="A5746" s="11" t="s">
        <v>30</v>
      </c>
      <c r="B5746" s="12">
        <v>783.5409</v>
      </c>
      <c r="C5746" s="12">
        <v>0</v>
      </c>
      <c r="D5746" s="13">
        <v>0</v>
      </c>
      <c r="E5746" s="12">
        <v>0</v>
      </c>
      <c r="F5746" s="14">
        <v>0</v>
      </c>
      <c r="G5746" s="13">
        <v>502031029.9195</v>
      </c>
      <c r="H5746" s="14">
        <v>393361845011.05194</v>
      </c>
      <c r="I5746" s="14" t="e">
        <f>=Round(10095217.96520000,0)</f>
        <v>#VALUE!</v>
      </c>
      <c r="J5746" s="14" t="e">
        <f>=Round(0.00000000,0)</f>
        <v>#VALUE!</v>
      </c>
    </row>
    <row r="5747">
      <c r="A5747" s="11" t="s">
        <v>31</v>
      </c>
      <c r="B5747" s="12">
        <v>786.2035</v>
      </c>
      <c r="C5747" s="12">
        <v>0</v>
      </c>
      <c r="D5747" s="13">
        <v>0</v>
      </c>
      <c r="E5747" s="12">
        <v>0</v>
      </c>
      <c r="F5747" s="14">
        <v>0</v>
      </c>
      <c r="G5747" s="13">
        <v>502031029.9195</v>
      </c>
      <c r="H5747" s="14">
        <v>394698552831.31567</v>
      </c>
      <c r="I5747" s="14" t="e">
        <f>=Round(10076529.45440000,0)</f>
        <v>#VALUE!</v>
      </c>
      <c r="J5747" s="14" t="e">
        <f>=Round(0.00000000,0)</f>
        <v>#VALUE!</v>
      </c>
    </row>
    <row r="5748">
      <c r="A5748" s="11" t="s">
        <v>32</v>
      </c>
      <c r="B5748" s="12">
        <v>787.8748</v>
      </c>
      <c r="C5748" s="12">
        <v>0</v>
      </c>
      <c r="D5748" s="13">
        <v>0</v>
      </c>
      <c r="E5748" s="12">
        <v>0</v>
      </c>
      <c r="F5748" s="14">
        <v>0</v>
      </c>
      <c r="G5748" s="13">
        <v>502031029.9195</v>
      </c>
      <c r="H5748" s="14">
        <v>395537597291.62012</v>
      </c>
      <c r="I5748" s="14" t="e">
        <f>=Round(10110771.14790000,0)</f>
        <v>#VALUE!</v>
      </c>
      <c r="J5748" s="14" t="e">
        <f>=Round(0.00000000,0)</f>
        <v>#VALUE!</v>
      </c>
    </row>
    <row r="5749">
      <c r="A5749" s="11" t="s">
        <v>33</v>
      </c>
      <c r="B5749" s="12">
        <v>788.6452</v>
      </c>
      <c r="C5749" s="12">
        <v>0</v>
      </c>
      <c r="D5749" s="13">
        <v>0</v>
      </c>
      <c r="E5749" s="12">
        <v>0</v>
      </c>
      <c r="F5749" s="14">
        <v>0</v>
      </c>
      <c r="G5749" s="13">
        <v>502031029.9195</v>
      </c>
      <c r="H5749" s="14">
        <v>395924361997.07007</v>
      </c>
      <c r="I5749" s="14" t="e">
        <f>=Round(10132264.47860000,0)</f>
        <v>#VALUE!</v>
      </c>
      <c r="J5749" s="14" t="e">
        <f>=Round(0.00000000,0)</f>
        <v>#VALUE!</v>
      </c>
    </row>
    <row r="5750">
      <c r="A5750" s="11" t="s">
        <v>34</v>
      </c>
      <c r="B5750" s="12">
        <v>789.0244</v>
      </c>
      <c r="C5750" s="12">
        <v>0</v>
      </c>
      <c r="D5750" s="13">
        <v>0</v>
      </c>
      <c r="E5750" s="12">
        <v>0</v>
      </c>
      <c r="F5750" s="14">
        <v>0</v>
      </c>
      <c r="G5750" s="13">
        <v>502031029.9195</v>
      </c>
      <c r="H5750" s="14">
        <v>396114732163.61554</v>
      </c>
      <c r="I5750" s="14" t="e">
        <f>=Round(10142172.01280000,0)</f>
        <v>#VALUE!</v>
      </c>
      <c r="J5750" s="14" t="e">
        <f>=Round(0.00000000,0)</f>
        <v>#VALUE!</v>
      </c>
    </row>
    <row r="5751">
      <c r="A5751" s="11" t="s">
        <v>35</v>
      </c>
      <c r="B5751" s="12">
        <v>789.0244</v>
      </c>
      <c r="C5751" s="12">
        <v>0</v>
      </c>
      <c r="D5751" s="13">
        <v>0</v>
      </c>
      <c r="E5751" s="12">
        <v>0</v>
      </c>
      <c r="F5751" s="14">
        <v>0</v>
      </c>
      <c r="G5751" s="13">
        <v>502031029.9195</v>
      </c>
      <c r="H5751" s="14">
        <v>396114732163.61554</v>
      </c>
      <c r="I5751" s="14" t="e">
        <f>=Round(10147048.61840000,0)</f>
        <v>#VALUE!</v>
      </c>
      <c r="J5751" s="14" t="e">
        <f>=Round(0.00000000,0)</f>
        <v>#VALUE!</v>
      </c>
    </row>
    <row r="5752">
      <c r="A5752" s="11" t="s">
        <v>36</v>
      </c>
      <c r="B5752" s="12">
        <v>789.0244</v>
      </c>
      <c r="C5752" s="12">
        <v>0</v>
      </c>
      <c r="D5752" s="13">
        <v>0</v>
      </c>
      <c r="E5752" s="12">
        <v>0</v>
      </c>
      <c r="F5752" s="14">
        <v>0</v>
      </c>
      <c r="G5752" s="13">
        <v>502031029.9195</v>
      </c>
      <c r="H5752" s="14">
        <v>396114732163.61554</v>
      </c>
      <c r="I5752" s="14" t="e">
        <f>=Round(10147048.61840000,0)</f>
        <v>#VALUE!</v>
      </c>
      <c r="J5752" s="14" t="e">
        <f>=Round(0.00000000,0)</f>
        <v>#VALUE!</v>
      </c>
    </row>
    <row r="5753">
      <c r="A5753" s="11" t="s">
        <v>37</v>
      </c>
      <c r="B5753" s="12">
        <v>787.7348</v>
      </c>
      <c r="C5753" s="12">
        <v>0</v>
      </c>
      <c r="D5753" s="13">
        <v>0</v>
      </c>
      <c r="E5753" s="12">
        <v>0</v>
      </c>
      <c r="F5753" s="14">
        <v>0</v>
      </c>
      <c r="G5753" s="13">
        <v>502031029.9195</v>
      </c>
      <c r="H5753" s="14">
        <v>395467312947.43134</v>
      </c>
      <c r="I5753" s="14" t="e">
        <f>=Round(10147048.61840000,0)</f>
        <v>#VALUE!</v>
      </c>
      <c r="J5753" s="14" t="e">
        <f>=Round(0.00000000,0)</f>
        <v>#VALUE!</v>
      </c>
    </row>
    <row r="5754">
      <c r="A5754" s="11" t="s">
        <v>38</v>
      </c>
      <c r="B5754" s="12">
        <v>787.4326</v>
      </c>
      <c r="C5754" s="12">
        <v>0</v>
      </c>
      <c r="D5754" s="13">
        <v>0</v>
      </c>
      <c r="E5754" s="12">
        <v>0</v>
      </c>
      <c r="F5754" s="14">
        <v>0</v>
      </c>
      <c r="G5754" s="13">
        <v>502031029.9195</v>
      </c>
      <c r="H5754" s="14">
        <v>395315599170.1897</v>
      </c>
      <c r="I5754" s="14" t="e">
        <f>=Round(10130464.04400000,0)</f>
        <v>#VALUE!</v>
      </c>
      <c r="J5754" s="14" t="e">
        <f>=Round(0.00000000,0)</f>
        <v>#VALUE!</v>
      </c>
    </row>
    <row r="5755">
      <c r="A5755" s="11" t="s">
        <v>39</v>
      </c>
      <c r="B5755" s="12">
        <v>786.0808</v>
      </c>
      <c r="C5755" s="12">
        <v>0</v>
      </c>
      <c r="D5755" s="13">
        <v>0</v>
      </c>
      <c r="E5755" s="12">
        <v>0</v>
      </c>
      <c r="F5755" s="14">
        <v>0</v>
      </c>
      <c r="G5755" s="13">
        <v>502031029.9195</v>
      </c>
      <c r="H5755" s="14">
        <v>394636953623.94452</v>
      </c>
      <c r="I5755" s="14" t="e">
        <f>=Round(10126577.67740000,0)</f>
        <v>#VALUE!</v>
      </c>
      <c r="J5755" s="14" t="e">
        <f>=Round(0.00000000,0)</f>
        <v>#VALUE!</v>
      </c>
    </row>
    <row r="5756">
      <c r="A5756" s="11" t="s">
        <v>40</v>
      </c>
      <c r="B5756" s="12">
        <v>785.1203</v>
      </c>
      <c r="C5756" s="12">
        <v>0</v>
      </c>
      <c r="D5756" s="13">
        <v>0</v>
      </c>
      <c r="E5756" s="12">
        <v>0</v>
      </c>
      <c r="F5756" s="14">
        <v>0</v>
      </c>
      <c r="G5756" s="13">
        <v>502031029.9195</v>
      </c>
      <c r="H5756" s="14">
        <v>394154752819.70679</v>
      </c>
      <c r="I5756" s="14" t="e">
        <f>=Round(10109193.19560000,0)</f>
        <v>#VALUE!</v>
      </c>
      <c r="J5756" s="14" t="e">
        <f>=Round(0.00000000,0)</f>
        <v>#VALUE!</v>
      </c>
    </row>
    <row r="5757">
      <c r="A5757" s="11" t="s">
        <v>41</v>
      </c>
      <c r="B5757" s="12">
        <v>785.0458</v>
      </c>
      <c r="C5757" s="12">
        <v>0</v>
      </c>
      <c r="D5757" s="13">
        <v>0</v>
      </c>
      <c r="E5757" s="12">
        <v>0</v>
      </c>
      <c r="F5757" s="14">
        <v>0</v>
      </c>
      <c r="G5757" s="13">
        <v>502031029.9195</v>
      </c>
      <c r="H5757" s="14">
        <v>394117351507.97778</v>
      </c>
      <c r="I5757" s="14" t="e">
        <f>=Round(10096840.92840000,0)</f>
        <v>#VALUE!</v>
      </c>
      <c r="J5757" s="14" t="e">
        <f>=Round(0.00000000,0)</f>
        <v>#VALUE!</v>
      </c>
    </row>
    <row r="5758">
      <c r="A5758" s="11" t="s">
        <v>42</v>
      </c>
      <c r="B5758" s="12">
        <v>785.0458</v>
      </c>
      <c r="C5758" s="12">
        <v>0</v>
      </c>
      <c r="D5758" s="13">
        <v>0</v>
      </c>
      <c r="E5758" s="12">
        <v>0</v>
      </c>
      <c r="F5758" s="14">
        <v>0</v>
      </c>
      <c r="G5758" s="13">
        <v>502031029.9195</v>
      </c>
      <c r="H5758" s="14">
        <v>394117351507.97778</v>
      </c>
      <c r="I5758" s="14" t="e">
        <f>=Round(10095882.84000000,0)</f>
        <v>#VALUE!</v>
      </c>
      <c r="J5758" s="14" t="e">
        <f>=Round(0.00000000,0)</f>
        <v>#VALUE!</v>
      </c>
    </row>
    <row r="5759">
      <c r="A5759" s="11" t="s">
        <v>43</v>
      </c>
      <c r="B5759" s="12">
        <v>785.0458</v>
      </c>
      <c r="C5759" s="12">
        <v>0</v>
      </c>
      <c r="D5759" s="13">
        <v>0</v>
      </c>
      <c r="E5759" s="12">
        <v>0</v>
      </c>
      <c r="F5759" s="14">
        <v>0</v>
      </c>
      <c r="G5759" s="13">
        <v>502031029.9195</v>
      </c>
      <c r="H5759" s="14">
        <v>394117351507.97778</v>
      </c>
      <c r="I5759" s="14" t="e">
        <f>=Round(10095882.84000000,0)</f>
        <v>#VALUE!</v>
      </c>
      <c r="J5759" s="14" t="e">
        <f>=Round(0.00000000,0)</f>
        <v>#VALUE!</v>
      </c>
    </row>
    <row r="5760">
      <c r="A5760" s="11" t="s">
        <v>44</v>
      </c>
      <c r="B5760" s="12">
        <v>785.694</v>
      </c>
      <c r="C5760" s="12">
        <v>0</v>
      </c>
      <c r="D5760" s="13">
        <v>0</v>
      </c>
      <c r="E5760" s="12">
        <v>0</v>
      </c>
      <c r="F5760" s="14">
        <v>0</v>
      </c>
      <c r="G5760" s="13">
        <v>502031029.9195</v>
      </c>
      <c r="H5760" s="14">
        <v>394442768021.57166</v>
      </c>
      <c r="I5760" s="14" t="e">
        <f>=Round(10095882.84000000,0)</f>
        <v>#VALUE!</v>
      </c>
      <c r="J5760" s="14" t="e">
        <f>=Round(0.00000000,0)</f>
        <v>#VALUE!</v>
      </c>
    </row>
    <row r="5761">
      <c r="A5761" s="11" t="s">
        <v>45</v>
      </c>
      <c r="B5761" s="12">
        <v>786.5618</v>
      </c>
      <c r="C5761" s="12">
        <v>0</v>
      </c>
      <c r="D5761" s="13">
        <v>0</v>
      </c>
      <c r="E5761" s="12">
        <v>0</v>
      </c>
      <c r="F5761" s="14">
        <v>0</v>
      </c>
      <c r="G5761" s="13">
        <v>502031029.9195</v>
      </c>
      <c r="H5761" s="14">
        <v>394878430549.33575</v>
      </c>
      <c r="I5761" s="14" t="e">
        <f>=Round(10104218.85210000,0)</f>
        <v>#VALUE!</v>
      </c>
      <c r="J5761" s="14" t="e">
        <f>=Round(0.00000000,0)</f>
        <v>#VALUE!</v>
      </c>
    </row>
    <row r="5762">
      <c r="A5762" s="11" t="s">
        <v>46</v>
      </c>
      <c r="B5762" s="12">
        <v>788.4007</v>
      </c>
      <c r="C5762" s="12">
        <v>0</v>
      </c>
      <c r="D5762" s="13">
        <v>0</v>
      </c>
      <c r="E5762" s="12">
        <v>0</v>
      </c>
      <c r="F5762" s="14">
        <v>0</v>
      </c>
      <c r="G5762" s="13">
        <v>502031029.9195</v>
      </c>
      <c r="H5762" s="14">
        <v>395801615410.2547</v>
      </c>
      <c r="I5762" s="14" t="e">
        <f>=Round(10115378.97430000,0)</f>
        <v>#VALUE!</v>
      </c>
      <c r="J5762" s="14" t="e">
        <f>=Round(0.00000000,0)</f>
        <v>#VALUE!</v>
      </c>
    </row>
    <row r="5763">
      <c r="A5763" s="11" t="s">
        <v>47</v>
      </c>
      <c r="B5763" s="12">
        <v>789.2128</v>
      </c>
      <c r="C5763" s="12">
        <v>0</v>
      </c>
      <c r="D5763" s="13">
        <v>0</v>
      </c>
      <c r="E5763" s="12">
        <v>0</v>
      </c>
      <c r="F5763" s="14">
        <v>0</v>
      </c>
      <c r="G5763" s="13">
        <v>502031029.9195</v>
      </c>
      <c r="H5763" s="14">
        <v>396209314809.65234</v>
      </c>
      <c r="I5763" s="14" t="e">
        <f>=Round(10139027.68240000,0)</f>
        <v>#VALUE!</v>
      </c>
      <c r="J5763" s="14" t="e">
        <f>=Round(0.00000000,0)</f>
        <v>#VALUE!</v>
      </c>
    </row>
    <row r="5764">
      <c r="A5764" s="11" t="s">
        <v>48</v>
      </c>
      <c r="B5764" s="12">
        <v>787.4322</v>
      </c>
      <c r="C5764" s="12">
        <v>0</v>
      </c>
      <c r="D5764" s="13">
        <v>0</v>
      </c>
      <c r="E5764" s="12">
        <v>0</v>
      </c>
      <c r="F5764" s="14">
        <v>0</v>
      </c>
      <c r="G5764" s="13">
        <v>502031029.9195</v>
      </c>
      <c r="H5764" s="14">
        <v>395315398357.77771</v>
      </c>
      <c r="I5764" s="14" t="e">
        <f>=Round(10149471.48900000,0)</f>
        <v>#VALUE!</v>
      </c>
      <c r="J5764" s="14" t="e">
        <f>=Round(0.00000000,0)</f>
        <v>#VALUE!</v>
      </c>
    </row>
    <row r="5765">
      <c r="A5765" s="11" t="s">
        <v>49</v>
      </c>
      <c r="B5765" s="12">
        <v>787.4322</v>
      </c>
      <c r="C5765" s="12">
        <v>0</v>
      </c>
      <c r="D5765" s="13">
        <v>0</v>
      </c>
      <c r="E5765" s="12">
        <v>0</v>
      </c>
      <c r="F5765" s="14">
        <v>0</v>
      </c>
      <c r="G5765" s="13">
        <v>502031029.9195</v>
      </c>
      <c r="H5765" s="14">
        <v>395315398357.77771</v>
      </c>
      <c r="I5765" s="14" t="e">
        <f>=Round(10126572.53330000,0)</f>
        <v>#VALUE!</v>
      </c>
      <c r="J5765" s="14" t="e">
        <f>=Round(0.00000000,0)</f>
        <v>#VALUE!</v>
      </c>
    </row>
    <row r="5766">
      <c r="A5766" s="11" t="s">
        <v>50</v>
      </c>
      <c r="B5766" s="12">
        <v>787.4322</v>
      </c>
      <c r="C5766" s="12">
        <v>0</v>
      </c>
      <c r="D5766" s="13">
        <v>0</v>
      </c>
      <c r="E5766" s="12">
        <v>0</v>
      </c>
      <c r="F5766" s="14">
        <v>0</v>
      </c>
      <c r="G5766" s="13">
        <v>502031029.9195</v>
      </c>
      <c r="H5766" s="14">
        <v>395315398357.77771</v>
      </c>
      <c r="I5766" s="14" t="e">
        <f>=Round(10126572.53330000,0)</f>
        <v>#VALUE!</v>
      </c>
      <c r="J5766" s="14" t="e">
        <f>=Round(0.00000000,0)</f>
        <v>#VALUE!</v>
      </c>
    </row>
    <row r="5767">
      <c r="A5767" s="11" t="s">
        <v>51</v>
      </c>
      <c r="B5767" s="12">
        <v>784.9783</v>
      </c>
      <c r="C5767" s="12">
        <v>0</v>
      </c>
      <c r="D5767" s="13">
        <v>0</v>
      </c>
      <c r="E5767" s="12">
        <v>0</v>
      </c>
      <c r="F5767" s="14">
        <v>0</v>
      </c>
      <c r="G5767" s="13">
        <v>502031029.9195</v>
      </c>
      <c r="H5767" s="14">
        <v>394083464413.45825</v>
      </c>
      <c r="I5767" s="14" t="e">
        <f>=Round(10126572.53330000,0)</f>
        <v>#VALUE!</v>
      </c>
      <c r="J5767" s="14" t="e">
        <f>=Round(0.00000000,0)</f>
        <v>#VALUE!</v>
      </c>
    </row>
    <row r="5768">
      <c r="A5768" s="11" t="s">
        <v>52</v>
      </c>
      <c r="B5768" s="12">
        <v>784.9498</v>
      </c>
      <c r="C5768" s="12">
        <v>0</v>
      </c>
      <c r="D5768" s="13">
        <v>0</v>
      </c>
      <c r="E5768" s="12">
        <v>0</v>
      </c>
      <c r="F5768" s="14">
        <v>0</v>
      </c>
      <c r="G5768" s="13">
        <v>502031029.9195</v>
      </c>
      <c r="H5768" s="14">
        <v>394069156529.10553</v>
      </c>
      <c r="I5768" s="14" t="e">
        <f>=Round(10095014.77330000,0)</f>
        <v>#VALUE!</v>
      </c>
      <c r="J5768" s="14" t="e">
        <f>=Round(0.00000000,0)</f>
        <v>#VALUE!</v>
      </c>
    </row>
    <row r="5769">
      <c r="A5769" s="11" t="s">
        <v>53</v>
      </c>
      <c r="B5769" s="12">
        <v>782.7819</v>
      </c>
      <c r="C5769" s="12">
        <v>0</v>
      </c>
      <c r="D5769" s="13">
        <v>0</v>
      </c>
      <c r="E5769" s="12">
        <v>0</v>
      </c>
      <c r="F5769" s="14">
        <v>0</v>
      </c>
      <c r="G5769" s="13">
        <v>502031029.9195</v>
      </c>
      <c r="H5769" s="14">
        <v>392980803459.343</v>
      </c>
      <c r="I5769" s="14" t="e">
        <f>=Round(10094648.25630000,0)</f>
        <v>#VALUE!</v>
      </c>
      <c r="J5769" s="14" t="e">
        <f>=Round(0.00000000,0)</f>
        <v>#VALUE!</v>
      </c>
    </row>
    <row r="5770">
      <c r="A5770" s="11" t="s">
        <v>54</v>
      </c>
      <c r="B5770" s="12">
        <v>777.9449</v>
      </c>
      <c r="C5770" s="12">
        <v>0</v>
      </c>
      <c r="D5770" s="13">
        <v>0</v>
      </c>
      <c r="E5770" s="12">
        <v>0</v>
      </c>
      <c r="F5770" s="14">
        <v>0</v>
      </c>
      <c r="G5770" s="13">
        <v>502031029.9195</v>
      </c>
      <c r="H5770" s="14">
        <v>390552479367.62244</v>
      </c>
      <c r="I5770" s="14" t="e">
        <f>=Round(10066768.52700000,0)</f>
        <v>#VALUE!</v>
      </c>
      <c r="J5770" s="14" t="e">
        <f>=Round(0.00000000,0)</f>
        <v>#VALUE!</v>
      </c>
    </row>
    <row r="5771">
      <c r="A5771" s="11" t="s">
        <v>55</v>
      </c>
      <c r="B5771" s="12">
        <v>774.3575</v>
      </c>
      <c r="C5771" s="12">
        <v>0</v>
      </c>
      <c r="D5771" s="13">
        <v>0</v>
      </c>
      <c r="E5771" s="12">
        <v>0</v>
      </c>
      <c r="F5771" s="14">
        <v>0</v>
      </c>
      <c r="G5771" s="13">
        <v>502031029.9195</v>
      </c>
      <c r="H5771" s="14">
        <v>388751493250.88922</v>
      </c>
      <c r="I5771" s="14" t="e">
        <f>=Round(10004563.51260000,0)</f>
        <v>#VALUE!</v>
      </c>
      <c r="J5771" s="14" t="e">
        <f>=Round(0.00000000,0)</f>
        <v>#VALUE!</v>
      </c>
    </row>
    <row r="5772" ht="-1">
      <c r="A5772" s="15"/>
      <c r="B5772" s="16" t="s">
        <v>56</v>
      </c>
      <c r="C5772" s="15"/>
      <c r="D5772" s="15"/>
      <c r="E5772" s="15"/>
      <c r="F5772" s="15"/>
      <c r="G5772" s="15"/>
      <c r="H5772" s="15"/>
      <c r="I5772" s="17" t="e">
        <f>=Round(SUM(I5746:I5771),0)</f>
        <v>#VALUE!</v>
      </c>
      <c r="J5772" s="17" t="e">
        <f>=Round(SUM(J5746:J5771),0)</f>
        <v>#VALUE!</v>
      </c>
    </row>
    <row r="5773">
      <c r="A5773" s="1" t="s">
        <v>0</v>
      </c>
      <c r="B5773" s="1"/>
      <c r="C5773" s="1"/>
      <c r="D5773" s="1"/>
    </row>
    <row r="5774">
      <c r="A5774" s="0" t="s">
        <v>1</v>
      </c>
      <c r="C5774" s="0" t="s">
        <v>213</v>
      </c>
      <c r="H5774" s="2" t="s">
        <v>3</v>
      </c>
    </row>
    <row r="5775">
      <c r="A5775" s="0" t="s">
        <v>4</v>
      </c>
      <c r="C5775" s="0" t="s">
        <v>214</v>
      </c>
      <c r="H5775" s="3" t="s">
        <v>6</v>
      </c>
    </row>
    <row r="5776">
      <c r="A5776" s="0" t="s">
        <v>7</v>
      </c>
      <c r="C5776" s="4" t="s">
        <v>8</v>
      </c>
      <c r="H5776" s="2" t="s">
        <v>9</v>
      </c>
    </row>
    <row r="5777">
      <c r="A5777" s="0" t="s">
        <v>10</v>
      </c>
      <c r="C5777" s="4" t="s">
        <v>11</v>
      </c>
      <c r="H5777" s="2" t="s">
        <v>12</v>
      </c>
    </row>
    <row r="5778">
      <c r="A5778" s="0" t="s">
        <v>13</v>
      </c>
      <c r="C5778" s="0" t="s">
        <v>14</v>
      </c>
    </row>
    <row r="5779">
      <c r="A5779" s="0" t="s">
        <v>15</v>
      </c>
      <c r="C5779" s="0" t="s">
        <v>16</v>
      </c>
    </row>
    <row r="5780">
      <c r="A5780" s="0" t="s">
        <v>17</v>
      </c>
      <c r="C5780" s="0" t="s">
        <v>18</v>
      </c>
    </row>
    <row r="5783">
      <c r="A5783" s="5" t="s">
        <v>19</v>
      </c>
      <c r="B5783" s="5" t="s">
        <v>20</v>
      </c>
      <c r="C5783" s="7" t="s">
        <v>21</v>
      </c>
      <c r="D5783" s="9"/>
      <c r="E5783" s="7" t="s">
        <v>22</v>
      </c>
      <c r="F5783" s="9"/>
      <c r="G5783" s="5" t="s">
        <v>23</v>
      </c>
      <c r="H5783" s="5" t="s">
        <v>24</v>
      </c>
      <c r="I5783" s="5" t="s">
        <v>25</v>
      </c>
      <c r="J5783" s="5" t="s">
        <v>26</v>
      </c>
    </row>
    <row r="5784">
      <c r="A5784" s="6"/>
      <c r="B5784" s="6"/>
      <c r="C5784" s="8" t="s">
        <v>27</v>
      </c>
      <c r="D5784" s="8" t="s">
        <v>28</v>
      </c>
      <c r="E5784" s="8" t="s">
        <v>27</v>
      </c>
      <c r="F5784" s="8" t="s">
        <v>28</v>
      </c>
      <c r="G5784" s="6"/>
      <c r="H5784" s="6"/>
      <c r="I5784" s="10" t="s">
        <v>29</v>
      </c>
      <c r="J5784" s="6"/>
    </row>
    <row r="5785">
      <c r="A5785" s="11" t="s">
        <v>30</v>
      </c>
      <c r="B5785" s="12">
        <v>990.2039</v>
      </c>
      <c r="C5785" s="12">
        <v>0</v>
      </c>
      <c r="D5785" s="13">
        <v>0</v>
      </c>
      <c r="E5785" s="12">
        <v>0</v>
      </c>
      <c r="F5785" s="14">
        <v>0</v>
      </c>
      <c r="G5785" s="13">
        <v>28000000</v>
      </c>
      <c r="H5785" s="14">
        <v>27725709200</v>
      </c>
      <c r="I5785" s="14" t="e">
        <f>=Round(626216.63770000,0)</f>
        <v>#VALUE!</v>
      </c>
      <c r="J5785" s="14" t="e">
        <f>=Round(0.00000000,0)</f>
        <v>#VALUE!</v>
      </c>
    </row>
    <row r="5786">
      <c r="A5786" s="11" t="s">
        <v>31</v>
      </c>
      <c r="B5786" s="12">
        <v>994.2234</v>
      </c>
      <c r="C5786" s="12">
        <v>0</v>
      </c>
      <c r="D5786" s="13">
        <v>0</v>
      </c>
      <c r="E5786" s="12">
        <v>0</v>
      </c>
      <c r="F5786" s="14">
        <v>0</v>
      </c>
      <c r="G5786" s="13">
        <v>28000000</v>
      </c>
      <c r="H5786" s="14">
        <v>27838255200</v>
      </c>
      <c r="I5786" s="14" t="e">
        <f>=Round(624964.75660000,0)</f>
        <v>#VALUE!</v>
      </c>
      <c r="J5786" s="14" t="e">
        <f>=Round(0.00000000,0)</f>
        <v>#VALUE!</v>
      </c>
    </row>
    <row r="5787">
      <c r="A5787" s="11" t="s">
        <v>32</v>
      </c>
      <c r="B5787" s="12">
        <v>996.1723</v>
      </c>
      <c r="C5787" s="12">
        <v>0</v>
      </c>
      <c r="D5787" s="13">
        <v>0</v>
      </c>
      <c r="E5787" s="12">
        <v>0</v>
      </c>
      <c r="F5787" s="14">
        <v>0</v>
      </c>
      <c r="G5787" s="13">
        <v>28000000</v>
      </c>
      <c r="H5787" s="14">
        <v>27892824400</v>
      </c>
      <c r="I5787" s="14" t="e">
        <f>=Round(627501.65410000,0)</f>
        <v>#VALUE!</v>
      </c>
      <c r="J5787" s="14" t="e">
        <f>=Round(0.00000000,0)</f>
        <v>#VALUE!</v>
      </c>
    </row>
    <row r="5788">
      <c r="A5788" s="11" t="s">
        <v>33</v>
      </c>
      <c r="B5788" s="12">
        <v>997.4156</v>
      </c>
      <c r="C5788" s="12">
        <v>0</v>
      </c>
      <c r="D5788" s="13">
        <v>0</v>
      </c>
      <c r="E5788" s="12">
        <v>0</v>
      </c>
      <c r="F5788" s="14">
        <v>0</v>
      </c>
      <c r="G5788" s="13">
        <v>28000000</v>
      </c>
      <c r="H5788" s="14">
        <v>27927636800</v>
      </c>
      <c r="I5788" s="14" t="e">
        <f>=Round(628731.69750000,0)</f>
        <v>#VALUE!</v>
      </c>
      <c r="J5788" s="14" t="e">
        <f>=Round(0.00000000,0)</f>
        <v>#VALUE!</v>
      </c>
    </row>
    <row r="5789">
      <c r="A5789" s="11" t="s">
        <v>34</v>
      </c>
      <c r="B5789" s="12">
        <v>998.0707</v>
      </c>
      <c r="C5789" s="12">
        <v>0</v>
      </c>
      <c r="D5789" s="13">
        <v>0</v>
      </c>
      <c r="E5789" s="12">
        <v>0</v>
      </c>
      <c r="F5789" s="14">
        <v>0</v>
      </c>
      <c r="G5789" s="13">
        <v>28000000</v>
      </c>
      <c r="H5789" s="14">
        <v>27945979600</v>
      </c>
      <c r="I5789" s="14" t="e">
        <f>=Round(629516.40330000,0)</f>
        <v>#VALUE!</v>
      </c>
      <c r="J5789" s="14" t="e">
        <f>=Round(0.00000000,0)</f>
        <v>#VALUE!</v>
      </c>
    </row>
    <row r="5790">
      <c r="A5790" s="11" t="s">
        <v>35</v>
      </c>
      <c r="B5790" s="12">
        <v>998.0707</v>
      </c>
      <c r="C5790" s="12">
        <v>0</v>
      </c>
      <c r="D5790" s="13">
        <v>0</v>
      </c>
      <c r="E5790" s="12">
        <v>0</v>
      </c>
      <c r="F5790" s="14">
        <v>0</v>
      </c>
      <c r="G5790" s="13">
        <v>28000000</v>
      </c>
      <c r="H5790" s="14">
        <v>27945979600</v>
      </c>
      <c r="I5790" s="14" t="e">
        <f>=Round(629929.86800000,0)</f>
        <v>#VALUE!</v>
      </c>
      <c r="J5790" s="14" t="e">
        <f>=Round(0.00000000,0)</f>
        <v>#VALUE!</v>
      </c>
    </row>
    <row r="5791">
      <c r="A5791" s="11" t="s">
        <v>36</v>
      </c>
      <c r="B5791" s="12">
        <v>998.0707</v>
      </c>
      <c r="C5791" s="12">
        <v>0</v>
      </c>
      <c r="D5791" s="13">
        <v>0</v>
      </c>
      <c r="E5791" s="12">
        <v>0</v>
      </c>
      <c r="F5791" s="14">
        <v>0</v>
      </c>
      <c r="G5791" s="13">
        <v>28000000</v>
      </c>
      <c r="H5791" s="14">
        <v>27945979600</v>
      </c>
      <c r="I5791" s="14" t="e">
        <f>=Round(629929.86800000,0)</f>
        <v>#VALUE!</v>
      </c>
      <c r="J5791" s="14" t="e">
        <f>=Round(0.00000000,0)</f>
        <v>#VALUE!</v>
      </c>
    </row>
    <row r="5792">
      <c r="A5792" s="11" t="s">
        <v>37</v>
      </c>
      <c r="B5792" s="12">
        <v>996.3511</v>
      </c>
      <c r="C5792" s="12">
        <v>0</v>
      </c>
      <c r="D5792" s="13">
        <v>0</v>
      </c>
      <c r="E5792" s="12">
        <v>0</v>
      </c>
      <c r="F5792" s="14">
        <v>0</v>
      </c>
      <c r="G5792" s="13">
        <v>28000000</v>
      </c>
      <c r="H5792" s="14">
        <v>27897830800</v>
      </c>
      <c r="I5792" s="14" t="e">
        <f>=Round(629929.86800000,0)</f>
        <v>#VALUE!</v>
      </c>
      <c r="J5792" s="14" t="e">
        <f>=Round(0.00000000,0)</f>
        <v>#VALUE!</v>
      </c>
    </row>
    <row r="5793">
      <c r="A5793" s="11" t="s">
        <v>38</v>
      </c>
      <c r="B5793" s="12">
        <v>995.9847</v>
      </c>
      <c r="C5793" s="12">
        <v>0</v>
      </c>
      <c r="D5793" s="13">
        <v>0</v>
      </c>
      <c r="E5793" s="12">
        <v>0</v>
      </c>
      <c r="F5793" s="14">
        <v>0</v>
      </c>
      <c r="G5793" s="13">
        <v>28000000</v>
      </c>
      <c r="H5793" s="14">
        <v>27887571600</v>
      </c>
      <c r="I5793" s="14" t="e">
        <f>=Round(628844.54670000,0)</f>
        <v>#VALUE!</v>
      </c>
      <c r="J5793" s="14" t="e">
        <f>=Round(0.00000000,0)</f>
        <v>#VALUE!</v>
      </c>
    </row>
    <row r="5794">
      <c r="A5794" s="11" t="s">
        <v>39</v>
      </c>
      <c r="B5794" s="12">
        <v>994.2938</v>
      </c>
      <c r="C5794" s="12">
        <v>0</v>
      </c>
      <c r="D5794" s="13">
        <v>0</v>
      </c>
      <c r="E5794" s="12">
        <v>0</v>
      </c>
      <c r="F5794" s="14">
        <v>0</v>
      </c>
      <c r="G5794" s="13">
        <v>28000000</v>
      </c>
      <c r="H5794" s="14">
        <v>27840226400</v>
      </c>
      <c r="I5794" s="14" t="e">
        <f>=Round(628613.29430000,0)</f>
        <v>#VALUE!</v>
      </c>
      <c r="J5794" s="14" t="e">
        <f>=Round(0.00000000,0)</f>
        <v>#VALUE!</v>
      </c>
    </row>
    <row r="5795">
      <c r="A5795" s="11" t="s">
        <v>40</v>
      </c>
      <c r="B5795" s="12">
        <v>992.704</v>
      </c>
      <c r="C5795" s="12">
        <v>0</v>
      </c>
      <c r="D5795" s="13">
        <v>0</v>
      </c>
      <c r="E5795" s="12">
        <v>0</v>
      </c>
      <c r="F5795" s="14">
        <v>0</v>
      </c>
      <c r="G5795" s="13">
        <v>28000000</v>
      </c>
      <c r="H5795" s="14">
        <v>27795712000</v>
      </c>
      <c r="I5795" s="14" t="e">
        <f>=Round(627546.08690000,0)</f>
        <v>#VALUE!</v>
      </c>
      <c r="J5795" s="14" t="e">
        <f>=Round(0.00000000,0)</f>
        <v>#VALUE!</v>
      </c>
    </row>
    <row r="5796">
      <c r="A5796" s="11" t="s">
        <v>41</v>
      </c>
      <c r="B5796" s="12">
        <v>992.4763</v>
      </c>
      <c r="C5796" s="12">
        <v>0</v>
      </c>
      <c r="D5796" s="13">
        <v>0</v>
      </c>
      <c r="E5796" s="12">
        <v>0</v>
      </c>
      <c r="F5796" s="14">
        <v>0</v>
      </c>
      <c r="G5796" s="13">
        <v>28000000</v>
      </c>
      <c r="H5796" s="14">
        <v>27789336400</v>
      </c>
      <c r="I5796" s="14" t="e">
        <f>=Round(626542.68850000,0)</f>
        <v>#VALUE!</v>
      </c>
      <c r="J5796" s="14" t="e">
        <f>=Round(0.00000000,0)</f>
        <v>#VALUE!</v>
      </c>
    </row>
    <row r="5797">
      <c r="A5797" s="11" t="s">
        <v>42</v>
      </c>
      <c r="B5797" s="12">
        <v>992.4763</v>
      </c>
      <c r="C5797" s="12">
        <v>0</v>
      </c>
      <c r="D5797" s="13">
        <v>0</v>
      </c>
      <c r="E5797" s="12">
        <v>0</v>
      </c>
      <c r="F5797" s="14">
        <v>0</v>
      </c>
      <c r="G5797" s="13">
        <v>28000000</v>
      </c>
      <c r="H5797" s="14">
        <v>27789336400</v>
      </c>
      <c r="I5797" s="14" t="e">
        <f>=Round(626398.97620000,0)</f>
        <v>#VALUE!</v>
      </c>
      <c r="J5797" s="14" t="e">
        <f>=Round(0.00000000,0)</f>
        <v>#VALUE!</v>
      </c>
    </row>
    <row r="5798">
      <c r="A5798" s="11" t="s">
        <v>43</v>
      </c>
      <c r="B5798" s="12">
        <v>992.4763</v>
      </c>
      <c r="C5798" s="12">
        <v>0</v>
      </c>
      <c r="D5798" s="13">
        <v>0</v>
      </c>
      <c r="E5798" s="12">
        <v>0</v>
      </c>
      <c r="F5798" s="14">
        <v>0</v>
      </c>
      <c r="G5798" s="13">
        <v>28000000</v>
      </c>
      <c r="H5798" s="14">
        <v>27789336400</v>
      </c>
      <c r="I5798" s="14" t="e">
        <f>=Round(626398.97620000,0)</f>
        <v>#VALUE!</v>
      </c>
      <c r="J5798" s="14" t="e">
        <f>=Round(0.00000000,0)</f>
        <v>#VALUE!</v>
      </c>
    </row>
    <row r="5799">
      <c r="A5799" s="11" t="s">
        <v>44</v>
      </c>
      <c r="B5799" s="12">
        <v>993.1569</v>
      </c>
      <c r="C5799" s="12">
        <v>0</v>
      </c>
      <c r="D5799" s="13">
        <v>0</v>
      </c>
      <c r="E5799" s="12">
        <v>0</v>
      </c>
      <c r="F5799" s="14">
        <v>0</v>
      </c>
      <c r="G5799" s="13">
        <v>28000000</v>
      </c>
      <c r="H5799" s="14">
        <v>27808393200</v>
      </c>
      <c r="I5799" s="14" t="e">
        <f>=Round(626398.97620000,0)</f>
        <v>#VALUE!</v>
      </c>
      <c r="J5799" s="14" t="e">
        <f>=Round(0.00000000,0)</f>
        <v>#VALUE!</v>
      </c>
    </row>
    <row r="5800">
      <c r="A5800" s="11" t="s">
        <v>45</v>
      </c>
      <c r="B5800" s="12">
        <v>994.6183</v>
      </c>
      <c r="C5800" s="12">
        <v>0</v>
      </c>
      <c r="D5800" s="13">
        <v>0</v>
      </c>
      <c r="E5800" s="12">
        <v>0</v>
      </c>
      <c r="F5800" s="14">
        <v>0</v>
      </c>
      <c r="G5800" s="13">
        <v>28000000</v>
      </c>
      <c r="H5800" s="14">
        <v>27849312400</v>
      </c>
      <c r="I5800" s="14" t="e">
        <f>=Round(626828.53520000,0)</f>
        <v>#VALUE!</v>
      </c>
      <c r="J5800" s="14" t="e">
        <f>=Round(0.00000000,0)</f>
        <v>#VALUE!</v>
      </c>
    </row>
    <row r="5801">
      <c r="A5801" s="11" t="s">
        <v>46</v>
      </c>
      <c r="B5801" s="12">
        <v>996.9019</v>
      </c>
      <c r="C5801" s="12">
        <v>0</v>
      </c>
      <c r="D5801" s="13">
        <v>0</v>
      </c>
      <c r="E5801" s="12">
        <v>0</v>
      </c>
      <c r="F5801" s="14">
        <v>0</v>
      </c>
      <c r="G5801" s="13">
        <v>28000000</v>
      </c>
      <c r="H5801" s="14">
        <v>27913253200</v>
      </c>
      <c r="I5801" s="14" t="e">
        <f>=Round(627750.89430000,0)</f>
        <v>#VALUE!</v>
      </c>
      <c r="J5801" s="14" t="e">
        <f>=Round(0.00000000,0)</f>
        <v>#VALUE!</v>
      </c>
    </row>
    <row r="5802">
      <c r="A5802" s="11" t="s">
        <v>47</v>
      </c>
      <c r="B5802" s="12">
        <v>997.9527</v>
      </c>
      <c r="C5802" s="12">
        <v>0</v>
      </c>
      <c r="D5802" s="13">
        <v>0</v>
      </c>
      <c r="E5802" s="12">
        <v>0</v>
      </c>
      <c r="F5802" s="14">
        <v>0</v>
      </c>
      <c r="G5802" s="13">
        <v>28000000</v>
      </c>
      <c r="H5802" s="14">
        <v>27942675600</v>
      </c>
      <c r="I5802" s="14" t="e">
        <f>=Round(629192.18280000,0)</f>
        <v>#VALUE!</v>
      </c>
      <c r="J5802" s="14" t="e">
        <f>=Round(0.00000000,0)</f>
        <v>#VALUE!</v>
      </c>
    </row>
    <row r="5803">
      <c r="A5803" s="11" t="s">
        <v>48</v>
      </c>
      <c r="B5803" s="12">
        <v>995.7068</v>
      </c>
      <c r="C5803" s="12">
        <v>0</v>
      </c>
      <c r="D5803" s="13">
        <v>0</v>
      </c>
      <c r="E5803" s="12">
        <v>0</v>
      </c>
      <c r="F5803" s="14">
        <v>0</v>
      </c>
      <c r="G5803" s="13">
        <v>28000000</v>
      </c>
      <c r="H5803" s="14">
        <v>27879790400</v>
      </c>
      <c r="I5803" s="14" t="e">
        <f>=Round(629855.39260000,0)</f>
        <v>#VALUE!</v>
      </c>
      <c r="J5803" s="14" t="e">
        <f>=Round(0.00000000,0)</f>
        <v>#VALUE!</v>
      </c>
    </row>
    <row r="5804">
      <c r="A5804" s="11" t="s">
        <v>49</v>
      </c>
      <c r="B5804" s="12">
        <v>995.7068</v>
      </c>
      <c r="C5804" s="12">
        <v>0</v>
      </c>
      <c r="D5804" s="13">
        <v>0</v>
      </c>
      <c r="E5804" s="12">
        <v>0</v>
      </c>
      <c r="F5804" s="14">
        <v>0</v>
      </c>
      <c r="G5804" s="13">
        <v>28000000</v>
      </c>
      <c r="H5804" s="14">
        <v>27879790400</v>
      </c>
      <c r="I5804" s="14" t="e">
        <f>=Round(628437.89840000,0)</f>
        <v>#VALUE!</v>
      </c>
      <c r="J5804" s="14" t="e">
        <f>=Round(0.00000000,0)</f>
        <v>#VALUE!</v>
      </c>
    </row>
    <row r="5805">
      <c r="A5805" s="11" t="s">
        <v>50</v>
      </c>
      <c r="B5805" s="12">
        <v>995.7068</v>
      </c>
      <c r="C5805" s="12">
        <v>0</v>
      </c>
      <c r="D5805" s="13">
        <v>0</v>
      </c>
      <c r="E5805" s="12">
        <v>0</v>
      </c>
      <c r="F5805" s="14">
        <v>0</v>
      </c>
      <c r="G5805" s="13">
        <v>28000000</v>
      </c>
      <c r="H5805" s="14">
        <v>27879790400</v>
      </c>
      <c r="I5805" s="14" t="e">
        <f>=Round(628437.89840000,0)</f>
        <v>#VALUE!</v>
      </c>
      <c r="J5805" s="14" t="e">
        <f>=Round(0.00000000,0)</f>
        <v>#VALUE!</v>
      </c>
    </row>
    <row r="5806">
      <c r="A5806" s="11" t="s">
        <v>51</v>
      </c>
      <c r="B5806" s="12">
        <v>991.7293</v>
      </c>
      <c r="C5806" s="12">
        <v>0</v>
      </c>
      <c r="D5806" s="13">
        <v>0</v>
      </c>
      <c r="E5806" s="12">
        <v>0</v>
      </c>
      <c r="F5806" s="14">
        <v>0</v>
      </c>
      <c r="G5806" s="13">
        <v>28000000</v>
      </c>
      <c r="H5806" s="14">
        <v>27768420400</v>
      </c>
      <c r="I5806" s="14" t="e">
        <f>=Round(628437.89840000,0)</f>
        <v>#VALUE!</v>
      </c>
      <c r="J5806" s="14" t="e">
        <f>=Round(0.00000000,0)</f>
        <v>#VALUE!</v>
      </c>
    </row>
    <row r="5807">
      <c r="A5807" s="11" t="s">
        <v>52</v>
      </c>
      <c r="B5807" s="12">
        <v>991.8554</v>
      </c>
      <c r="C5807" s="12">
        <v>0</v>
      </c>
      <c r="D5807" s="13">
        <v>0</v>
      </c>
      <c r="E5807" s="12">
        <v>0</v>
      </c>
      <c r="F5807" s="14">
        <v>0</v>
      </c>
      <c r="G5807" s="13">
        <v>28000000</v>
      </c>
      <c r="H5807" s="14">
        <v>27771951200</v>
      </c>
      <c r="I5807" s="14" t="e">
        <f>=Round(625927.50900000,0)</f>
        <v>#VALUE!</v>
      </c>
      <c r="J5807" s="14" t="e">
        <f>=Round(0.00000000,0)</f>
        <v>#VALUE!</v>
      </c>
    </row>
    <row r="5808">
      <c r="A5808" s="11" t="s">
        <v>53</v>
      </c>
      <c r="B5808" s="12">
        <v>988.3415</v>
      </c>
      <c r="C5808" s="12">
        <v>0</v>
      </c>
      <c r="D5808" s="13">
        <v>0</v>
      </c>
      <c r="E5808" s="12">
        <v>0</v>
      </c>
      <c r="F5808" s="14">
        <v>0</v>
      </c>
      <c r="G5808" s="13">
        <v>28000000</v>
      </c>
      <c r="H5808" s="14">
        <v>27673562000</v>
      </c>
      <c r="I5808" s="14" t="e">
        <f>=Round(626007.09670000,0)</f>
        <v>#VALUE!</v>
      </c>
      <c r="J5808" s="14" t="e">
        <f>=Round(0.00000000,0)</f>
        <v>#VALUE!</v>
      </c>
    </row>
    <row r="5809">
      <c r="A5809" s="11" t="s">
        <v>54</v>
      </c>
      <c r="B5809" s="12">
        <v>981.3224</v>
      </c>
      <c r="C5809" s="12">
        <v>0</v>
      </c>
      <c r="D5809" s="13">
        <v>0</v>
      </c>
      <c r="E5809" s="12">
        <v>0</v>
      </c>
      <c r="F5809" s="14">
        <v>0</v>
      </c>
      <c r="G5809" s="13">
        <v>28000000</v>
      </c>
      <c r="H5809" s="14">
        <v>27477027200</v>
      </c>
      <c r="I5809" s="14" t="e">
        <f>=Round(623789.30740000,0)</f>
        <v>#VALUE!</v>
      </c>
      <c r="J5809" s="14" t="e">
        <f>=Round(0.00000000,0)</f>
        <v>#VALUE!</v>
      </c>
    </row>
    <row r="5810">
      <c r="A5810" s="11" t="s">
        <v>55</v>
      </c>
      <c r="B5810" s="12">
        <v>975.9209</v>
      </c>
      <c r="C5810" s="12">
        <v>0</v>
      </c>
      <c r="D5810" s="13">
        <v>0</v>
      </c>
      <c r="E5810" s="12">
        <v>0</v>
      </c>
      <c r="F5810" s="14">
        <v>0</v>
      </c>
      <c r="G5810" s="13">
        <v>28000000</v>
      </c>
      <c r="H5810" s="14">
        <v>27325785200</v>
      </c>
      <c r="I5810" s="14" t="e">
        <f>=Round(619359.21970000,0)</f>
        <v>#VALUE!</v>
      </c>
      <c r="J5810" s="14" t="e">
        <f>=Round(0.00000000,0)</f>
        <v>#VALUE!</v>
      </c>
    </row>
    <row r="5811" ht="-1">
      <c r="A5811" s="15"/>
      <c r="B5811" s="16" t="s">
        <v>56</v>
      </c>
      <c r="C5811" s="15"/>
      <c r="D5811" s="15"/>
      <c r="E5811" s="15"/>
      <c r="F5811" s="15"/>
      <c r="G5811" s="15"/>
      <c r="H5811" s="15"/>
      <c r="I5811" s="17" t="e">
        <f>=Round(SUM(I5785:I5810),0)</f>
        <v>#VALUE!</v>
      </c>
      <c r="J5811" s="17" t="e">
        <f>=Round(SUM(J5785:J5810),0)</f>
        <v>#VALUE!</v>
      </c>
    </row>
    <row r="5812">
      <c r="A5812" s="1" t="s">
        <v>0</v>
      </c>
      <c r="B5812" s="1"/>
      <c r="C5812" s="1"/>
      <c r="D5812" s="1"/>
    </row>
    <row r="5813">
      <c r="A5813" s="0" t="s">
        <v>1</v>
      </c>
      <c r="C5813" s="0" t="s">
        <v>213</v>
      </c>
      <c r="H5813" s="2" t="s">
        <v>3</v>
      </c>
    </row>
    <row r="5814">
      <c r="A5814" s="0" t="s">
        <v>4</v>
      </c>
      <c r="C5814" s="0" t="s">
        <v>208</v>
      </c>
      <c r="H5814" s="3" t="s">
        <v>6</v>
      </c>
    </row>
    <row r="5815">
      <c r="A5815" s="0" t="s">
        <v>7</v>
      </c>
      <c r="C5815" s="4" t="s">
        <v>8</v>
      </c>
      <c r="H5815" s="2" t="s">
        <v>9</v>
      </c>
    </row>
    <row r="5816">
      <c r="A5816" s="0" t="s">
        <v>10</v>
      </c>
      <c r="C5816" s="4" t="s">
        <v>11</v>
      </c>
      <c r="H5816" s="2" t="s">
        <v>12</v>
      </c>
    </row>
    <row r="5817">
      <c r="A5817" s="0" t="s">
        <v>13</v>
      </c>
      <c r="C5817" s="0" t="s">
        <v>14</v>
      </c>
    </row>
    <row r="5818">
      <c r="A5818" s="0" t="s">
        <v>15</v>
      </c>
      <c r="C5818" s="0" t="s">
        <v>16</v>
      </c>
    </row>
    <row r="5819">
      <c r="A5819" s="0" t="s">
        <v>17</v>
      </c>
      <c r="C5819" s="0" t="s">
        <v>18</v>
      </c>
    </row>
    <row r="5822">
      <c r="A5822" s="5" t="s">
        <v>19</v>
      </c>
      <c r="B5822" s="5" t="s">
        <v>20</v>
      </c>
      <c r="C5822" s="7" t="s">
        <v>21</v>
      </c>
      <c r="D5822" s="9"/>
      <c r="E5822" s="7" t="s">
        <v>22</v>
      </c>
      <c r="F5822" s="9"/>
      <c r="G5822" s="5" t="s">
        <v>23</v>
      </c>
      <c r="H5822" s="5" t="s">
        <v>24</v>
      </c>
      <c r="I5822" s="5" t="s">
        <v>25</v>
      </c>
      <c r="J5822" s="5" t="s">
        <v>26</v>
      </c>
    </row>
    <row r="5823">
      <c r="A5823" s="6"/>
      <c r="B5823" s="6"/>
      <c r="C5823" s="8" t="s">
        <v>27</v>
      </c>
      <c r="D5823" s="8" t="s">
        <v>28</v>
      </c>
      <c r="E5823" s="8" t="s">
        <v>27</v>
      </c>
      <c r="F5823" s="8" t="s">
        <v>28</v>
      </c>
      <c r="G5823" s="6"/>
      <c r="H5823" s="6"/>
      <c r="I5823" s="10" t="s">
        <v>29</v>
      </c>
      <c r="J5823" s="6"/>
    </row>
    <row r="5824">
      <c r="A5824" s="11" t="s">
        <v>30</v>
      </c>
      <c r="B5824" s="12">
        <v>990.2039</v>
      </c>
      <c r="C5824" s="12">
        <v>0</v>
      </c>
      <c r="D5824" s="13">
        <v>0</v>
      </c>
      <c r="E5824" s="12">
        <v>0</v>
      </c>
      <c r="F5824" s="14">
        <v>0</v>
      </c>
      <c r="G5824" s="13">
        <v>447000000</v>
      </c>
      <c r="H5824" s="14">
        <v>442621143300</v>
      </c>
      <c r="I5824" s="14" t="e">
        <f>=Round(9997101.32340000,0)</f>
        <v>#VALUE!</v>
      </c>
      <c r="J5824" s="14" t="e">
        <f>=Round(0.00000000,0)</f>
        <v>#VALUE!</v>
      </c>
    </row>
    <row r="5825">
      <c r="A5825" s="11" t="s">
        <v>31</v>
      </c>
      <c r="B5825" s="12">
        <v>994.2234</v>
      </c>
      <c r="C5825" s="12">
        <v>0</v>
      </c>
      <c r="D5825" s="13">
        <v>0</v>
      </c>
      <c r="E5825" s="12">
        <v>0</v>
      </c>
      <c r="F5825" s="14">
        <v>0</v>
      </c>
      <c r="G5825" s="13">
        <v>447000000</v>
      </c>
      <c r="H5825" s="14">
        <v>444417859800</v>
      </c>
      <c r="I5825" s="14" t="e">
        <f>=Round(9977115.93500000,0)</f>
        <v>#VALUE!</v>
      </c>
      <c r="J5825" s="14" t="e">
        <f>=Round(0.00000000,0)</f>
        <v>#VALUE!</v>
      </c>
    </row>
    <row r="5826">
      <c r="A5826" s="11" t="s">
        <v>32</v>
      </c>
      <c r="B5826" s="12">
        <v>996.1723</v>
      </c>
      <c r="C5826" s="12">
        <v>0</v>
      </c>
      <c r="D5826" s="13">
        <v>0</v>
      </c>
      <c r="E5826" s="12">
        <v>0</v>
      </c>
      <c r="F5826" s="14">
        <v>0</v>
      </c>
      <c r="G5826" s="13">
        <v>447000000</v>
      </c>
      <c r="H5826" s="14">
        <v>445289018100</v>
      </c>
      <c r="I5826" s="14" t="e">
        <f>=Round(10017615.69220000,0)</f>
        <v>#VALUE!</v>
      </c>
      <c r="J5826" s="14" t="e">
        <f>=Round(0.00000000,0)</f>
        <v>#VALUE!</v>
      </c>
    </row>
    <row r="5827">
      <c r="A5827" s="11" t="s">
        <v>33</v>
      </c>
      <c r="B5827" s="12">
        <v>997.4156</v>
      </c>
      <c r="C5827" s="12">
        <v>0</v>
      </c>
      <c r="D5827" s="13">
        <v>0</v>
      </c>
      <c r="E5827" s="12">
        <v>0</v>
      </c>
      <c r="F5827" s="14">
        <v>0</v>
      </c>
      <c r="G5827" s="13">
        <v>447000000</v>
      </c>
      <c r="H5827" s="14">
        <v>445844773200</v>
      </c>
      <c r="I5827" s="14" t="e">
        <f>=Round(10037252.45720000,0)</f>
        <v>#VALUE!</v>
      </c>
      <c r="J5827" s="14" t="e">
        <f>=Round(0.00000000,0)</f>
        <v>#VALUE!</v>
      </c>
    </row>
    <row r="5828">
      <c r="A5828" s="11" t="s">
        <v>34</v>
      </c>
      <c r="B5828" s="12">
        <v>998.0707</v>
      </c>
      <c r="C5828" s="12">
        <v>0</v>
      </c>
      <c r="D5828" s="13">
        <v>0</v>
      </c>
      <c r="E5828" s="12">
        <v>0</v>
      </c>
      <c r="F5828" s="14">
        <v>0</v>
      </c>
      <c r="G5828" s="13">
        <v>447000000</v>
      </c>
      <c r="H5828" s="14">
        <v>446137602900</v>
      </c>
      <c r="I5828" s="14" t="e">
        <f>=Round(10049779.72380000,0)</f>
        <v>#VALUE!</v>
      </c>
      <c r="J5828" s="14" t="e">
        <f>=Round(0.00000000,0)</f>
        <v>#VALUE!</v>
      </c>
    </row>
    <row r="5829">
      <c r="A5829" s="11" t="s">
        <v>35</v>
      </c>
      <c r="B5829" s="12">
        <v>998.0707</v>
      </c>
      <c r="C5829" s="12">
        <v>0</v>
      </c>
      <c r="D5829" s="13">
        <v>0</v>
      </c>
      <c r="E5829" s="12">
        <v>0</v>
      </c>
      <c r="F5829" s="14">
        <v>0</v>
      </c>
      <c r="G5829" s="13">
        <v>447000000</v>
      </c>
      <c r="H5829" s="14">
        <v>446137602900</v>
      </c>
      <c r="I5829" s="14" t="e">
        <f>=Round(10056380.39320000,0)</f>
        <v>#VALUE!</v>
      </c>
      <c r="J5829" s="14" t="e">
        <f>=Round(0.00000000,0)</f>
        <v>#VALUE!</v>
      </c>
    </row>
    <row r="5830">
      <c r="A5830" s="11" t="s">
        <v>36</v>
      </c>
      <c r="B5830" s="12">
        <v>998.0707</v>
      </c>
      <c r="C5830" s="12">
        <v>0</v>
      </c>
      <c r="D5830" s="13">
        <v>0</v>
      </c>
      <c r="E5830" s="12">
        <v>0</v>
      </c>
      <c r="F5830" s="14">
        <v>0</v>
      </c>
      <c r="G5830" s="13">
        <v>447000000</v>
      </c>
      <c r="H5830" s="14">
        <v>446137602900</v>
      </c>
      <c r="I5830" s="14" t="e">
        <f>=Round(10056380.39320000,0)</f>
        <v>#VALUE!</v>
      </c>
      <c r="J5830" s="14" t="e">
        <f>=Round(0.00000000,0)</f>
        <v>#VALUE!</v>
      </c>
    </row>
    <row r="5831">
      <c r="A5831" s="11" t="s">
        <v>37</v>
      </c>
      <c r="B5831" s="12">
        <v>996.3511</v>
      </c>
      <c r="C5831" s="12">
        <v>0</v>
      </c>
      <c r="D5831" s="13">
        <v>0</v>
      </c>
      <c r="E5831" s="12">
        <v>0</v>
      </c>
      <c r="F5831" s="14">
        <v>0</v>
      </c>
      <c r="G5831" s="13">
        <v>447000000</v>
      </c>
      <c r="H5831" s="14">
        <v>445368941700</v>
      </c>
      <c r="I5831" s="14" t="e">
        <f>=Round(10056380.39320000,0)</f>
        <v>#VALUE!</v>
      </c>
      <c r="J5831" s="14" t="e">
        <f>=Round(0.00000000,0)</f>
        <v>#VALUE!</v>
      </c>
    </row>
    <row r="5832">
      <c r="A5832" s="11" t="s">
        <v>38</v>
      </c>
      <c r="B5832" s="12">
        <v>995.9847</v>
      </c>
      <c r="C5832" s="12">
        <v>0</v>
      </c>
      <c r="D5832" s="13">
        <v>0</v>
      </c>
      <c r="E5832" s="12">
        <v>0</v>
      </c>
      <c r="F5832" s="14">
        <v>0</v>
      </c>
      <c r="G5832" s="13">
        <v>447000000</v>
      </c>
      <c r="H5832" s="14">
        <v>445205160900</v>
      </c>
      <c r="I5832" s="14" t="e">
        <f>=Round(10039054.01370000,0)</f>
        <v>#VALUE!</v>
      </c>
      <c r="J5832" s="14" t="e">
        <f>=Round(0.00000000,0)</f>
        <v>#VALUE!</v>
      </c>
    </row>
    <row r="5833">
      <c r="A5833" s="11" t="s">
        <v>39</v>
      </c>
      <c r="B5833" s="12">
        <v>994.2938</v>
      </c>
      <c r="C5833" s="12">
        <v>0</v>
      </c>
      <c r="D5833" s="13">
        <v>0</v>
      </c>
      <c r="E5833" s="12">
        <v>0</v>
      </c>
      <c r="F5833" s="14">
        <v>0</v>
      </c>
      <c r="G5833" s="13">
        <v>447000000</v>
      </c>
      <c r="H5833" s="14">
        <v>444449328600</v>
      </c>
      <c r="I5833" s="14" t="e">
        <f>=Round(10035362.23340000,0)</f>
        <v>#VALUE!</v>
      </c>
      <c r="J5833" s="14" t="e">
        <f>=Round(0.00000000,0)</f>
        <v>#VALUE!</v>
      </c>
    </row>
    <row r="5834">
      <c r="A5834" s="11" t="s">
        <v>40</v>
      </c>
      <c r="B5834" s="12">
        <v>992.704</v>
      </c>
      <c r="C5834" s="12">
        <v>0</v>
      </c>
      <c r="D5834" s="13">
        <v>0</v>
      </c>
      <c r="E5834" s="12">
        <v>0</v>
      </c>
      <c r="F5834" s="14">
        <v>0</v>
      </c>
      <c r="G5834" s="13">
        <v>447000000</v>
      </c>
      <c r="H5834" s="14">
        <v>443738688000</v>
      </c>
      <c r="I5834" s="14" t="e">
        <f>=Round(10018325.02990000,0)</f>
        <v>#VALUE!</v>
      </c>
      <c r="J5834" s="14" t="e">
        <f>=Round(0.00000000,0)</f>
        <v>#VALUE!</v>
      </c>
    </row>
    <row r="5835">
      <c r="A5835" s="11" t="s">
        <v>41</v>
      </c>
      <c r="B5835" s="12">
        <v>992.4763</v>
      </c>
      <c r="C5835" s="12">
        <v>0</v>
      </c>
      <c r="D5835" s="13">
        <v>0</v>
      </c>
      <c r="E5835" s="12">
        <v>0</v>
      </c>
      <c r="F5835" s="14">
        <v>0</v>
      </c>
      <c r="G5835" s="13">
        <v>447000000</v>
      </c>
      <c r="H5835" s="14">
        <v>443636906100</v>
      </c>
      <c r="I5835" s="14" t="e">
        <f>=Round(10002306.49180000,0)</f>
        <v>#VALUE!</v>
      </c>
      <c r="J5835" s="14" t="e">
        <f>=Round(0.00000000,0)</f>
        <v>#VALUE!</v>
      </c>
    </row>
    <row r="5836">
      <c r="A5836" s="11" t="s">
        <v>42</v>
      </c>
      <c r="B5836" s="12">
        <v>992.4763</v>
      </c>
      <c r="C5836" s="12">
        <v>0</v>
      </c>
      <c r="D5836" s="13">
        <v>0</v>
      </c>
      <c r="E5836" s="12">
        <v>0</v>
      </c>
      <c r="F5836" s="14">
        <v>0</v>
      </c>
      <c r="G5836" s="13">
        <v>447000000</v>
      </c>
      <c r="H5836" s="14">
        <v>443636906100</v>
      </c>
      <c r="I5836" s="14" t="e">
        <f>=Round(10000012.22770000,0)</f>
        <v>#VALUE!</v>
      </c>
      <c r="J5836" s="14" t="e">
        <f>=Round(0.00000000,0)</f>
        <v>#VALUE!</v>
      </c>
    </row>
    <row r="5837">
      <c r="A5837" s="11" t="s">
        <v>43</v>
      </c>
      <c r="B5837" s="12">
        <v>992.4763</v>
      </c>
      <c r="C5837" s="12">
        <v>0</v>
      </c>
      <c r="D5837" s="13">
        <v>0</v>
      </c>
      <c r="E5837" s="12">
        <v>0</v>
      </c>
      <c r="F5837" s="14">
        <v>0</v>
      </c>
      <c r="G5837" s="13">
        <v>447000000</v>
      </c>
      <c r="H5837" s="14">
        <v>443636906100</v>
      </c>
      <c r="I5837" s="14" t="e">
        <f>=Round(10000012.22770000,0)</f>
        <v>#VALUE!</v>
      </c>
      <c r="J5837" s="14" t="e">
        <f>=Round(0.00000000,0)</f>
        <v>#VALUE!</v>
      </c>
    </row>
    <row r="5838">
      <c r="A5838" s="11" t="s">
        <v>44</v>
      </c>
      <c r="B5838" s="12">
        <v>993.1569</v>
      </c>
      <c r="C5838" s="12">
        <v>0</v>
      </c>
      <c r="D5838" s="13">
        <v>0</v>
      </c>
      <c r="E5838" s="12">
        <v>0</v>
      </c>
      <c r="F5838" s="14">
        <v>0</v>
      </c>
      <c r="G5838" s="13">
        <v>447000000</v>
      </c>
      <c r="H5838" s="14">
        <v>443941134300</v>
      </c>
      <c r="I5838" s="14" t="e">
        <f>=Round(10000012.22770000,0)</f>
        <v>#VALUE!</v>
      </c>
      <c r="J5838" s="14" t="e">
        <f>=Round(0.00000000,0)</f>
        <v>#VALUE!</v>
      </c>
    </row>
    <row r="5839">
      <c r="A5839" s="11" t="s">
        <v>45</v>
      </c>
      <c r="B5839" s="12">
        <v>994.6183</v>
      </c>
      <c r="C5839" s="12">
        <v>0</v>
      </c>
      <c r="D5839" s="13">
        <v>0</v>
      </c>
      <c r="E5839" s="12">
        <v>0</v>
      </c>
      <c r="F5839" s="14">
        <v>0</v>
      </c>
      <c r="G5839" s="13">
        <v>447000000</v>
      </c>
      <c r="H5839" s="14">
        <v>444594380100</v>
      </c>
      <c r="I5839" s="14" t="e">
        <f>=Round(10006869.83050000,0)</f>
        <v>#VALUE!</v>
      </c>
      <c r="J5839" s="14" t="e">
        <f>=Round(0.00000000,0)</f>
        <v>#VALUE!</v>
      </c>
    </row>
    <row r="5840">
      <c r="A5840" s="11" t="s">
        <v>46</v>
      </c>
      <c r="B5840" s="12">
        <v>996.9019</v>
      </c>
      <c r="C5840" s="12">
        <v>0</v>
      </c>
      <c r="D5840" s="13">
        <v>0</v>
      </c>
      <c r="E5840" s="12">
        <v>0</v>
      </c>
      <c r="F5840" s="14">
        <v>0</v>
      </c>
      <c r="G5840" s="13">
        <v>447000000</v>
      </c>
      <c r="H5840" s="14">
        <v>445615149300</v>
      </c>
      <c r="I5840" s="14" t="e">
        <f>=Round(10021594.63340000,0)</f>
        <v>#VALUE!</v>
      </c>
      <c r="J5840" s="14" t="e">
        <f>=Round(0.00000000,0)</f>
        <v>#VALUE!</v>
      </c>
    </row>
    <row r="5841">
      <c r="A5841" s="11" t="s">
        <v>47</v>
      </c>
      <c r="B5841" s="12">
        <v>997.9527</v>
      </c>
      <c r="C5841" s="12">
        <v>0</v>
      </c>
      <c r="D5841" s="13">
        <v>0</v>
      </c>
      <c r="E5841" s="12">
        <v>0</v>
      </c>
      <c r="F5841" s="14">
        <v>0</v>
      </c>
      <c r="G5841" s="13">
        <v>447000000</v>
      </c>
      <c r="H5841" s="14">
        <v>446084856900</v>
      </c>
      <c r="I5841" s="14" t="e">
        <f>=Round(10044603.77520000,0)</f>
        <v>#VALUE!</v>
      </c>
      <c r="J5841" s="14" t="e">
        <f>=Round(0.00000000,0)</f>
        <v>#VALUE!</v>
      </c>
    </row>
    <row r="5842">
      <c r="A5842" s="11" t="s">
        <v>48</v>
      </c>
      <c r="B5842" s="12">
        <v>995.7068</v>
      </c>
      <c r="C5842" s="12">
        <v>0</v>
      </c>
      <c r="D5842" s="13">
        <v>0</v>
      </c>
      <c r="E5842" s="12">
        <v>0</v>
      </c>
      <c r="F5842" s="14">
        <v>0</v>
      </c>
      <c r="G5842" s="13">
        <v>447000000</v>
      </c>
      <c r="H5842" s="14">
        <v>445080939600</v>
      </c>
      <c r="I5842" s="14" t="e">
        <f>=Round(10055191.44650000,0)</f>
        <v>#VALUE!</v>
      </c>
      <c r="J5842" s="14" t="e">
        <f>=Round(0.00000000,0)</f>
        <v>#VALUE!</v>
      </c>
    </row>
    <row r="5843">
      <c r="A5843" s="11" t="s">
        <v>49</v>
      </c>
      <c r="B5843" s="12">
        <v>995.7068</v>
      </c>
      <c r="C5843" s="12">
        <v>0</v>
      </c>
      <c r="D5843" s="13">
        <v>0</v>
      </c>
      <c r="E5843" s="12">
        <v>0</v>
      </c>
      <c r="F5843" s="14">
        <v>0</v>
      </c>
      <c r="G5843" s="13">
        <v>447000000</v>
      </c>
      <c r="H5843" s="14">
        <v>445080939600</v>
      </c>
      <c r="I5843" s="14" t="e">
        <f>=Round(10032562.16310000,0)</f>
        <v>#VALUE!</v>
      </c>
      <c r="J5843" s="14" t="e">
        <f>=Round(0.00000000,0)</f>
        <v>#VALUE!</v>
      </c>
    </row>
    <row r="5844">
      <c r="A5844" s="11" t="s">
        <v>50</v>
      </c>
      <c r="B5844" s="12">
        <v>995.7068</v>
      </c>
      <c r="C5844" s="12">
        <v>0</v>
      </c>
      <c r="D5844" s="13">
        <v>0</v>
      </c>
      <c r="E5844" s="12">
        <v>0</v>
      </c>
      <c r="F5844" s="14">
        <v>0</v>
      </c>
      <c r="G5844" s="13">
        <v>447000000</v>
      </c>
      <c r="H5844" s="14">
        <v>445080939600</v>
      </c>
      <c r="I5844" s="14" t="e">
        <f>=Round(10032562.16310000,0)</f>
        <v>#VALUE!</v>
      </c>
      <c r="J5844" s="14" t="e">
        <f>=Round(0.00000000,0)</f>
        <v>#VALUE!</v>
      </c>
    </row>
    <row r="5845">
      <c r="A5845" s="11" t="s">
        <v>51</v>
      </c>
      <c r="B5845" s="12">
        <v>991.7293</v>
      </c>
      <c r="C5845" s="12">
        <v>0</v>
      </c>
      <c r="D5845" s="13">
        <v>0</v>
      </c>
      <c r="E5845" s="12">
        <v>0</v>
      </c>
      <c r="F5845" s="14">
        <v>0</v>
      </c>
      <c r="G5845" s="13">
        <v>447000000</v>
      </c>
      <c r="H5845" s="14">
        <v>443302997100</v>
      </c>
      <c r="I5845" s="14" t="e">
        <f>=Round(10032562.16310000,0)</f>
        <v>#VALUE!</v>
      </c>
      <c r="J5845" s="14" t="e">
        <f>=Round(0.00000000,0)</f>
        <v>#VALUE!</v>
      </c>
    </row>
    <row r="5846">
      <c r="A5846" s="11" t="s">
        <v>52</v>
      </c>
      <c r="B5846" s="12">
        <v>991.8554</v>
      </c>
      <c r="C5846" s="12">
        <v>0</v>
      </c>
      <c r="D5846" s="13">
        <v>0</v>
      </c>
      <c r="E5846" s="12">
        <v>0</v>
      </c>
      <c r="F5846" s="14">
        <v>0</v>
      </c>
      <c r="G5846" s="13">
        <v>447000000</v>
      </c>
      <c r="H5846" s="14">
        <v>443359363800</v>
      </c>
      <c r="I5846" s="14" t="e">
        <f>=Round(9992485.59040000,0)</f>
        <v>#VALUE!</v>
      </c>
      <c r="J5846" s="14" t="e">
        <f>=Round(0.00000000,0)</f>
        <v>#VALUE!</v>
      </c>
    </row>
    <row r="5847">
      <c r="A5847" s="11" t="s">
        <v>53</v>
      </c>
      <c r="B5847" s="12">
        <v>988.3415</v>
      </c>
      <c r="C5847" s="12">
        <v>0</v>
      </c>
      <c r="D5847" s="13">
        <v>0</v>
      </c>
      <c r="E5847" s="12">
        <v>0</v>
      </c>
      <c r="F5847" s="14">
        <v>0</v>
      </c>
      <c r="G5847" s="13">
        <v>447000000</v>
      </c>
      <c r="H5847" s="14">
        <v>441788650500</v>
      </c>
      <c r="I5847" s="14" t="e">
        <f>=Round(9993756.15120000,0)</f>
        <v>#VALUE!</v>
      </c>
      <c r="J5847" s="14" t="e">
        <f>=Round(0.00000000,0)</f>
        <v>#VALUE!</v>
      </c>
    </row>
    <row r="5848">
      <c r="A5848" s="11" t="s">
        <v>54</v>
      </c>
      <c r="B5848" s="12">
        <v>981.3224</v>
      </c>
      <c r="C5848" s="12">
        <v>0</v>
      </c>
      <c r="D5848" s="13">
        <v>0</v>
      </c>
      <c r="E5848" s="12">
        <v>0</v>
      </c>
      <c r="F5848" s="14">
        <v>0</v>
      </c>
      <c r="G5848" s="13">
        <v>447000000</v>
      </c>
      <c r="H5848" s="14">
        <v>438651112800</v>
      </c>
      <c r="I5848" s="14" t="e">
        <f>=Round(9958350.72850000,0)</f>
        <v>#VALUE!</v>
      </c>
      <c r="J5848" s="14" t="e">
        <f>=Round(0.00000000,0)</f>
        <v>#VALUE!</v>
      </c>
    </row>
    <row r="5849">
      <c r="A5849" s="11" t="s">
        <v>55</v>
      </c>
      <c r="B5849" s="12">
        <v>975.9209</v>
      </c>
      <c r="C5849" s="12">
        <v>0</v>
      </c>
      <c r="D5849" s="13">
        <v>0</v>
      </c>
      <c r="E5849" s="12">
        <v>0</v>
      </c>
      <c r="F5849" s="14">
        <v>0</v>
      </c>
      <c r="G5849" s="13">
        <v>447000000</v>
      </c>
      <c r="H5849" s="14">
        <v>436236642300</v>
      </c>
      <c r="I5849" s="14" t="e">
        <f>=Round(9887627.54260000,0)</f>
        <v>#VALUE!</v>
      </c>
      <c r="J5849" s="14" t="e">
        <f>=Round(0.00000000,0)</f>
        <v>#VALUE!</v>
      </c>
    </row>
    <row r="5850" ht="-1">
      <c r="A5850" s="15"/>
      <c r="B5850" s="16" t="s">
        <v>56</v>
      </c>
      <c r="C5850" s="15"/>
      <c r="D5850" s="15"/>
      <c r="E5850" s="15"/>
      <c r="F5850" s="15"/>
      <c r="G5850" s="15"/>
      <c r="H5850" s="15"/>
      <c r="I5850" s="17" t="e">
        <f>=Round(SUM(I5824:I5849),0)</f>
        <v>#VALUE!</v>
      </c>
      <c r="J5850" s="17" t="e">
        <f>=Round(SUM(J5824:J5849),0)</f>
        <v>#VALUE!</v>
      </c>
    </row>
    <row r="5851">
      <c r="A5851" s="1" t="s">
        <v>0</v>
      </c>
      <c r="B5851" s="1"/>
      <c r="C5851" s="1"/>
      <c r="D5851" s="1"/>
    </row>
    <row r="5852">
      <c r="A5852" s="0" t="s">
        <v>1</v>
      </c>
      <c r="C5852" s="0" t="s">
        <v>213</v>
      </c>
      <c r="H5852" s="2" t="s">
        <v>3</v>
      </c>
    </row>
    <row r="5853">
      <c r="A5853" s="0" t="s">
        <v>4</v>
      </c>
      <c r="C5853" s="0" t="s">
        <v>215</v>
      </c>
      <c r="H5853" s="3" t="s">
        <v>6</v>
      </c>
    </row>
    <row r="5854">
      <c r="A5854" s="0" t="s">
        <v>7</v>
      </c>
      <c r="C5854" s="4" t="s">
        <v>8</v>
      </c>
      <c r="H5854" s="2" t="s">
        <v>9</v>
      </c>
    </row>
    <row r="5855">
      <c r="A5855" s="0" t="s">
        <v>10</v>
      </c>
      <c r="C5855" s="4" t="s">
        <v>11</v>
      </c>
      <c r="H5855" s="2" t="s">
        <v>12</v>
      </c>
    </row>
    <row r="5856">
      <c r="A5856" s="0" t="s">
        <v>13</v>
      </c>
      <c r="C5856" s="0" t="s">
        <v>14</v>
      </c>
    </row>
    <row r="5857">
      <c r="A5857" s="0" t="s">
        <v>15</v>
      </c>
      <c r="C5857" s="0" t="s">
        <v>16</v>
      </c>
    </row>
    <row r="5858">
      <c r="A5858" s="0" t="s">
        <v>17</v>
      </c>
      <c r="C5858" s="0" t="s">
        <v>18</v>
      </c>
    </row>
    <row r="5861">
      <c r="A5861" s="5" t="s">
        <v>19</v>
      </c>
      <c r="B5861" s="5" t="s">
        <v>20</v>
      </c>
      <c r="C5861" s="7" t="s">
        <v>21</v>
      </c>
      <c r="D5861" s="9"/>
      <c r="E5861" s="7" t="s">
        <v>22</v>
      </c>
      <c r="F5861" s="9"/>
      <c r="G5861" s="5" t="s">
        <v>23</v>
      </c>
      <c r="H5861" s="5" t="s">
        <v>24</v>
      </c>
      <c r="I5861" s="5" t="s">
        <v>25</v>
      </c>
      <c r="J5861" s="5" t="s">
        <v>26</v>
      </c>
    </row>
    <row r="5862">
      <c r="A5862" s="6"/>
      <c r="B5862" s="6"/>
      <c r="C5862" s="8" t="s">
        <v>27</v>
      </c>
      <c r="D5862" s="8" t="s">
        <v>28</v>
      </c>
      <c r="E5862" s="8" t="s">
        <v>27</v>
      </c>
      <c r="F5862" s="8" t="s">
        <v>28</v>
      </c>
      <c r="G5862" s="6"/>
      <c r="H5862" s="6"/>
      <c r="I5862" s="10" t="s">
        <v>29</v>
      </c>
      <c r="J5862" s="6"/>
    </row>
    <row r="5863">
      <c r="A5863" s="11" t="s">
        <v>30</v>
      </c>
      <c r="B5863" s="12">
        <v>990.2039</v>
      </c>
      <c r="C5863" s="12">
        <v>0</v>
      </c>
      <c r="D5863" s="13">
        <v>0</v>
      </c>
      <c r="E5863" s="12">
        <v>0</v>
      </c>
      <c r="F5863" s="14">
        <v>0</v>
      </c>
      <c r="G5863" s="13">
        <v>12000000</v>
      </c>
      <c r="H5863" s="14">
        <v>11882446800</v>
      </c>
      <c r="I5863" s="14" t="e">
        <f>=Round(268378.55900000,0)</f>
        <v>#VALUE!</v>
      </c>
      <c r="J5863" s="14" t="e">
        <f>=Round(0.00000000,0)</f>
        <v>#VALUE!</v>
      </c>
    </row>
    <row r="5864">
      <c r="A5864" s="11" t="s">
        <v>31</v>
      </c>
      <c r="B5864" s="12">
        <v>994.2234</v>
      </c>
      <c r="C5864" s="12">
        <v>0</v>
      </c>
      <c r="D5864" s="13">
        <v>0</v>
      </c>
      <c r="E5864" s="12">
        <v>0</v>
      </c>
      <c r="F5864" s="14">
        <v>0</v>
      </c>
      <c r="G5864" s="13">
        <v>12000000</v>
      </c>
      <c r="H5864" s="14">
        <v>11930680800</v>
      </c>
      <c r="I5864" s="14" t="e">
        <f>=Round(267842.03850000,0)</f>
        <v>#VALUE!</v>
      </c>
      <c r="J5864" s="14" t="e">
        <f>=Round(0.00000000,0)</f>
        <v>#VALUE!</v>
      </c>
    </row>
    <row r="5865">
      <c r="A5865" s="11" t="s">
        <v>32</v>
      </c>
      <c r="B5865" s="12">
        <v>996.1723</v>
      </c>
      <c r="C5865" s="12">
        <v>0</v>
      </c>
      <c r="D5865" s="13">
        <v>0</v>
      </c>
      <c r="E5865" s="12">
        <v>0</v>
      </c>
      <c r="F5865" s="14">
        <v>0</v>
      </c>
      <c r="G5865" s="13">
        <v>12000000</v>
      </c>
      <c r="H5865" s="14">
        <v>11954067600</v>
      </c>
      <c r="I5865" s="14" t="e">
        <f>=Round(268929.28030000,0)</f>
        <v>#VALUE!</v>
      </c>
      <c r="J5865" s="14" t="e">
        <f>=Round(0.00000000,0)</f>
        <v>#VALUE!</v>
      </c>
    </row>
    <row r="5866">
      <c r="A5866" s="11" t="s">
        <v>33</v>
      </c>
      <c r="B5866" s="12">
        <v>997.4156</v>
      </c>
      <c r="C5866" s="12">
        <v>0</v>
      </c>
      <c r="D5866" s="13">
        <v>0</v>
      </c>
      <c r="E5866" s="12">
        <v>0</v>
      </c>
      <c r="F5866" s="14">
        <v>0</v>
      </c>
      <c r="G5866" s="13">
        <v>12000000</v>
      </c>
      <c r="H5866" s="14">
        <v>11968987200</v>
      </c>
      <c r="I5866" s="14" t="e">
        <f>=Round(269456.44180000,0)</f>
        <v>#VALUE!</v>
      </c>
      <c r="J5866" s="14" t="e">
        <f>=Round(0.00000000,0)</f>
        <v>#VALUE!</v>
      </c>
    </row>
    <row r="5867">
      <c r="A5867" s="11" t="s">
        <v>34</v>
      </c>
      <c r="B5867" s="12">
        <v>998.0707</v>
      </c>
      <c r="C5867" s="12">
        <v>0</v>
      </c>
      <c r="D5867" s="13">
        <v>0</v>
      </c>
      <c r="E5867" s="12">
        <v>0</v>
      </c>
      <c r="F5867" s="14">
        <v>0</v>
      </c>
      <c r="G5867" s="13">
        <v>12000000</v>
      </c>
      <c r="H5867" s="14">
        <v>11976848400</v>
      </c>
      <c r="I5867" s="14" t="e">
        <f>=Round(269792.74430000,0)</f>
        <v>#VALUE!</v>
      </c>
      <c r="J5867" s="14" t="e">
        <f>=Round(0.00000000,0)</f>
        <v>#VALUE!</v>
      </c>
    </row>
    <row r="5868">
      <c r="A5868" s="11" t="s">
        <v>35</v>
      </c>
      <c r="B5868" s="12">
        <v>998.0707</v>
      </c>
      <c r="C5868" s="12">
        <v>0</v>
      </c>
      <c r="D5868" s="13">
        <v>0</v>
      </c>
      <c r="E5868" s="12">
        <v>0</v>
      </c>
      <c r="F5868" s="14">
        <v>0</v>
      </c>
      <c r="G5868" s="13">
        <v>12000000</v>
      </c>
      <c r="H5868" s="14">
        <v>11976848400</v>
      </c>
      <c r="I5868" s="14" t="e">
        <f>=Round(269969.94340000,0)</f>
        <v>#VALUE!</v>
      </c>
      <c r="J5868" s="14" t="e">
        <f>=Round(0.00000000,0)</f>
        <v>#VALUE!</v>
      </c>
    </row>
    <row r="5869">
      <c r="A5869" s="11" t="s">
        <v>36</v>
      </c>
      <c r="B5869" s="12">
        <v>998.0707</v>
      </c>
      <c r="C5869" s="12">
        <v>0</v>
      </c>
      <c r="D5869" s="13">
        <v>0</v>
      </c>
      <c r="E5869" s="12">
        <v>0</v>
      </c>
      <c r="F5869" s="14">
        <v>0</v>
      </c>
      <c r="G5869" s="13">
        <v>12000000</v>
      </c>
      <c r="H5869" s="14">
        <v>11976848400</v>
      </c>
      <c r="I5869" s="14" t="e">
        <f>=Round(269969.94340000,0)</f>
        <v>#VALUE!</v>
      </c>
      <c r="J5869" s="14" t="e">
        <f>=Round(0.00000000,0)</f>
        <v>#VALUE!</v>
      </c>
    </row>
    <row r="5870">
      <c r="A5870" s="11" t="s">
        <v>37</v>
      </c>
      <c r="B5870" s="12">
        <v>996.3511</v>
      </c>
      <c r="C5870" s="12">
        <v>0</v>
      </c>
      <c r="D5870" s="13">
        <v>0</v>
      </c>
      <c r="E5870" s="12">
        <v>0</v>
      </c>
      <c r="F5870" s="14">
        <v>0</v>
      </c>
      <c r="G5870" s="13">
        <v>12000000</v>
      </c>
      <c r="H5870" s="14">
        <v>11956213200</v>
      </c>
      <c r="I5870" s="14" t="e">
        <f>=Round(269969.94340000,0)</f>
        <v>#VALUE!</v>
      </c>
      <c r="J5870" s="14" t="e">
        <f>=Round(0.00000000,0)</f>
        <v>#VALUE!</v>
      </c>
    </row>
    <row r="5871">
      <c r="A5871" s="11" t="s">
        <v>38</v>
      </c>
      <c r="B5871" s="12">
        <v>995.9847</v>
      </c>
      <c r="C5871" s="12">
        <v>0</v>
      </c>
      <c r="D5871" s="13">
        <v>0</v>
      </c>
      <c r="E5871" s="12">
        <v>0</v>
      </c>
      <c r="F5871" s="14">
        <v>0</v>
      </c>
      <c r="G5871" s="13">
        <v>12000000</v>
      </c>
      <c r="H5871" s="14">
        <v>11951816400</v>
      </c>
      <c r="I5871" s="14" t="e">
        <f>=Round(269504.80570000,0)</f>
        <v>#VALUE!</v>
      </c>
      <c r="J5871" s="14" t="e">
        <f>=Round(0.00000000,0)</f>
        <v>#VALUE!</v>
      </c>
    </row>
    <row r="5872">
      <c r="A5872" s="11" t="s">
        <v>39</v>
      </c>
      <c r="B5872" s="12">
        <v>994.2938</v>
      </c>
      <c r="C5872" s="12">
        <v>0</v>
      </c>
      <c r="D5872" s="13">
        <v>0</v>
      </c>
      <c r="E5872" s="12">
        <v>0</v>
      </c>
      <c r="F5872" s="14">
        <v>0</v>
      </c>
      <c r="G5872" s="13">
        <v>12000000</v>
      </c>
      <c r="H5872" s="14">
        <v>11931525600</v>
      </c>
      <c r="I5872" s="14" t="e">
        <f>=Round(269405.69750000,0)</f>
        <v>#VALUE!</v>
      </c>
      <c r="J5872" s="14" t="e">
        <f>=Round(0.00000000,0)</f>
        <v>#VALUE!</v>
      </c>
    </row>
    <row r="5873">
      <c r="A5873" s="11" t="s">
        <v>40</v>
      </c>
      <c r="B5873" s="12">
        <v>992.704</v>
      </c>
      <c r="C5873" s="12">
        <v>0</v>
      </c>
      <c r="D5873" s="13">
        <v>0</v>
      </c>
      <c r="E5873" s="12">
        <v>0</v>
      </c>
      <c r="F5873" s="14">
        <v>0</v>
      </c>
      <c r="G5873" s="13">
        <v>12000000</v>
      </c>
      <c r="H5873" s="14">
        <v>11912448000</v>
      </c>
      <c r="I5873" s="14" t="e">
        <f>=Round(268948.32300000,0)</f>
        <v>#VALUE!</v>
      </c>
      <c r="J5873" s="14" t="e">
        <f>=Round(0.00000000,0)</f>
        <v>#VALUE!</v>
      </c>
    </row>
    <row r="5874">
      <c r="A5874" s="11" t="s">
        <v>41</v>
      </c>
      <c r="B5874" s="12">
        <v>992.4763</v>
      </c>
      <c r="C5874" s="12">
        <v>0</v>
      </c>
      <c r="D5874" s="13">
        <v>0</v>
      </c>
      <c r="E5874" s="12">
        <v>0</v>
      </c>
      <c r="F5874" s="14">
        <v>0</v>
      </c>
      <c r="G5874" s="13">
        <v>12000000</v>
      </c>
      <c r="H5874" s="14">
        <v>11909715600</v>
      </c>
      <c r="I5874" s="14" t="e">
        <f>=Round(268518.29510000,0)</f>
        <v>#VALUE!</v>
      </c>
      <c r="J5874" s="14" t="e">
        <f>=Round(0.00000000,0)</f>
        <v>#VALUE!</v>
      </c>
    </row>
    <row r="5875">
      <c r="A5875" s="11" t="s">
        <v>42</v>
      </c>
      <c r="B5875" s="12">
        <v>992.4763</v>
      </c>
      <c r="C5875" s="12">
        <v>0</v>
      </c>
      <c r="D5875" s="13">
        <v>0</v>
      </c>
      <c r="E5875" s="12">
        <v>0</v>
      </c>
      <c r="F5875" s="14">
        <v>0</v>
      </c>
      <c r="G5875" s="13">
        <v>12000000</v>
      </c>
      <c r="H5875" s="14">
        <v>11909715600</v>
      </c>
      <c r="I5875" s="14" t="e">
        <f>=Round(268456.70410000,0)</f>
        <v>#VALUE!</v>
      </c>
      <c r="J5875" s="14" t="e">
        <f>=Round(0.00000000,0)</f>
        <v>#VALUE!</v>
      </c>
    </row>
    <row r="5876">
      <c r="A5876" s="11" t="s">
        <v>43</v>
      </c>
      <c r="B5876" s="12">
        <v>992.4763</v>
      </c>
      <c r="C5876" s="12">
        <v>0</v>
      </c>
      <c r="D5876" s="13">
        <v>0</v>
      </c>
      <c r="E5876" s="12">
        <v>0</v>
      </c>
      <c r="F5876" s="14">
        <v>0</v>
      </c>
      <c r="G5876" s="13">
        <v>12000000</v>
      </c>
      <c r="H5876" s="14">
        <v>11909715600</v>
      </c>
      <c r="I5876" s="14" t="e">
        <f>=Round(268456.70410000,0)</f>
        <v>#VALUE!</v>
      </c>
      <c r="J5876" s="14" t="e">
        <f>=Round(0.00000000,0)</f>
        <v>#VALUE!</v>
      </c>
    </row>
    <row r="5877">
      <c r="A5877" s="11" t="s">
        <v>44</v>
      </c>
      <c r="B5877" s="12">
        <v>993.1569</v>
      </c>
      <c r="C5877" s="12">
        <v>0</v>
      </c>
      <c r="D5877" s="13">
        <v>0</v>
      </c>
      <c r="E5877" s="12">
        <v>0</v>
      </c>
      <c r="F5877" s="14">
        <v>0</v>
      </c>
      <c r="G5877" s="13">
        <v>12000000</v>
      </c>
      <c r="H5877" s="14">
        <v>11917882800</v>
      </c>
      <c r="I5877" s="14" t="e">
        <f>=Round(268456.70410000,0)</f>
        <v>#VALUE!</v>
      </c>
      <c r="J5877" s="14" t="e">
        <f>=Round(0.00000000,0)</f>
        <v>#VALUE!</v>
      </c>
    </row>
    <row r="5878">
      <c r="A5878" s="11" t="s">
        <v>45</v>
      </c>
      <c r="B5878" s="12">
        <v>994.6183</v>
      </c>
      <c r="C5878" s="12">
        <v>0</v>
      </c>
      <c r="D5878" s="13">
        <v>0</v>
      </c>
      <c r="E5878" s="12">
        <v>0</v>
      </c>
      <c r="F5878" s="14">
        <v>0</v>
      </c>
      <c r="G5878" s="13">
        <v>12000000</v>
      </c>
      <c r="H5878" s="14">
        <v>11935419600</v>
      </c>
      <c r="I5878" s="14" t="e">
        <f>=Round(268640.80080000,0)</f>
        <v>#VALUE!</v>
      </c>
      <c r="J5878" s="14" t="e">
        <f>=Round(0.00000000,0)</f>
        <v>#VALUE!</v>
      </c>
    </row>
    <row r="5879">
      <c r="A5879" s="11" t="s">
        <v>46</v>
      </c>
      <c r="B5879" s="12">
        <v>996.9019</v>
      </c>
      <c r="C5879" s="12">
        <v>0</v>
      </c>
      <c r="D5879" s="13">
        <v>0</v>
      </c>
      <c r="E5879" s="12">
        <v>0</v>
      </c>
      <c r="F5879" s="14">
        <v>0</v>
      </c>
      <c r="G5879" s="13">
        <v>12000000</v>
      </c>
      <c r="H5879" s="14">
        <v>11962822800</v>
      </c>
      <c r="I5879" s="14" t="e">
        <f>=Round(269036.09750000,0)</f>
        <v>#VALUE!</v>
      </c>
      <c r="J5879" s="14" t="e">
        <f>=Round(0.00000000,0)</f>
        <v>#VALUE!</v>
      </c>
    </row>
    <row r="5880">
      <c r="A5880" s="11" t="s">
        <v>47</v>
      </c>
      <c r="B5880" s="12">
        <v>997.9527</v>
      </c>
      <c r="C5880" s="12">
        <v>0</v>
      </c>
      <c r="D5880" s="13">
        <v>0</v>
      </c>
      <c r="E5880" s="12">
        <v>0</v>
      </c>
      <c r="F5880" s="14">
        <v>0</v>
      </c>
      <c r="G5880" s="13">
        <v>12000000</v>
      </c>
      <c r="H5880" s="14">
        <v>11975432400</v>
      </c>
      <c r="I5880" s="14" t="e">
        <f>=Round(269653.79260000,0)</f>
        <v>#VALUE!</v>
      </c>
      <c r="J5880" s="14" t="e">
        <f>=Round(0.00000000,0)</f>
        <v>#VALUE!</v>
      </c>
    </row>
    <row r="5881">
      <c r="A5881" s="11" t="s">
        <v>48</v>
      </c>
      <c r="B5881" s="12">
        <v>995.7068</v>
      </c>
      <c r="C5881" s="12">
        <v>0</v>
      </c>
      <c r="D5881" s="13">
        <v>0</v>
      </c>
      <c r="E5881" s="12">
        <v>0</v>
      </c>
      <c r="F5881" s="14">
        <v>0</v>
      </c>
      <c r="G5881" s="13">
        <v>12000000</v>
      </c>
      <c r="H5881" s="14">
        <v>11948481600</v>
      </c>
      <c r="I5881" s="14" t="e">
        <f>=Round(269938.02540000,0)</f>
        <v>#VALUE!</v>
      </c>
      <c r="J5881" s="14" t="e">
        <f>=Round(0.00000000,0)</f>
        <v>#VALUE!</v>
      </c>
    </row>
    <row r="5882">
      <c r="A5882" s="11" t="s">
        <v>49</v>
      </c>
      <c r="B5882" s="12">
        <v>995.7068</v>
      </c>
      <c r="C5882" s="12">
        <v>0</v>
      </c>
      <c r="D5882" s="13">
        <v>0</v>
      </c>
      <c r="E5882" s="12">
        <v>0</v>
      </c>
      <c r="F5882" s="14">
        <v>0</v>
      </c>
      <c r="G5882" s="13">
        <v>12000000</v>
      </c>
      <c r="H5882" s="14">
        <v>11948481600</v>
      </c>
      <c r="I5882" s="14" t="e">
        <f>=Round(269330.52790000,0)</f>
        <v>#VALUE!</v>
      </c>
      <c r="J5882" s="14" t="e">
        <f>=Round(0.00000000,0)</f>
        <v>#VALUE!</v>
      </c>
    </row>
    <row r="5883">
      <c r="A5883" s="11" t="s">
        <v>50</v>
      </c>
      <c r="B5883" s="12">
        <v>995.7068</v>
      </c>
      <c r="C5883" s="12">
        <v>0</v>
      </c>
      <c r="D5883" s="13">
        <v>0</v>
      </c>
      <c r="E5883" s="12">
        <v>0</v>
      </c>
      <c r="F5883" s="14">
        <v>0</v>
      </c>
      <c r="G5883" s="13">
        <v>12000000</v>
      </c>
      <c r="H5883" s="14">
        <v>11948481600</v>
      </c>
      <c r="I5883" s="14" t="e">
        <f>=Round(269330.52790000,0)</f>
        <v>#VALUE!</v>
      </c>
      <c r="J5883" s="14" t="e">
        <f>=Round(0.00000000,0)</f>
        <v>#VALUE!</v>
      </c>
    </row>
    <row r="5884">
      <c r="A5884" s="11" t="s">
        <v>51</v>
      </c>
      <c r="B5884" s="12">
        <v>991.7293</v>
      </c>
      <c r="C5884" s="12">
        <v>0</v>
      </c>
      <c r="D5884" s="13">
        <v>0</v>
      </c>
      <c r="E5884" s="12">
        <v>0</v>
      </c>
      <c r="F5884" s="14">
        <v>0</v>
      </c>
      <c r="G5884" s="13">
        <v>12000000</v>
      </c>
      <c r="H5884" s="14">
        <v>11900751600</v>
      </c>
      <c r="I5884" s="14" t="e">
        <f>=Round(269330.52790000,0)</f>
        <v>#VALUE!</v>
      </c>
      <c r="J5884" s="14" t="e">
        <f>=Round(0.00000000,0)</f>
        <v>#VALUE!</v>
      </c>
    </row>
    <row r="5885">
      <c r="A5885" s="11" t="s">
        <v>52</v>
      </c>
      <c r="B5885" s="12">
        <v>991.8554</v>
      </c>
      <c r="C5885" s="12">
        <v>0</v>
      </c>
      <c r="D5885" s="13">
        <v>0</v>
      </c>
      <c r="E5885" s="12">
        <v>0</v>
      </c>
      <c r="F5885" s="14">
        <v>0</v>
      </c>
      <c r="G5885" s="13">
        <v>12000000</v>
      </c>
      <c r="H5885" s="14">
        <v>11902264800</v>
      </c>
      <c r="I5885" s="14" t="e">
        <f>=Round(268254.64670000,0)</f>
        <v>#VALUE!</v>
      </c>
      <c r="J5885" s="14" t="e">
        <f>=Round(0.00000000,0)</f>
        <v>#VALUE!</v>
      </c>
    </row>
    <row r="5886">
      <c r="A5886" s="11" t="s">
        <v>53</v>
      </c>
      <c r="B5886" s="12">
        <v>988.3415</v>
      </c>
      <c r="C5886" s="12">
        <v>0</v>
      </c>
      <c r="D5886" s="13">
        <v>0</v>
      </c>
      <c r="E5886" s="12">
        <v>0</v>
      </c>
      <c r="F5886" s="14">
        <v>0</v>
      </c>
      <c r="G5886" s="13">
        <v>12000000</v>
      </c>
      <c r="H5886" s="14">
        <v>11860098000</v>
      </c>
      <c r="I5886" s="14" t="e">
        <f>=Round(268288.75570000,0)</f>
        <v>#VALUE!</v>
      </c>
      <c r="J5886" s="14" t="e">
        <f>=Round(0.00000000,0)</f>
        <v>#VALUE!</v>
      </c>
    </row>
    <row r="5887">
      <c r="A5887" s="11" t="s">
        <v>54</v>
      </c>
      <c r="B5887" s="12">
        <v>981.3224</v>
      </c>
      <c r="C5887" s="12">
        <v>0</v>
      </c>
      <c r="D5887" s="13">
        <v>0</v>
      </c>
      <c r="E5887" s="12">
        <v>0</v>
      </c>
      <c r="F5887" s="14">
        <v>0</v>
      </c>
      <c r="G5887" s="13">
        <v>12000000</v>
      </c>
      <c r="H5887" s="14">
        <v>11775868800</v>
      </c>
      <c r="I5887" s="14" t="e">
        <f>=Round(267338.27460000,0)</f>
        <v>#VALUE!</v>
      </c>
      <c r="J5887" s="14" t="e">
        <f>=Round(0.00000000,0)</f>
        <v>#VALUE!</v>
      </c>
    </row>
    <row r="5888">
      <c r="A5888" s="11" t="s">
        <v>55</v>
      </c>
      <c r="B5888" s="12">
        <v>975.9209</v>
      </c>
      <c r="C5888" s="12">
        <v>0</v>
      </c>
      <c r="D5888" s="13">
        <v>0</v>
      </c>
      <c r="E5888" s="12">
        <v>0</v>
      </c>
      <c r="F5888" s="14">
        <v>0</v>
      </c>
      <c r="G5888" s="13">
        <v>12000000</v>
      </c>
      <c r="H5888" s="14">
        <v>11711050800</v>
      </c>
      <c r="I5888" s="14" t="e">
        <f>=Round(265439.66560000,0)</f>
        <v>#VALUE!</v>
      </c>
      <c r="J5888" s="14" t="e">
        <f>=Round(0.00000000,0)</f>
        <v>#VALUE!</v>
      </c>
    </row>
    <row r="5889" ht="-1">
      <c r="A5889" s="15"/>
      <c r="B5889" s="16" t="s">
        <v>56</v>
      </c>
      <c r="C5889" s="15"/>
      <c r="D5889" s="15"/>
      <c r="E5889" s="15"/>
      <c r="F5889" s="15"/>
      <c r="G5889" s="15"/>
      <c r="H5889" s="15"/>
      <c r="I5889" s="17" t="e">
        <f>=Round(SUM(I5863:I5888),0)</f>
        <v>#VALUE!</v>
      </c>
      <c r="J5889" s="17" t="e">
        <f>=Round(SUM(J5863:J5888),0)</f>
        <v>#VALUE!</v>
      </c>
    </row>
    <row r="5890">
      <c r="A5890" s="1" t="s">
        <v>0</v>
      </c>
      <c r="B5890" s="1"/>
      <c r="C5890" s="1"/>
      <c r="D5890" s="1"/>
    </row>
    <row r="5891">
      <c r="A5891" s="0" t="s">
        <v>1</v>
      </c>
      <c r="C5891" s="0" t="s">
        <v>213</v>
      </c>
      <c r="H5891" s="2" t="s">
        <v>3</v>
      </c>
    </row>
    <row r="5892">
      <c r="A5892" s="0" t="s">
        <v>4</v>
      </c>
      <c r="C5892" s="0" t="s">
        <v>216</v>
      </c>
      <c r="H5892" s="3" t="s">
        <v>6</v>
      </c>
    </row>
    <row r="5893">
      <c r="A5893" s="0" t="s">
        <v>7</v>
      </c>
      <c r="C5893" s="4" t="s">
        <v>8</v>
      </c>
      <c r="H5893" s="2" t="s">
        <v>9</v>
      </c>
    </row>
    <row r="5894">
      <c r="A5894" s="0" t="s">
        <v>10</v>
      </c>
      <c r="C5894" s="4" t="s">
        <v>11</v>
      </c>
      <c r="H5894" s="2" t="s">
        <v>12</v>
      </c>
    </row>
    <row r="5895">
      <c r="A5895" s="0" t="s">
        <v>13</v>
      </c>
      <c r="C5895" s="0" t="s">
        <v>14</v>
      </c>
    </row>
    <row r="5896">
      <c r="A5896" s="0" t="s">
        <v>15</v>
      </c>
      <c r="C5896" s="0" t="s">
        <v>16</v>
      </c>
    </row>
    <row r="5897">
      <c r="A5897" s="0" t="s">
        <v>17</v>
      </c>
      <c r="C5897" s="0" t="s">
        <v>18</v>
      </c>
    </row>
    <row r="5900">
      <c r="A5900" s="5" t="s">
        <v>19</v>
      </c>
      <c r="B5900" s="5" t="s">
        <v>20</v>
      </c>
      <c r="C5900" s="7" t="s">
        <v>21</v>
      </c>
      <c r="D5900" s="9"/>
      <c r="E5900" s="7" t="s">
        <v>22</v>
      </c>
      <c r="F5900" s="9"/>
      <c r="G5900" s="5" t="s">
        <v>23</v>
      </c>
      <c r="H5900" s="5" t="s">
        <v>24</v>
      </c>
      <c r="I5900" s="5" t="s">
        <v>25</v>
      </c>
      <c r="J5900" s="5" t="s">
        <v>26</v>
      </c>
    </row>
    <row r="5901">
      <c r="A5901" s="6"/>
      <c r="B5901" s="6"/>
      <c r="C5901" s="8" t="s">
        <v>27</v>
      </c>
      <c r="D5901" s="8" t="s">
        <v>28</v>
      </c>
      <c r="E5901" s="8" t="s">
        <v>27</v>
      </c>
      <c r="F5901" s="8" t="s">
        <v>28</v>
      </c>
      <c r="G5901" s="6"/>
      <c r="H5901" s="6"/>
      <c r="I5901" s="10" t="s">
        <v>29</v>
      </c>
      <c r="J5901" s="6"/>
    </row>
    <row r="5902">
      <c r="A5902" s="11" t="s">
        <v>30</v>
      </c>
      <c r="B5902" s="12">
        <v>990.2039</v>
      </c>
      <c r="C5902" s="12">
        <v>0</v>
      </c>
      <c r="D5902" s="13">
        <v>0</v>
      </c>
      <c r="E5902" s="12">
        <v>0</v>
      </c>
      <c r="F5902" s="14">
        <v>0</v>
      </c>
      <c r="G5902" s="13">
        <v>38000000</v>
      </c>
      <c r="H5902" s="14">
        <v>37627748200</v>
      </c>
      <c r="I5902" s="14" t="e">
        <f>=Round(849865.43690000,0)</f>
        <v>#VALUE!</v>
      </c>
      <c r="J5902" s="14" t="e">
        <f>=Round(0.00000000,0)</f>
        <v>#VALUE!</v>
      </c>
    </row>
    <row r="5903">
      <c r="A5903" s="11" t="s">
        <v>31</v>
      </c>
      <c r="B5903" s="12">
        <v>994.2234</v>
      </c>
      <c r="C5903" s="12">
        <v>0</v>
      </c>
      <c r="D5903" s="13">
        <v>0</v>
      </c>
      <c r="E5903" s="12">
        <v>0</v>
      </c>
      <c r="F5903" s="14">
        <v>0</v>
      </c>
      <c r="G5903" s="13">
        <v>38000000</v>
      </c>
      <c r="H5903" s="14">
        <v>37780489200</v>
      </c>
      <c r="I5903" s="14" t="e">
        <f>=Round(848166.45530000,0)</f>
        <v>#VALUE!</v>
      </c>
      <c r="J5903" s="14" t="e">
        <f>=Round(0.00000000,0)</f>
        <v>#VALUE!</v>
      </c>
    </row>
    <row r="5904">
      <c r="A5904" s="11" t="s">
        <v>32</v>
      </c>
      <c r="B5904" s="12">
        <v>996.1723</v>
      </c>
      <c r="C5904" s="12">
        <v>0</v>
      </c>
      <c r="D5904" s="13">
        <v>0</v>
      </c>
      <c r="E5904" s="12">
        <v>0</v>
      </c>
      <c r="F5904" s="14">
        <v>0</v>
      </c>
      <c r="G5904" s="13">
        <v>38000000</v>
      </c>
      <c r="H5904" s="14">
        <v>37854547400</v>
      </c>
      <c r="I5904" s="14" t="e">
        <f>=Round(851609.38770000,0)</f>
        <v>#VALUE!</v>
      </c>
      <c r="J5904" s="14" t="e">
        <f>=Round(0.00000000,0)</f>
        <v>#VALUE!</v>
      </c>
    </row>
    <row r="5905">
      <c r="A5905" s="11" t="s">
        <v>33</v>
      </c>
      <c r="B5905" s="12">
        <v>997.4156</v>
      </c>
      <c r="C5905" s="12">
        <v>0</v>
      </c>
      <c r="D5905" s="13">
        <v>0</v>
      </c>
      <c r="E5905" s="12">
        <v>0</v>
      </c>
      <c r="F5905" s="14">
        <v>0</v>
      </c>
      <c r="G5905" s="13">
        <v>38000000</v>
      </c>
      <c r="H5905" s="14">
        <v>37901792800</v>
      </c>
      <c r="I5905" s="14" t="e">
        <f>=Round(853278.73240000,0)</f>
        <v>#VALUE!</v>
      </c>
      <c r="J5905" s="14" t="e">
        <f>=Round(0.00000000,0)</f>
        <v>#VALUE!</v>
      </c>
    </row>
    <row r="5906">
      <c r="A5906" s="11" t="s">
        <v>34</v>
      </c>
      <c r="B5906" s="12">
        <v>998.0707</v>
      </c>
      <c r="C5906" s="12">
        <v>0</v>
      </c>
      <c r="D5906" s="13">
        <v>0</v>
      </c>
      <c r="E5906" s="12">
        <v>0</v>
      </c>
      <c r="F5906" s="14">
        <v>0</v>
      </c>
      <c r="G5906" s="13">
        <v>38000000</v>
      </c>
      <c r="H5906" s="14">
        <v>37926686600</v>
      </c>
      <c r="I5906" s="14" t="e">
        <f>=Round(854343.69020000,0)</f>
        <v>#VALUE!</v>
      </c>
      <c r="J5906" s="14" t="e">
        <f>=Round(0.00000000,0)</f>
        <v>#VALUE!</v>
      </c>
    </row>
    <row r="5907">
      <c r="A5907" s="11" t="s">
        <v>35</v>
      </c>
      <c r="B5907" s="12">
        <v>998.0707</v>
      </c>
      <c r="C5907" s="12">
        <v>0</v>
      </c>
      <c r="D5907" s="13">
        <v>0</v>
      </c>
      <c r="E5907" s="12">
        <v>0</v>
      </c>
      <c r="F5907" s="14">
        <v>0</v>
      </c>
      <c r="G5907" s="13">
        <v>38000000</v>
      </c>
      <c r="H5907" s="14">
        <v>37926686600</v>
      </c>
      <c r="I5907" s="14" t="e">
        <f>=Round(854904.82090000,0)</f>
        <v>#VALUE!</v>
      </c>
      <c r="J5907" s="14" t="e">
        <f>=Round(0.00000000,0)</f>
        <v>#VALUE!</v>
      </c>
    </row>
    <row r="5908">
      <c r="A5908" s="11" t="s">
        <v>36</v>
      </c>
      <c r="B5908" s="12">
        <v>998.0707</v>
      </c>
      <c r="C5908" s="12">
        <v>0</v>
      </c>
      <c r="D5908" s="13">
        <v>0</v>
      </c>
      <c r="E5908" s="12">
        <v>0</v>
      </c>
      <c r="F5908" s="14">
        <v>0</v>
      </c>
      <c r="G5908" s="13">
        <v>38000000</v>
      </c>
      <c r="H5908" s="14">
        <v>37926686600</v>
      </c>
      <c r="I5908" s="14" t="e">
        <f>=Round(854904.82090000,0)</f>
        <v>#VALUE!</v>
      </c>
      <c r="J5908" s="14" t="e">
        <f>=Round(0.00000000,0)</f>
        <v>#VALUE!</v>
      </c>
    </row>
    <row r="5909">
      <c r="A5909" s="11" t="s">
        <v>37</v>
      </c>
      <c r="B5909" s="12">
        <v>996.3511</v>
      </c>
      <c r="C5909" s="12">
        <v>0</v>
      </c>
      <c r="D5909" s="13">
        <v>0</v>
      </c>
      <c r="E5909" s="12">
        <v>0</v>
      </c>
      <c r="F5909" s="14">
        <v>0</v>
      </c>
      <c r="G5909" s="13">
        <v>38000000</v>
      </c>
      <c r="H5909" s="14">
        <v>37861341800</v>
      </c>
      <c r="I5909" s="14" t="e">
        <f>=Round(854904.82090000,0)</f>
        <v>#VALUE!</v>
      </c>
      <c r="J5909" s="14" t="e">
        <f>=Round(0.00000000,0)</f>
        <v>#VALUE!</v>
      </c>
    </row>
    <row r="5910">
      <c r="A5910" s="11" t="s">
        <v>38</v>
      </c>
      <c r="B5910" s="12">
        <v>995.9847</v>
      </c>
      <c r="C5910" s="12">
        <v>0</v>
      </c>
      <c r="D5910" s="13">
        <v>0</v>
      </c>
      <c r="E5910" s="12">
        <v>0</v>
      </c>
      <c r="F5910" s="14">
        <v>0</v>
      </c>
      <c r="G5910" s="13">
        <v>38000000</v>
      </c>
      <c r="H5910" s="14">
        <v>37847418600</v>
      </c>
      <c r="I5910" s="14" t="e">
        <f>=Round(853431.88480000,0)</f>
        <v>#VALUE!</v>
      </c>
      <c r="J5910" s="14" t="e">
        <f>=Round(0.00000000,0)</f>
        <v>#VALUE!</v>
      </c>
    </row>
    <row r="5911">
      <c r="A5911" s="11" t="s">
        <v>39</v>
      </c>
      <c r="B5911" s="12">
        <v>994.2938</v>
      </c>
      <c r="C5911" s="12">
        <v>0</v>
      </c>
      <c r="D5911" s="13">
        <v>0</v>
      </c>
      <c r="E5911" s="12">
        <v>0</v>
      </c>
      <c r="F5911" s="14">
        <v>0</v>
      </c>
      <c r="G5911" s="13">
        <v>38000000</v>
      </c>
      <c r="H5911" s="14">
        <v>37783164400</v>
      </c>
      <c r="I5911" s="14" t="e">
        <f>=Round(853118.04220000,0)</f>
        <v>#VALUE!</v>
      </c>
      <c r="J5911" s="14" t="e">
        <f>=Round(0.00000000,0)</f>
        <v>#VALUE!</v>
      </c>
    </row>
    <row r="5912">
      <c r="A5912" s="11" t="s">
        <v>40</v>
      </c>
      <c r="B5912" s="12">
        <v>992.704</v>
      </c>
      <c r="C5912" s="12">
        <v>0</v>
      </c>
      <c r="D5912" s="13">
        <v>0</v>
      </c>
      <c r="E5912" s="12">
        <v>0</v>
      </c>
      <c r="F5912" s="14">
        <v>0</v>
      </c>
      <c r="G5912" s="13">
        <v>38000000</v>
      </c>
      <c r="H5912" s="14">
        <v>37722752000</v>
      </c>
      <c r="I5912" s="14" t="e">
        <f>=Round(851669.68930000,0)</f>
        <v>#VALUE!</v>
      </c>
      <c r="J5912" s="14" t="e">
        <f>=Round(0.00000000,0)</f>
        <v>#VALUE!</v>
      </c>
    </row>
    <row r="5913">
      <c r="A5913" s="11" t="s">
        <v>41</v>
      </c>
      <c r="B5913" s="12">
        <v>992.4763</v>
      </c>
      <c r="C5913" s="12">
        <v>0</v>
      </c>
      <c r="D5913" s="13">
        <v>0</v>
      </c>
      <c r="E5913" s="12">
        <v>0</v>
      </c>
      <c r="F5913" s="14">
        <v>0</v>
      </c>
      <c r="G5913" s="13">
        <v>38000000</v>
      </c>
      <c r="H5913" s="14">
        <v>37714099400</v>
      </c>
      <c r="I5913" s="14" t="e">
        <f>=Round(850307.93440000,0)</f>
        <v>#VALUE!</v>
      </c>
      <c r="J5913" s="14" t="e">
        <f>=Round(0.00000000,0)</f>
        <v>#VALUE!</v>
      </c>
    </row>
    <row r="5914">
      <c r="A5914" s="11" t="s">
        <v>42</v>
      </c>
      <c r="B5914" s="12">
        <v>992.4763</v>
      </c>
      <c r="C5914" s="12">
        <v>0</v>
      </c>
      <c r="D5914" s="13">
        <v>0</v>
      </c>
      <c r="E5914" s="12">
        <v>0</v>
      </c>
      <c r="F5914" s="14">
        <v>0</v>
      </c>
      <c r="G5914" s="13">
        <v>38000000</v>
      </c>
      <c r="H5914" s="14">
        <v>37714099400</v>
      </c>
      <c r="I5914" s="14" t="e">
        <f>=Round(850112.89630000,0)</f>
        <v>#VALUE!</v>
      </c>
      <c r="J5914" s="14" t="e">
        <f>=Round(0.00000000,0)</f>
        <v>#VALUE!</v>
      </c>
    </row>
    <row r="5915">
      <c r="A5915" s="11" t="s">
        <v>43</v>
      </c>
      <c r="B5915" s="12">
        <v>992.4763</v>
      </c>
      <c r="C5915" s="12">
        <v>0</v>
      </c>
      <c r="D5915" s="13">
        <v>0</v>
      </c>
      <c r="E5915" s="12">
        <v>0</v>
      </c>
      <c r="F5915" s="14">
        <v>0</v>
      </c>
      <c r="G5915" s="13">
        <v>38000000</v>
      </c>
      <c r="H5915" s="14">
        <v>37714099400</v>
      </c>
      <c r="I5915" s="14" t="e">
        <f>=Round(850112.89630000,0)</f>
        <v>#VALUE!</v>
      </c>
      <c r="J5915" s="14" t="e">
        <f>=Round(0.00000000,0)</f>
        <v>#VALUE!</v>
      </c>
    </row>
    <row r="5916">
      <c r="A5916" s="11" t="s">
        <v>44</v>
      </c>
      <c r="B5916" s="12">
        <v>993.1569</v>
      </c>
      <c r="C5916" s="12">
        <v>0</v>
      </c>
      <c r="D5916" s="13">
        <v>0</v>
      </c>
      <c r="E5916" s="12">
        <v>0</v>
      </c>
      <c r="F5916" s="14">
        <v>0</v>
      </c>
      <c r="G5916" s="13">
        <v>38000000</v>
      </c>
      <c r="H5916" s="14">
        <v>37739962200</v>
      </c>
      <c r="I5916" s="14" t="e">
        <f>=Round(850112.89630000,0)</f>
        <v>#VALUE!</v>
      </c>
      <c r="J5916" s="14" t="e">
        <f>=Round(0.00000000,0)</f>
        <v>#VALUE!</v>
      </c>
    </row>
    <row r="5917">
      <c r="A5917" s="11" t="s">
        <v>45</v>
      </c>
      <c r="B5917" s="12">
        <v>994.6183</v>
      </c>
      <c r="C5917" s="12">
        <v>0</v>
      </c>
      <c r="D5917" s="13">
        <v>0</v>
      </c>
      <c r="E5917" s="12">
        <v>0</v>
      </c>
      <c r="F5917" s="14">
        <v>0</v>
      </c>
      <c r="G5917" s="13">
        <v>38000000</v>
      </c>
      <c r="H5917" s="14">
        <v>37795495400</v>
      </c>
      <c r="I5917" s="14" t="e">
        <f>=Round(850695.86930000,0)</f>
        <v>#VALUE!</v>
      </c>
      <c r="J5917" s="14" t="e">
        <f>=Round(0.00000000,0)</f>
        <v>#VALUE!</v>
      </c>
    </row>
    <row r="5918">
      <c r="A5918" s="11" t="s">
        <v>46</v>
      </c>
      <c r="B5918" s="12">
        <v>996.9019</v>
      </c>
      <c r="C5918" s="12">
        <v>0</v>
      </c>
      <c r="D5918" s="13">
        <v>0</v>
      </c>
      <c r="E5918" s="12">
        <v>0</v>
      </c>
      <c r="F5918" s="14">
        <v>0</v>
      </c>
      <c r="G5918" s="13">
        <v>38000000</v>
      </c>
      <c r="H5918" s="14">
        <v>37882272200</v>
      </c>
      <c r="I5918" s="14" t="e">
        <f>=Round(851947.64220000,0)</f>
        <v>#VALUE!</v>
      </c>
      <c r="J5918" s="14" t="e">
        <f>=Round(0.00000000,0)</f>
        <v>#VALUE!</v>
      </c>
    </row>
    <row r="5919">
      <c r="A5919" s="11" t="s">
        <v>47</v>
      </c>
      <c r="B5919" s="12">
        <v>997.9527</v>
      </c>
      <c r="C5919" s="12">
        <v>0</v>
      </c>
      <c r="D5919" s="13">
        <v>0</v>
      </c>
      <c r="E5919" s="12">
        <v>0</v>
      </c>
      <c r="F5919" s="14">
        <v>0</v>
      </c>
      <c r="G5919" s="13">
        <v>38000000</v>
      </c>
      <c r="H5919" s="14">
        <v>37922202600</v>
      </c>
      <c r="I5919" s="14" t="e">
        <f>=Round(853903.67660000,0)</f>
        <v>#VALUE!</v>
      </c>
      <c r="J5919" s="14" t="e">
        <f>=Round(0.00000000,0)</f>
        <v>#VALUE!</v>
      </c>
    </row>
    <row r="5920">
      <c r="A5920" s="11" t="s">
        <v>48</v>
      </c>
      <c r="B5920" s="12">
        <v>995.7068</v>
      </c>
      <c r="C5920" s="12">
        <v>0</v>
      </c>
      <c r="D5920" s="13">
        <v>0</v>
      </c>
      <c r="E5920" s="12">
        <v>0</v>
      </c>
      <c r="F5920" s="14">
        <v>0</v>
      </c>
      <c r="G5920" s="13">
        <v>38000000</v>
      </c>
      <c r="H5920" s="14">
        <v>37836858400</v>
      </c>
      <c r="I5920" s="14" t="e">
        <f>=Round(854803.74710000,0)</f>
        <v>#VALUE!</v>
      </c>
      <c r="J5920" s="14" t="e">
        <f>=Round(0.00000000,0)</f>
        <v>#VALUE!</v>
      </c>
    </row>
    <row r="5921">
      <c r="A5921" s="11" t="s">
        <v>49</v>
      </c>
      <c r="B5921" s="12">
        <v>995.7068</v>
      </c>
      <c r="C5921" s="12">
        <v>0</v>
      </c>
      <c r="D5921" s="13">
        <v>0</v>
      </c>
      <c r="E5921" s="12">
        <v>0</v>
      </c>
      <c r="F5921" s="14">
        <v>0</v>
      </c>
      <c r="G5921" s="13">
        <v>38000000</v>
      </c>
      <c r="H5921" s="14">
        <v>37836858400</v>
      </c>
      <c r="I5921" s="14" t="e">
        <f>=Round(852880.00490000,0)</f>
        <v>#VALUE!</v>
      </c>
      <c r="J5921" s="14" t="e">
        <f>=Round(0.00000000,0)</f>
        <v>#VALUE!</v>
      </c>
    </row>
    <row r="5922">
      <c r="A5922" s="11" t="s">
        <v>50</v>
      </c>
      <c r="B5922" s="12">
        <v>995.7068</v>
      </c>
      <c r="C5922" s="12">
        <v>0</v>
      </c>
      <c r="D5922" s="13">
        <v>0</v>
      </c>
      <c r="E5922" s="12">
        <v>0</v>
      </c>
      <c r="F5922" s="14">
        <v>0</v>
      </c>
      <c r="G5922" s="13">
        <v>38000000</v>
      </c>
      <c r="H5922" s="14">
        <v>37836858400</v>
      </c>
      <c r="I5922" s="14" t="e">
        <f>=Round(852880.00490000,0)</f>
        <v>#VALUE!</v>
      </c>
      <c r="J5922" s="14" t="e">
        <f>=Round(0.00000000,0)</f>
        <v>#VALUE!</v>
      </c>
    </row>
    <row r="5923">
      <c r="A5923" s="11" t="s">
        <v>51</v>
      </c>
      <c r="B5923" s="12">
        <v>991.7293</v>
      </c>
      <c r="C5923" s="12">
        <v>0</v>
      </c>
      <c r="D5923" s="13">
        <v>0</v>
      </c>
      <c r="E5923" s="12">
        <v>0</v>
      </c>
      <c r="F5923" s="14">
        <v>0</v>
      </c>
      <c r="G5923" s="13">
        <v>38000000</v>
      </c>
      <c r="H5923" s="14">
        <v>37685713400</v>
      </c>
      <c r="I5923" s="14" t="e">
        <f>=Round(852880.00490000,0)</f>
        <v>#VALUE!</v>
      </c>
      <c r="J5923" s="14" t="e">
        <f>=Round(0.00000000,0)</f>
        <v>#VALUE!</v>
      </c>
    </row>
    <row r="5924">
      <c r="A5924" s="11" t="s">
        <v>52</v>
      </c>
      <c r="B5924" s="12">
        <v>991.8554</v>
      </c>
      <c r="C5924" s="12">
        <v>0</v>
      </c>
      <c r="D5924" s="13">
        <v>0</v>
      </c>
      <c r="E5924" s="12">
        <v>0</v>
      </c>
      <c r="F5924" s="14">
        <v>0</v>
      </c>
      <c r="G5924" s="13">
        <v>38000000</v>
      </c>
      <c r="H5924" s="14">
        <v>37690505200</v>
      </c>
      <c r="I5924" s="14" t="e">
        <f>=Round(849473.04800000,0)</f>
        <v>#VALUE!</v>
      </c>
      <c r="J5924" s="14" t="e">
        <f>=Round(0.00000000,0)</f>
        <v>#VALUE!</v>
      </c>
    </row>
    <row r="5925">
      <c r="A5925" s="11" t="s">
        <v>53</v>
      </c>
      <c r="B5925" s="12">
        <v>988.3415</v>
      </c>
      <c r="C5925" s="12">
        <v>0</v>
      </c>
      <c r="D5925" s="13">
        <v>0</v>
      </c>
      <c r="E5925" s="12">
        <v>0</v>
      </c>
      <c r="F5925" s="14">
        <v>0</v>
      </c>
      <c r="G5925" s="13">
        <v>38000000</v>
      </c>
      <c r="H5925" s="14">
        <v>37556977000</v>
      </c>
      <c r="I5925" s="14" t="e">
        <f>=Round(849581.05980000,0)</f>
        <v>#VALUE!</v>
      </c>
      <c r="J5925" s="14" t="e">
        <f>=Round(0.00000000,0)</f>
        <v>#VALUE!</v>
      </c>
    </row>
    <row r="5926">
      <c r="A5926" s="11" t="s">
        <v>54</v>
      </c>
      <c r="B5926" s="12">
        <v>981.3224</v>
      </c>
      <c r="C5926" s="12">
        <v>0</v>
      </c>
      <c r="D5926" s="13">
        <v>0</v>
      </c>
      <c r="E5926" s="12">
        <v>0</v>
      </c>
      <c r="F5926" s="14">
        <v>0</v>
      </c>
      <c r="G5926" s="13">
        <v>38000000</v>
      </c>
      <c r="H5926" s="14">
        <v>37290251200</v>
      </c>
      <c r="I5926" s="14" t="e">
        <f>=Round(846571.20290000,0)</f>
        <v>#VALUE!</v>
      </c>
      <c r="J5926" s="14" t="e">
        <f>=Round(0.00000000,0)</f>
        <v>#VALUE!</v>
      </c>
    </row>
    <row r="5927">
      <c r="A5927" s="11" t="s">
        <v>55</v>
      </c>
      <c r="B5927" s="12">
        <v>975.9209</v>
      </c>
      <c r="C5927" s="12">
        <v>0</v>
      </c>
      <c r="D5927" s="13">
        <v>0</v>
      </c>
      <c r="E5927" s="12">
        <v>0</v>
      </c>
      <c r="F5927" s="14">
        <v>0</v>
      </c>
      <c r="G5927" s="13">
        <v>38000000</v>
      </c>
      <c r="H5927" s="14">
        <v>37084994200</v>
      </c>
      <c r="I5927" s="14" t="e">
        <f>=Round(840558.94100000,0)</f>
        <v>#VALUE!</v>
      </c>
      <c r="J5927" s="14" t="e">
        <f>=Round(0.00000000,0)</f>
        <v>#VALUE!</v>
      </c>
    </row>
    <row r="5928" ht="-1">
      <c r="A5928" s="15"/>
      <c r="B5928" s="16" t="s">
        <v>56</v>
      </c>
      <c r="C5928" s="15"/>
      <c r="D5928" s="15"/>
      <c r="E5928" s="15"/>
      <c r="F5928" s="15"/>
      <c r="G5928" s="15"/>
      <c r="H5928" s="15"/>
      <c r="I5928" s="17" t="e">
        <f>=Round(SUM(I5902:I5927),0)</f>
        <v>#VALUE!</v>
      </c>
      <c r="J5928" s="17" t="e">
        <f>=Round(SUM(J5902:J5927),0)</f>
        <v>#VALUE!</v>
      </c>
    </row>
    <row r="5929">
      <c r="A5929" s="1" t="s">
        <v>0</v>
      </c>
      <c r="B5929" s="1"/>
      <c r="C5929" s="1"/>
      <c r="D5929" s="1"/>
    </row>
    <row r="5930">
      <c r="A5930" s="0" t="s">
        <v>1</v>
      </c>
      <c r="C5930" s="0" t="s">
        <v>217</v>
      </c>
      <c r="H5930" s="2" t="s">
        <v>3</v>
      </c>
    </row>
    <row r="5931">
      <c r="A5931" s="0" t="s">
        <v>4</v>
      </c>
      <c r="C5931" s="0" t="s">
        <v>218</v>
      </c>
      <c r="H5931" s="3" t="s">
        <v>6</v>
      </c>
    </row>
    <row r="5932">
      <c r="A5932" s="0" t="s">
        <v>7</v>
      </c>
      <c r="C5932" s="4" t="s">
        <v>219</v>
      </c>
      <c r="H5932" s="2" t="s">
        <v>9</v>
      </c>
    </row>
    <row r="5933">
      <c r="A5933" s="0" t="s">
        <v>10</v>
      </c>
      <c r="C5933" s="4" t="s">
        <v>11</v>
      </c>
      <c r="H5933" s="2" t="s">
        <v>12</v>
      </c>
    </row>
    <row r="5934">
      <c r="A5934" s="0" t="s">
        <v>13</v>
      </c>
      <c r="C5934" s="0" t="s">
        <v>14</v>
      </c>
    </row>
    <row r="5935">
      <c r="A5935" s="0" t="s">
        <v>15</v>
      </c>
      <c r="C5935" s="0" t="s">
        <v>16</v>
      </c>
    </row>
    <row r="5936">
      <c r="A5936" s="0" t="s">
        <v>17</v>
      </c>
      <c r="C5936" s="0" t="s">
        <v>18</v>
      </c>
    </row>
    <row r="5939">
      <c r="A5939" s="5" t="s">
        <v>19</v>
      </c>
      <c r="B5939" s="5" t="s">
        <v>20</v>
      </c>
      <c r="C5939" s="7" t="s">
        <v>21</v>
      </c>
      <c r="D5939" s="9"/>
      <c r="E5939" s="7" t="s">
        <v>22</v>
      </c>
      <c r="F5939" s="9"/>
      <c r="G5939" s="5" t="s">
        <v>23</v>
      </c>
      <c r="H5939" s="5" t="s">
        <v>24</v>
      </c>
      <c r="I5939" s="5" t="s">
        <v>220</v>
      </c>
      <c r="J5939" s="5" t="s">
        <v>26</v>
      </c>
    </row>
    <row r="5940">
      <c r="A5940" s="6"/>
      <c r="B5940" s="6"/>
      <c r="C5940" s="8" t="s">
        <v>27</v>
      </c>
      <c r="D5940" s="8" t="s">
        <v>28</v>
      </c>
      <c r="E5940" s="8" t="s">
        <v>27</v>
      </c>
      <c r="F5940" s="8" t="s">
        <v>28</v>
      </c>
      <c r="G5940" s="6"/>
      <c r="H5940" s="6"/>
      <c r="I5940" s="10" t="s">
        <v>29</v>
      </c>
      <c r="J5940" s="6"/>
    </row>
    <row r="5941">
      <c r="A5941" s="11" t="s">
        <v>30</v>
      </c>
      <c r="B5941" s="12">
        <v>872.8936</v>
      </c>
      <c r="C5941" s="12">
        <v>0</v>
      </c>
      <c r="D5941" s="13">
        <v>0</v>
      </c>
      <c r="E5941" s="12">
        <v>0</v>
      </c>
      <c r="F5941" s="14">
        <v>0</v>
      </c>
      <c r="G5941" s="13">
        <v>101142437.082</v>
      </c>
      <c r="H5941" s="14">
        <v>88286586017.280487</v>
      </c>
      <c r="I5941" s="14" t="e">
        <f>=Round(3988065.03040000,0)</f>
        <v>#VALUE!</v>
      </c>
      <c r="J5941" s="14" t="e">
        <f>=Round(0.00000000,0)</f>
        <v>#VALUE!</v>
      </c>
    </row>
    <row r="5942">
      <c r="A5942" s="11" t="s">
        <v>31</v>
      </c>
      <c r="B5942" s="12">
        <v>877.3858</v>
      </c>
      <c r="C5942" s="12">
        <v>0</v>
      </c>
      <c r="D5942" s="13">
        <v>0</v>
      </c>
      <c r="E5942" s="12">
        <v>0</v>
      </c>
      <c r="F5942" s="14">
        <v>0</v>
      </c>
      <c r="G5942" s="13">
        <v>101142437.082</v>
      </c>
      <c r="H5942" s="14">
        <v>88740938073.140244</v>
      </c>
      <c r="I5942" s="14" t="e">
        <f>=Round(3980132.97620000,0)</f>
        <v>#VALUE!</v>
      </c>
      <c r="J5942" s="14" t="e">
        <f>=Round(0.00000000,0)</f>
        <v>#VALUE!</v>
      </c>
    </row>
    <row r="5943">
      <c r="A5943" s="11" t="s">
        <v>32</v>
      </c>
      <c r="B5943" s="12">
        <v>878.3458</v>
      </c>
      <c r="C5943" s="12">
        <v>0</v>
      </c>
      <c r="D5943" s="13">
        <v>0</v>
      </c>
      <c r="E5943" s="12">
        <v>0</v>
      </c>
      <c r="F5943" s="14">
        <v>0</v>
      </c>
      <c r="G5943" s="13">
        <v>101142437.082</v>
      </c>
      <c r="H5943" s="14">
        <v>88838034812.738953</v>
      </c>
      <c r="I5943" s="14" t="e">
        <f>=Round(4000616.06070000,0)</f>
        <v>#VALUE!</v>
      </c>
      <c r="J5943" s="14" t="e">
        <f>=Round(0.00000000,0)</f>
        <v>#VALUE!</v>
      </c>
    </row>
    <row r="5944">
      <c r="A5944" s="11" t="s">
        <v>33</v>
      </c>
      <c r="B5944" s="12">
        <v>880.4193</v>
      </c>
      <c r="C5944" s="12">
        <v>0</v>
      </c>
      <c r="D5944" s="13">
        <v>0</v>
      </c>
      <c r="E5944" s="12">
        <v>0</v>
      </c>
      <c r="F5944" s="14">
        <v>0</v>
      </c>
      <c r="G5944" s="13">
        <v>101142437.082</v>
      </c>
      <c r="H5944" s="14">
        <v>89047753656.028473</v>
      </c>
      <c r="I5944" s="14" t="e">
        <f>=Round(4004993.37270000,0)</f>
        <v>#VALUE!</v>
      </c>
      <c r="J5944" s="14" t="e">
        <f>=Round(0.00000000,0)</f>
        <v>#VALUE!</v>
      </c>
    </row>
    <row r="5945">
      <c r="A5945" s="11" t="s">
        <v>34</v>
      </c>
      <c r="B5945" s="12">
        <v>881.9174</v>
      </c>
      <c r="C5945" s="12">
        <v>0</v>
      </c>
      <c r="D5945" s="13">
        <v>0</v>
      </c>
      <c r="E5945" s="12">
        <v>0</v>
      </c>
      <c r="F5945" s="14">
        <v>0</v>
      </c>
      <c r="G5945" s="13">
        <v>101142437.082</v>
      </c>
      <c r="H5945" s="14">
        <v>89199275141.021027</v>
      </c>
      <c r="I5945" s="14" t="e">
        <f>=Round(4014447.91070000,0)</f>
        <v>#VALUE!</v>
      </c>
      <c r="J5945" s="14" t="e">
        <f>=Round(0.00000000,0)</f>
        <v>#VALUE!</v>
      </c>
    </row>
    <row r="5946">
      <c r="A5946" s="11" t="s">
        <v>35</v>
      </c>
      <c r="B5946" s="12">
        <v>881.9174</v>
      </c>
      <c r="C5946" s="12">
        <v>0</v>
      </c>
      <c r="D5946" s="13">
        <v>0</v>
      </c>
      <c r="E5946" s="12">
        <v>0</v>
      </c>
      <c r="F5946" s="14">
        <v>0</v>
      </c>
      <c r="G5946" s="13">
        <v>101142437.082</v>
      </c>
      <c r="H5946" s="14">
        <v>89199275141.021027</v>
      </c>
      <c r="I5946" s="14" t="e">
        <f>=Round(4021278.79730000,0)</f>
        <v>#VALUE!</v>
      </c>
      <c r="J5946" s="14" t="e">
        <f>=Round(0.00000000,0)</f>
        <v>#VALUE!</v>
      </c>
    </row>
    <row r="5947">
      <c r="A5947" s="11" t="s">
        <v>36</v>
      </c>
      <c r="B5947" s="12">
        <v>881.9174</v>
      </c>
      <c r="C5947" s="12">
        <v>0</v>
      </c>
      <c r="D5947" s="13">
        <v>0</v>
      </c>
      <c r="E5947" s="12">
        <v>0</v>
      </c>
      <c r="F5947" s="14">
        <v>0</v>
      </c>
      <c r="G5947" s="13">
        <v>101142437.082</v>
      </c>
      <c r="H5947" s="14">
        <v>89199275141.021027</v>
      </c>
      <c r="I5947" s="14" t="e">
        <f>=Round(4021278.79730000,0)</f>
        <v>#VALUE!</v>
      </c>
      <c r="J5947" s="14" t="e">
        <f>=Round(0.00000000,0)</f>
        <v>#VALUE!</v>
      </c>
    </row>
    <row r="5948">
      <c r="A5948" s="11" t="s">
        <v>37</v>
      </c>
      <c r="B5948" s="12">
        <v>880.4563</v>
      </c>
      <c r="C5948" s="12">
        <v>0</v>
      </c>
      <c r="D5948" s="13">
        <v>0</v>
      </c>
      <c r="E5948" s="12">
        <v>0</v>
      </c>
      <c r="F5948" s="14">
        <v>0</v>
      </c>
      <c r="G5948" s="13">
        <v>101142437.082</v>
      </c>
      <c r="H5948" s="14">
        <v>89051495926.200516</v>
      </c>
      <c r="I5948" s="14" t="e">
        <f>=Round(4021278.79730000,0)</f>
        <v>#VALUE!</v>
      </c>
      <c r="J5948" s="14" t="e">
        <f>=Round(0.00000000,0)</f>
        <v>#VALUE!</v>
      </c>
    </row>
    <row r="5949">
      <c r="A5949" s="11" t="s">
        <v>38</v>
      </c>
      <c r="B5949" s="12">
        <v>879.5321</v>
      </c>
      <c r="C5949" s="12">
        <v>0</v>
      </c>
      <c r="D5949" s="13">
        <v>0</v>
      </c>
      <c r="E5949" s="12">
        <v>0</v>
      </c>
      <c r="F5949" s="14">
        <v>0</v>
      </c>
      <c r="G5949" s="13">
        <v>101142437.082</v>
      </c>
      <c r="H5949" s="14">
        <v>88958020085.849335</v>
      </c>
      <c r="I5949" s="14" t="e">
        <f>=Round(4014616.61960000,0)</f>
        <v>#VALUE!</v>
      </c>
      <c r="J5949" s="14" t="e">
        <f>=Round(0.00000000,0)</f>
        <v>#VALUE!</v>
      </c>
    </row>
    <row r="5950">
      <c r="A5950" s="11" t="s">
        <v>39</v>
      </c>
      <c r="B5950" s="12">
        <v>879.4626</v>
      </c>
      <c r="C5950" s="12">
        <v>0</v>
      </c>
      <c r="D5950" s="13">
        <v>0</v>
      </c>
      <c r="E5950" s="12">
        <v>0</v>
      </c>
      <c r="F5950" s="14">
        <v>0</v>
      </c>
      <c r="G5950" s="13">
        <v>101142437.082</v>
      </c>
      <c r="H5950" s="14">
        <v>88950990686.472122</v>
      </c>
      <c r="I5950" s="14" t="e">
        <f>=Round(4010402.54490000,0)</f>
        <v>#VALUE!</v>
      </c>
      <c r="J5950" s="14" t="e">
        <f>=Round(0.00000000,0)</f>
        <v>#VALUE!</v>
      </c>
    </row>
    <row r="5951">
      <c r="A5951" s="11" t="s">
        <v>40</v>
      </c>
      <c r="B5951" s="12">
        <v>878.2092</v>
      </c>
      <c r="C5951" s="12">
        <v>0</v>
      </c>
      <c r="D5951" s="13">
        <v>0</v>
      </c>
      <c r="E5951" s="12">
        <v>0</v>
      </c>
      <c r="F5951" s="14">
        <v>0</v>
      </c>
      <c r="G5951" s="13">
        <v>101142437.082</v>
      </c>
      <c r="H5951" s="14">
        <v>88824218755.833557</v>
      </c>
      <c r="I5951" s="14" t="e">
        <f>=Round(4010085.64570000,0)</f>
        <v>#VALUE!</v>
      </c>
      <c r="J5951" s="14" t="e">
        <f>=Round(0.00000000,0)</f>
        <v>#VALUE!</v>
      </c>
    </row>
    <row r="5952">
      <c r="A5952" s="11" t="s">
        <v>41</v>
      </c>
      <c r="B5952" s="12">
        <v>878.6168</v>
      </c>
      <c r="C5952" s="12">
        <v>0</v>
      </c>
      <c r="D5952" s="13">
        <v>0</v>
      </c>
      <c r="E5952" s="12">
        <v>0</v>
      </c>
      <c r="F5952" s="14">
        <v>0</v>
      </c>
      <c r="G5952" s="13">
        <v>101142437.082</v>
      </c>
      <c r="H5952" s="14">
        <v>88865444413.188171</v>
      </c>
      <c r="I5952" s="14" t="e">
        <f>=Round(4004370.51770000,0)</f>
        <v>#VALUE!</v>
      </c>
      <c r="J5952" s="14" t="e">
        <f>=Round(0.00000000,0)</f>
        <v>#VALUE!</v>
      </c>
    </row>
    <row r="5953">
      <c r="A5953" s="11" t="s">
        <v>42</v>
      </c>
      <c r="B5953" s="12">
        <v>878.6168</v>
      </c>
      <c r="C5953" s="12">
        <v>0</v>
      </c>
      <c r="D5953" s="13">
        <v>0</v>
      </c>
      <c r="E5953" s="12">
        <v>0</v>
      </c>
      <c r="F5953" s="14">
        <v>0</v>
      </c>
      <c r="G5953" s="13">
        <v>101142437.082</v>
      </c>
      <c r="H5953" s="14">
        <v>88865444413.188171</v>
      </c>
      <c r="I5953" s="14" t="e">
        <f>=Round(4006229.05140000,0)</f>
        <v>#VALUE!</v>
      </c>
      <c r="J5953" s="14" t="e">
        <f>=Round(0.00000000,0)</f>
        <v>#VALUE!</v>
      </c>
    </row>
    <row r="5954">
      <c r="A5954" s="11" t="s">
        <v>43</v>
      </c>
      <c r="B5954" s="12">
        <v>878.6168</v>
      </c>
      <c r="C5954" s="12">
        <v>0</v>
      </c>
      <c r="D5954" s="13">
        <v>0</v>
      </c>
      <c r="E5954" s="12">
        <v>0</v>
      </c>
      <c r="F5954" s="14">
        <v>0</v>
      </c>
      <c r="G5954" s="13">
        <v>101142437.082</v>
      </c>
      <c r="H5954" s="14">
        <v>88865444413.188171</v>
      </c>
      <c r="I5954" s="14" t="e">
        <f>=Round(4006229.05140000,0)</f>
        <v>#VALUE!</v>
      </c>
      <c r="J5954" s="14" t="e">
        <f>=Round(0.00000000,0)</f>
        <v>#VALUE!</v>
      </c>
    </row>
    <row r="5955">
      <c r="A5955" s="11" t="s">
        <v>44</v>
      </c>
      <c r="B5955" s="12">
        <v>879.4243</v>
      </c>
      <c r="C5955" s="12">
        <v>0</v>
      </c>
      <c r="D5955" s="13">
        <v>0</v>
      </c>
      <c r="E5955" s="12">
        <v>0</v>
      </c>
      <c r="F5955" s="14">
        <v>0</v>
      </c>
      <c r="G5955" s="13">
        <v>101142437.082</v>
      </c>
      <c r="H5955" s="14">
        <v>88947116931.131882</v>
      </c>
      <c r="I5955" s="14" t="e">
        <f>=Round(4006229.05140000,0)</f>
        <v>#VALUE!</v>
      </c>
      <c r="J5955" s="14" t="e">
        <f>=Round(0.00000000,0)</f>
        <v>#VALUE!</v>
      </c>
    </row>
    <row r="5956">
      <c r="A5956" s="11" t="s">
        <v>45</v>
      </c>
      <c r="B5956" s="12">
        <v>880.8967</v>
      </c>
      <c r="C5956" s="12">
        <v>0</v>
      </c>
      <c r="D5956" s="13">
        <v>0</v>
      </c>
      <c r="E5956" s="12">
        <v>0</v>
      </c>
      <c r="F5956" s="14">
        <v>0</v>
      </c>
      <c r="G5956" s="13">
        <v>101142437.082</v>
      </c>
      <c r="H5956" s="14">
        <v>89096039055.491425</v>
      </c>
      <c r="I5956" s="14" t="e">
        <f>=Round(4009911.00920000,0)</f>
        <v>#VALUE!</v>
      </c>
      <c r="J5956" s="14" t="e">
        <f>=Round(0.00000000,0)</f>
        <v>#VALUE!</v>
      </c>
    </row>
    <row r="5957">
      <c r="A5957" s="11" t="s">
        <v>46</v>
      </c>
      <c r="B5957" s="12">
        <v>882.1202</v>
      </c>
      <c r="C5957" s="12">
        <v>0</v>
      </c>
      <c r="D5957" s="13">
        <v>0</v>
      </c>
      <c r="E5957" s="12">
        <v>0</v>
      </c>
      <c r="F5957" s="14">
        <v>0</v>
      </c>
      <c r="G5957" s="13">
        <v>101142437.082</v>
      </c>
      <c r="H5957" s="14">
        <v>89219786827.261246</v>
      </c>
      <c r="I5957" s="14" t="e">
        <f>=Round(4016624.71150000,0)</f>
        <v>#VALUE!</v>
      </c>
      <c r="J5957" s="14" t="e">
        <f>=Round(0.00000000,0)</f>
        <v>#VALUE!</v>
      </c>
    </row>
    <row r="5958">
      <c r="A5958" s="11" t="s">
        <v>47</v>
      </c>
      <c r="B5958" s="12">
        <v>883.1259</v>
      </c>
      <c r="C5958" s="12">
        <v>0</v>
      </c>
      <c r="D5958" s="13">
        <v>0</v>
      </c>
      <c r="E5958" s="12">
        <v>0</v>
      </c>
      <c r="F5958" s="14">
        <v>0</v>
      </c>
      <c r="G5958" s="13">
        <v>101142437.082</v>
      </c>
      <c r="H5958" s="14">
        <v>89321505776.234619</v>
      </c>
      <c r="I5958" s="14" t="e">
        <f>=Round(4022203.50450000,0)</f>
        <v>#VALUE!</v>
      </c>
      <c r="J5958" s="14" t="e">
        <f>=Round(0.00000000,0)</f>
        <v>#VALUE!</v>
      </c>
    </row>
    <row r="5959">
      <c r="A5959" s="11" t="s">
        <v>48</v>
      </c>
      <c r="B5959" s="12">
        <v>881.5182</v>
      </c>
      <c r="C5959" s="12">
        <v>0</v>
      </c>
      <c r="D5959" s="13">
        <v>0</v>
      </c>
      <c r="E5959" s="12">
        <v>0</v>
      </c>
      <c r="F5959" s="14">
        <v>0</v>
      </c>
      <c r="G5959" s="13">
        <v>101142437.082</v>
      </c>
      <c r="H5959" s="14">
        <v>89158899080.1379</v>
      </c>
      <c r="I5959" s="14" t="e">
        <f>=Round(4026789.19480000,0)</f>
        <v>#VALUE!</v>
      </c>
      <c r="J5959" s="14" t="e">
        <f>=Round(0.00000000,0)</f>
        <v>#VALUE!</v>
      </c>
    </row>
    <row r="5960">
      <c r="A5960" s="11" t="s">
        <v>49</v>
      </c>
      <c r="B5960" s="12">
        <v>881.5182</v>
      </c>
      <c r="C5960" s="12">
        <v>0</v>
      </c>
      <c r="D5960" s="13">
        <v>0</v>
      </c>
      <c r="E5960" s="12">
        <v>0</v>
      </c>
      <c r="F5960" s="14">
        <v>0</v>
      </c>
      <c r="G5960" s="13">
        <v>101142437.082</v>
      </c>
      <c r="H5960" s="14">
        <v>89158899080.1379</v>
      </c>
      <c r="I5960" s="14" t="e">
        <f>=Round(4019458.56510000,0)</f>
        <v>#VALUE!</v>
      </c>
      <c r="J5960" s="14" t="e">
        <f>=Round(0.00000000,0)</f>
        <v>#VALUE!</v>
      </c>
    </row>
    <row r="5961">
      <c r="A5961" s="11" t="s">
        <v>50</v>
      </c>
      <c r="B5961" s="12">
        <v>881.5182</v>
      </c>
      <c r="C5961" s="12">
        <v>0</v>
      </c>
      <c r="D5961" s="13">
        <v>0</v>
      </c>
      <c r="E5961" s="12">
        <v>0</v>
      </c>
      <c r="F5961" s="14">
        <v>0</v>
      </c>
      <c r="G5961" s="13">
        <v>101142437.082</v>
      </c>
      <c r="H5961" s="14">
        <v>89158899080.1379</v>
      </c>
      <c r="I5961" s="14" t="e">
        <f>=Round(4019458.56510000,0)</f>
        <v>#VALUE!</v>
      </c>
      <c r="J5961" s="14" t="e">
        <f>=Round(0.00000000,0)</f>
        <v>#VALUE!</v>
      </c>
    </row>
    <row r="5962">
      <c r="A5962" s="11" t="s">
        <v>51</v>
      </c>
      <c r="B5962" s="12">
        <v>878.4225</v>
      </c>
      <c r="C5962" s="12">
        <v>0</v>
      </c>
      <c r="D5962" s="13">
        <v>0</v>
      </c>
      <c r="E5962" s="12">
        <v>0</v>
      </c>
      <c r="F5962" s="14">
        <v>0</v>
      </c>
      <c r="G5962" s="13">
        <v>101142437.082</v>
      </c>
      <c r="H5962" s="14">
        <v>88845792437.663147</v>
      </c>
      <c r="I5962" s="14" t="e">
        <f>=Round(4019458.56510000,0)</f>
        <v>#VALUE!</v>
      </c>
      <c r="J5962" s="14" t="e">
        <f>=Round(0.00000000,0)</f>
        <v>#VALUE!</v>
      </c>
    </row>
    <row r="5963">
      <c r="A5963" s="11" t="s">
        <v>52</v>
      </c>
      <c r="B5963" s="12">
        <v>878.418</v>
      </c>
      <c r="C5963" s="12">
        <v>0</v>
      </c>
      <c r="D5963" s="13">
        <v>0</v>
      </c>
      <c r="E5963" s="12">
        <v>0</v>
      </c>
      <c r="F5963" s="14">
        <v>0</v>
      </c>
      <c r="G5963" s="13">
        <v>101142437.082</v>
      </c>
      <c r="H5963" s="14">
        <v>88845337296.696274</v>
      </c>
      <c r="I5963" s="14" t="e">
        <f>=Round(4005343.10170000,0)</f>
        <v>#VALUE!</v>
      </c>
      <c r="J5963" s="14" t="e">
        <f>=Round(0.00000000,0)</f>
        <v>#VALUE!</v>
      </c>
    </row>
    <row r="5964">
      <c r="A5964" s="11" t="s">
        <v>53</v>
      </c>
      <c r="B5964" s="12">
        <v>875.2447</v>
      </c>
      <c r="C5964" s="12">
        <v>0</v>
      </c>
      <c r="D5964" s="13">
        <v>0</v>
      </c>
      <c r="E5964" s="12">
        <v>0</v>
      </c>
      <c r="F5964" s="14">
        <v>0</v>
      </c>
      <c r="G5964" s="13">
        <v>101142437.082</v>
      </c>
      <c r="H5964" s="14">
        <v>88524382001.103973</v>
      </c>
      <c r="I5964" s="14" t="e">
        <f>=Round(4005322.58300000,0)</f>
        <v>#VALUE!</v>
      </c>
      <c r="J5964" s="14" t="e">
        <f>=Round(0.00000000,0)</f>
        <v>#VALUE!</v>
      </c>
    </row>
    <row r="5965">
      <c r="A5965" s="11" t="s">
        <v>54</v>
      </c>
      <c r="B5965" s="12">
        <v>869.5028</v>
      </c>
      <c r="C5965" s="12">
        <v>0</v>
      </c>
      <c r="D5965" s="13">
        <v>0</v>
      </c>
      <c r="E5965" s="12">
        <v>0</v>
      </c>
      <c r="F5965" s="14">
        <v>0</v>
      </c>
      <c r="G5965" s="13">
        <v>101142437.082</v>
      </c>
      <c r="H5965" s="14">
        <v>87943632241.622833</v>
      </c>
      <c r="I5965" s="14" t="e">
        <f>=Round(3990853.28690000,0)</f>
        <v>#VALUE!</v>
      </c>
      <c r="J5965" s="14" t="e">
        <f>=Round(0.00000000,0)</f>
        <v>#VALUE!</v>
      </c>
    </row>
    <row r="5966">
      <c r="A5966" s="11" t="s">
        <v>55</v>
      </c>
      <c r="B5966" s="12">
        <v>864.2113</v>
      </c>
      <c r="C5966" s="12">
        <v>0</v>
      </c>
      <c r="D5966" s="13">
        <v>0</v>
      </c>
      <c r="E5966" s="12">
        <v>0</v>
      </c>
      <c r="F5966" s="14">
        <v>0</v>
      </c>
      <c r="G5966" s="13">
        <v>101142437.082</v>
      </c>
      <c r="H5966" s="14">
        <v>87408437035.803421</v>
      </c>
      <c r="I5966" s="14" t="e">
        <f>=Round(3964671.94530000,0)</f>
        <v>#VALUE!</v>
      </c>
      <c r="J5966" s="14" t="e">
        <f>=Round(0.00000000,0)</f>
        <v>#VALUE!</v>
      </c>
    </row>
    <row r="5967" ht="-1">
      <c r="A5967" s="15"/>
      <c r="B5967" s="16" t="s">
        <v>56</v>
      </c>
      <c r="C5967" s="15"/>
      <c r="D5967" s="15"/>
      <c r="E5967" s="15"/>
      <c r="F5967" s="15"/>
      <c r="G5967" s="15"/>
      <c r="H5967" s="15"/>
      <c r="I5967" s="17" t="e">
        <f>=Round(SUM(I5941:I5966),0)</f>
        <v>#VALUE!</v>
      </c>
      <c r="J5967" s="17" t="e">
        <f>=Round(SUM(J5941:J5966),0)</f>
        <v>#VALUE!</v>
      </c>
    </row>
    <row r="5968">
      <c r="A5968" s="1" t="s">
        <v>0</v>
      </c>
      <c r="B5968" s="1"/>
      <c r="C5968" s="1"/>
      <c r="D5968" s="1"/>
    </row>
    <row r="5969">
      <c r="A5969" s="0" t="s">
        <v>1</v>
      </c>
      <c r="C5969" s="0" t="s">
        <v>221</v>
      </c>
      <c r="H5969" s="2" t="s">
        <v>3</v>
      </c>
    </row>
    <row r="5970">
      <c r="A5970" s="0" t="s">
        <v>4</v>
      </c>
      <c r="C5970" s="0" t="s">
        <v>222</v>
      </c>
      <c r="H5970" s="3" t="s">
        <v>6</v>
      </c>
    </row>
    <row r="5971">
      <c r="A5971" s="0" t="s">
        <v>7</v>
      </c>
      <c r="C5971" s="4" t="s">
        <v>223</v>
      </c>
      <c r="H5971" s="2" t="s">
        <v>9</v>
      </c>
    </row>
    <row r="5972">
      <c r="A5972" s="0" t="s">
        <v>10</v>
      </c>
      <c r="C5972" s="4" t="s">
        <v>11</v>
      </c>
      <c r="H5972" s="2" t="s">
        <v>12</v>
      </c>
    </row>
    <row r="5973">
      <c r="A5973" s="0" t="s">
        <v>13</v>
      </c>
      <c r="C5973" s="0" t="s">
        <v>14</v>
      </c>
    </row>
    <row r="5974">
      <c r="A5974" s="0" t="s">
        <v>15</v>
      </c>
      <c r="C5974" s="0" t="s">
        <v>16</v>
      </c>
    </row>
    <row r="5975">
      <c r="A5975" s="0" t="s">
        <v>17</v>
      </c>
      <c r="C5975" s="0" t="s">
        <v>18</v>
      </c>
    </row>
    <row r="5978">
      <c r="A5978" s="5" t="s">
        <v>19</v>
      </c>
      <c r="B5978" s="5" t="s">
        <v>20</v>
      </c>
      <c r="C5978" s="7" t="s">
        <v>21</v>
      </c>
      <c r="D5978" s="9"/>
      <c r="E5978" s="7" t="s">
        <v>22</v>
      </c>
      <c r="F5978" s="9"/>
      <c r="G5978" s="5" t="s">
        <v>23</v>
      </c>
      <c r="H5978" s="5" t="s">
        <v>24</v>
      </c>
      <c r="I5978" s="5" t="s">
        <v>224</v>
      </c>
      <c r="J5978" s="5" t="s">
        <v>26</v>
      </c>
    </row>
    <row r="5979">
      <c r="A5979" s="6"/>
      <c r="B5979" s="6"/>
      <c r="C5979" s="8" t="s">
        <v>27</v>
      </c>
      <c r="D5979" s="8" t="s">
        <v>28</v>
      </c>
      <c r="E5979" s="8" t="s">
        <v>27</v>
      </c>
      <c r="F5979" s="8" t="s">
        <v>28</v>
      </c>
      <c r="G5979" s="6"/>
      <c r="H5979" s="6"/>
      <c r="I5979" s="10" t="s">
        <v>29</v>
      </c>
      <c r="J5979" s="6"/>
    </row>
    <row r="5980">
      <c r="A5980" s="11" t="s">
        <v>30</v>
      </c>
      <c r="B5980" s="12">
        <v>966.04</v>
      </c>
      <c r="C5980" s="12">
        <v>0</v>
      </c>
      <c r="D5980" s="13">
        <v>0</v>
      </c>
      <c r="E5980" s="12">
        <v>0</v>
      </c>
      <c r="F5980" s="14">
        <v>0</v>
      </c>
      <c r="G5980" s="13">
        <v>49556219.9923</v>
      </c>
      <c r="H5980" s="14">
        <v>47873290761.361488</v>
      </c>
      <c r="I5980" s="14" t="e">
        <f>=Round(2524726.01530000,0)</f>
        <v>#VALUE!</v>
      </c>
      <c r="J5980" s="14" t="e">
        <f>=Round(0.00000000,0)</f>
        <v>#VALUE!</v>
      </c>
    </row>
    <row r="5981">
      <c r="A5981" s="11" t="s">
        <v>31</v>
      </c>
      <c r="B5981" s="12">
        <v>971.127</v>
      </c>
      <c r="C5981" s="12">
        <v>0</v>
      </c>
      <c r="D5981" s="13">
        <v>0</v>
      </c>
      <c r="E5981" s="12">
        <v>0</v>
      </c>
      <c r="F5981" s="14">
        <v>0</v>
      </c>
      <c r="G5981" s="13">
        <v>49556219.9923</v>
      </c>
      <c r="H5981" s="14">
        <v>48125383252.462318</v>
      </c>
      <c r="I5981" s="14" t="e">
        <f>=Round(2517925.81190000,0)</f>
        <v>#VALUE!</v>
      </c>
      <c r="J5981" s="14" t="e">
        <f>=Round(0.00000000,0)</f>
        <v>#VALUE!</v>
      </c>
    </row>
    <row r="5982">
      <c r="A5982" s="11" t="s">
        <v>32</v>
      </c>
      <c r="B5982" s="12">
        <v>972.934</v>
      </c>
      <c r="C5982" s="12">
        <v>0</v>
      </c>
      <c r="D5982" s="13">
        <v>0</v>
      </c>
      <c r="E5982" s="12">
        <v>0</v>
      </c>
      <c r="F5982" s="14">
        <v>0</v>
      </c>
      <c r="G5982" s="13">
        <v>49556219.9923</v>
      </c>
      <c r="H5982" s="14">
        <v>48214931341.988411</v>
      </c>
      <c r="I5982" s="14" t="e">
        <f>=Round(2531184.77490000,0)</f>
        <v>#VALUE!</v>
      </c>
      <c r="J5982" s="14" t="e">
        <f>=Round(0.00000000,0)</f>
        <v>#VALUE!</v>
      </c>
    </row>
    <row r="5983">
      <c r="A5983" s="11" t="s">
        <v>33</v>
      </c>
      <c r="B5983" s="12">
        <v>974.76</v>
      </c>
      <c r="C5983" s="12">
        <v>0</v>
      </c>
      <c r="D5983" s="13">
        <v>0</v>
      </c>
      <c r="E5983" s="12">
        <v>0</v>
      </c>
      <c r="F5983" s="14">
        <v>0</v>
      </c>
      <c r="G5983" s="13">
        <v>49556219.9923</v>
      </c>
      <c r="H5983" s="14">
        <v>48305420999.694351</v>
      </c>
      <c r="I5983" s="14" t="e">
        <f>=Round(2535894.61290000,0)</f>
        <v>#VALUE!</v>
      </c>
      <c r="J5983" s="14" t="e">
        <f>=Round(0.00000000,0)</f>
        <v>#VALUE!</v>
      </c>
    </row>
    <row r="5984">
      <c r="A5984" s="11" t="s">
        <v>34</v>
      </c>
      <c r="B5984" s="12">
        <v>975.246</v>
      </c>
      <c r="C5984" s="12">
        <v>0</v>
      </c>
      <c r="D5984" s="13">
        <v>0</v>
      </c>
      <c r="E5984" s="12">
        <v>0</v>
      </c>
      <c r="F5984" s="14">
        <v>0</v>
      </c>
      <c r="G5984" s="13">
        <v>49556219.9923</v>
      </c>
      <c r="H5984" s="14">
        <v>48329505322.610611</v>
      </c>
      <c r="I5984" s="14" t="e">
        <f>=Round(2540653.97330000,0)</f>
        <v>#VALUE!</v>
      </c>
      <c r="J5984" s="14" t="e">
        <f>=Round(0.00000000,0)</f>
        <v>#VALUE!</v>
      </c>
    </row>
    <row r="5985">
      <c r="A5985" s="11" t="s">
        <v>35</v>
      </c>
      <c r="B5985" s="12">
        <v>975.246</v>
      </c>
      <c r="C5985" s="12">
        <v>0</v>
      </c>
      <c r="D5985" s="13">
        <v>0</v>
      </c>
      <c r="E5985" s="12">
        <v>0</v>
      </c>
      <c r="F5985" s="14">
        <v>0</v>
      </c>
      <c r="G5985" s="13">
        <v>49556219.9923</v>
      </c>
      <c r="H5985" s="14">
        <v>48329505322.610611</v>
      </c>
      <c r="I5985" s="14" t="e">
        <f>=Round(2541920.70340000,0)</f>
        <v>#VALUE!</v>
      </c>
      <c r="J5985" s="14" t="e">
        <f>=Round(0.00000000,0)</f>
        <v>#VALUE!</v>
      </c>
    </row>
    <row r="5986">
      <c r="A5986" s="11" t="s">
        <v>36</v>
      </c>
      <c r="B5986" s="12">
        <v>975.246</v>
      </c>
      <c r="C5986" s="12">
        <v>0</v>
      </c>
      <c r="D5986" s="13">
        <v>0</v>
      </c>
      <c r="E5986" s="12">
        <v>0</v>
      </c>
      <c r="F5986" s="14">
        <v>0</v>
      </c>
      <c r="G5986" s="13">
        <v>49556219.9923</v>
      </c>
      <c r="H5986" s="14">
        <v>48329505322.610611</v>
      </c>
      <c r="I5986" s="14" t="e">
        <f>=Round(2541920.70340000,0)</f>
        <v>#VALUE!</v>
      </c>
      <c r="J5986" s="14" t="e">
        <f>=Round(0.00000000,0)</f>
        <v>#VALUE!</v>
      </c>
    </row>
    <row r="5987">
      <c r="A5987" s="11" t="s">
        <v>37</v>
      </c>
      <c r="B5987" s="12">
        <v>973.307</v>
      </c>
      <c r="C5987" s="12">
        <v>0</v>
      </c>
      <c r="D5987" s="13">
        <v>0</v>
      </c>
      <c r="E5987" s="12">
        <v>0</v>
      </c>
      <c r="F5987" s="14">
        <v>0</v>
      </c>
      <c r="G5987" s="13">
        <v>49556219.9923</v>
      </c>
      <c r="H5987" s="14">
        <v>48233415812.045532</v>
      </c>
      <c r="I5987" s="14" t="e">
        <f>=Round(2541920.70340000,0)</f>
        <v>#VALUE!</v>
      </c>
      <c r="J5987" s="14" t="e">
        <f>=Round(0.00000000,0)</f>
        <v>#VALUE!</v>
      </c>
    </row>
    <row r="5988">
      <c r="A5988" s="11" t="s">
        <v>38</v>
      </c>
      <c r="B5988" s="12">
        <v>972.728</v>
      </c>
      <c r="C5988" s="12">
        <v>0</v>
      </c>
      <c r="D5988" s="13">
        <v>0</v>
      </c>
      <c r="E5988" s="12">
        <v>0</v>
      </c>
      <c r="F5988" s="14">
        <v>0</v>
      </c>
      <c r="G5988" s="13">
        <v>49556219.9923</v>
      </c>
      <c r="H5988" s="14">
        <v>48204722760.669991</v>
      </c>
      <c r="I5988" s="14" t="e">
        <f>=Round(2536866.81530000,0)</f>
        <v>#VALUE!</v>
      </c>
      <c r="J5988" s="14" t="e">
        <f>=Round(0.00000000,0)</f>
        <v>#VALUE!</v>
      </c>
    </row>
    <row r="5989">
      <c r="A5989" s="11" t="s">
        <v>39</v>
      </c>
      <c r="B5989" s="12">
        <v>971.797</v>
      </c>
      <c r="C5989" s="12">
        <v>0</v>
      </c>
      <c r="D5989" s="13">
        <v>0</v>
      </c>
      <c r="E5989" s="12">
        <v>0</v>
      </c>
      <c r="F5989" s="14">
        <v>0</v>
      </c>
      <c r="G5989" s="13">
        <v>49556219.9923</v>
      </c>
      <c r="H5989" s="14">
        <v>48158585919.857162</v>
      </c>
      <c r="I5989" s="14" t="e">
        <f>=Round(2535357.68620000,0)</f>
        <v>#VALUE!</v>
      </c>
      <c r="J5989" s="14" t="e">
        <f>=Round(0.00000000,0)</f>
        <v>#VALUE!</v>
      </c>
    </row>
    <row r="5990">
      <c r="A5990" s="11" t="s">
        <v>40</v>
      </c>
      <c r="B5990" s="12">
        <v>970.22</v>
      </c>
      <c r="C5990" s="12">
        <v>0</v>
      </c>
      <c r="D5990" s="13">
        <v>0</v>
      </c>
      <c r="E5990" s="12">
        <v>0</v>
      </c>
      <c r="F5990" s="14">
        <v>0</v>
      </c>
      <c r="G5990" s="13">
        <v>49556219.9923</v>
      </c>
      <c r="H5990" s="14">
        <v>48080435760.929306</v>
      </c>
      <c r="I5990" s="14" t="e">
        <f>=Round(2532931.09000000,0)</f>
        <v>#VALUE!</v>
      </c>
      <c r="J5990" s="14" t="e">
        <f>=Round(0.00000000,0)</f>
        <v>#VALUE!</v>
      </c>
    </row>
    <row r="5991">
      <c r="A5991" s="11" t="s">
        <v>41</v>
      </c>
      <c r="B5991" s="12">
        <v>969.993</v>
      </c>
      <c r="C5991" s="12">
        <v>0</v>
      </c>
      <c r="D5991" s="13">
        <v>0</v>
      </c>
      <c r="E5991" s="12">
        <v>0</v>
      </c>
      <c r="F5991" s="14">
        <v>0</v>
      </c>
      <c r="G5991" s="13">
        <v>49556219.9923</v>
      </c>
      <c r="H5991" s="14">
        <v>48069186498.991058</v>
      </c>
      <c r="I5991" s="14" t="e">
        <f>=Round(2528820.73330000,0)</f>
        <v>#VALUE!</v>
      </c>
      <c r="J5991" s="14" t="e">
        <f>=Round(0.00000000,0)</f>
        <v>#VALUE!</v>
      </c>
    </row>
    <row r="5992">
      <c r="A5992" s="11" t="s">
        <v>42</v>
      </c>
      <c r="B5992" s="12">
        <v>969.993</v>
      </c>
      <c r="C5992" s="12">
        <v>0</v>
      </c>
      <c r="D5992" s="13">
        <v>0</v>
      </c>
      <c r="E5992" s="12">
        <v>0</v>
      </c>
      <c r="F5992" s="14">
        <v>0</v>
      </c>
      <c r="G5992" s="13">
        <v>49556219.9923</v>
      </c>
      <c r="H5992" s="14">
        <v>48069186498.991058</v>
      </c>
      <c r="I5992" s="14" t="e">
        <f>=Round(2528229.07130000,0)</f>
        <v>#VALUE!</v>
      </c>
      <c r="J5992" s="14" t="e">
        <f>=Round(0.00000000,0)</f>
        <v>#VALUE!</v>
      </c>
    </row>
    <row r="5993">
      <c r="A5993" s="11" t="s">
        <v>43</v>
      </c>
      <c r="B5993" s="12">
        <v>969.993</v>
      </c>
      <c r="C5993" s="12">
        <v>0</v>
      </c>
      <c r="D5993" s="13">
        <v>0</v>
      </c>
      <c r="E5993" s="12">
        <v>0</v>
      </c>
      <c r="F5993" s="14">
        <v>0</v>
      </c>
      <c r="G5993" s="13">
        <v>49556219.9923</v>
      </c>
      <c r="H5993" s="14">
        <v>48069186498.991058</v>
      </c>
      <c r="I5993" s="14" t="e">
        <f>=Round(2528229.07130000,0)</f>
        <v>#VALUE!</v>
      </c>
      <c r="J5993" s="14" t="e">
        <f>=Round(0.00000000,0)</f>
        <v>#VALUE!</v>
      </c>
    </row>
    <row r="5994">
      <c r="A5994" s="11" t="s">
        <v>44</v>
      </c>
      <c r="B5994" s="12">
        <v>970.802</v>
      </c>
      <c r="C5994" s="12">
        <v>0</v>
      </c>
      <c r="D5994" s="13">
        <v>0</v>
      </c>
      <c r="E5994" s="12">
        <v>0</v>
      </c>
      <c r="F5994" s="14">
        <v>0</v>
      </c>
      <c r="G5994" s="13">
        <v>49556219.9923</v>
      </c>
      <c r="H5994" s="14">
        <v>48109277480.964821</v>
      </c>
      <c r="I5994" s="14" t="e">
        <f>=Round(2528229.07130000,0)</f>
        <v>#VALUE!</v>
      </c>
      <c r="J5994" s="14" t="e">
        <f>=Round(0.00000000,0)</f>
        <v>#VALUE!</v>
      </c>
    </row>
    <row r="5995">
      <c r="A5995" s="11" t="s">
        <v>45</v>
      </c>
      <c r="B5995" s="12">
        <v>972.536</v>
      </c>
      <c r="C5995" s="12">
        <v>0</v>
      </c>
      <c r="D5995" s="13">
        <v>0</v>
      </c>
      <c r="E5995" s="12">
        <v>0</v>
      </c>
      <c r="F5995" s="14">
        <v>0</v>
      </c>
      <c r="G5995" s="13">
        <v>49556219.9923</v>
      </c>
      <c r="H5995" s="14">
        <v>48195207966.431473</v>
      </c>
      <c r="I5995" s="14" t="e">
        <f>=Round(2530337.68170000,0)</f>
        <v>#VALUE!</v>
      </c>
      <c r="J5995" s="14" t="e">
        <f>=Round(0.00000000,0)</f>
        <v>#VALUE!</v>
      </c>
    </row>
    <row r="5996">
      <c r="A5996" s="11" t="s">
        <v>46</v>
      </c>
      <c r="B5996" s="12">
        <v>974.598</v>
      </c>
      <c r="C5996" s="12">
        <v>0</v>
      </c>
      <c r="D5996" s="13">
        <v>0</v>
      </c>
      <c r="E5996" s="12">
        <v>0</v>
      </c>
      <c r="F5996" s="14">
        <v>0</v>
      </c>
      <c r="G5996" s="13">
        <v>49556219.9923</v>
      </c>
      <c r="H5996" s="14">
        <v>48297392892.055595</v>
      </c>
      <c r="I5996" s="14" t="e">
        <f>=Round(2534857.24960000,0)</f>
        <v>#VALUE!</v>
      </c>
      <c r="J5996" s="14" t="e">
        <f>=Round(0.00000000,0)</f>
        <v>#VALUE!</v>
      </c>
    </row>
    <row r="5997">
      <c r="A5997" s="11" t="s">
        <v>47</v>
      </c>
      <c r="B5997" s="12">
        <v>975.819</v>
      </c>
      <c r="C5997" s="12">
        <v>0</v>
      </c>
      <c r="D5997" s="13">
        <v>0</v>
      </c>
      <c r="E5997" s="12">
        <v>0</v>
      </c>
      <c r="F5997" s="14">
        <v>0</v>
      </c>
      <c r="G5997" s="13">
        <v>49556219.9923</v>
      </c>
      <c r="H5997" s="14">
        <v>48357901036.666191</v>
      </c>
      <c r="I5997" s="14" t="e">
        <f>=Round(2540231.73000000,0)</f>
        <v>#VALUE!</v>
      </c>
      <c r="J5997" s="14" t="e">
        <f>=Round(0.00000000,0)</f>
        <v>#VALUE!</v>
      </c>
    </row>
    <row r="5998">
      <c r="A5998" s="11" t="s">
        <v>48</v>
      </c>
      <c r="B5998" s="12">
        <v>973.482</v>
      </c>
      <c r="C5998" s="12">
        <v>0</v>
      </c>
      <c r="D5998" s="13">
        <v>0</v>
      </c>
      <c r="E5998" s="12">
        <v>0</v>
      </c>
      <c r="F5998" s="14">
        <v>0</v>
      </c>
      <c r="G5998" s="13">
        <v>49556219.9923</v>
      </c>
      <c r="H5998" s="14">
        <v>48242088150.544189</v>
      </c>
      <c r="I5998" s="14" t="e">
        <f>=Round(2543414.19390000,0)</f>
        <v>#VALUE!</v>
      </c>
      <c r="J5998" s="14" t="e">
        <f>=Round(0.00000000,0)</f>
        <v>#VALUE!</v>
      </c>
    </row>
    <row r="5999">
      <c r="A5999" s="11" t="s">
        <v>49</v>
      </c>
      <c r="B5999" s="12">
        <v>973.482</v>
      </c>
      <c r="C5999" s="12">
        <v>0</v>
      </c>
      <c r="D5999" s="13">
        <v>0</v>
      </c>
      <c r="E5999" s="12">
        <v>0</v>
      </c>
      <c r="F5999" s="14">
        <v>0</v>
      </c>
      <c r="G5999" s="13">
        <v>49556219.9923</v>
      </c>
      <c r="H5999" s="14">
        <v>48242088150.544189</v>
      </c>
      <c r="I5999" s="14" t="e">
        <f>=Round(2537322.94230000,0)</f>
        <v>#VALUE!</v>
      </c>
      <c r="J5999" s="14" t="e">
        <f>=Round(0.00000000,0)</f>
        <v>#VALUE!</v>
      </c>
    </row>
    <row r="6000">
      <c r="A6000" s="11" t="s">
        <v>50</v>
      </c>
      <c r="B6000" s="12">
        <v>973.482</v>
      </c>
      <c r="C6000" s="12">
        <v>0</v>
      </c>
      <c r="D6000" s="13">
        <v>0</v>
      </c>
      <c r="E6000" s="12">
        <v>0</v>
      </c>
      <c r="F6000" s="14">
        <v>0</v>
      </c>
      <c r="G6000" s="13">
        <v>49556219.9923</v>
      </c>
      <c r="H6000" s="14">
        <v>48242088150.544189</v>
      </c>
      <c r="I6000" s="14" t="e">
        <f>=Round(2537322.94230000,0)</f>
        <v>#VALUE!</v>
      </c>
      <c r="J6000" s="14" t="e">
        <f>=Round(0.00000000,0)</f>
        <v>#VALUE!</v>
      </c>
    </row>
    <row r="6001">
      <c r="A6001" s="11" t="s">
        <v>51</v>
      </c>
      <c r="B6001" s="12">
        <v>969.009</v>
      </c>
      <c r="C6001" s="12">
        <v>0</v>
      </c>
      <c r="D6001" s="13">
        <v>0</v>
      </c>
      <c r="E6001" s="12">
        <v>0</v>
      </c>
      <c r="F6001" s="14">
        <v>0</v>
      </c>
      <c r="G6001" s="13">
        <v>49556219.9923</v>
      </c>
      <c r="H6001" s="14">
        <v>48020423178.518631</v>
      </c>
      <c r="I6001" s="14" t="e">
        <f>=Round(2537322.94230000,0)</f>
        <v>#VALUE!</v>
      </c>
      <c r="J6001" s="14" t="e">
        <f>=Round(0.00000000,0)</f>
        <v>#VALUE!</v>
      </c>
    </row>
    <row r="6002">
      <c r="A6002" s="11" t="s">
        <v>52</v>
      </c>
      <c r="B6002" s="12">
        <v>969.309</v>
      </c>
      <c r="C6002" s="12">
        <v>0</v>
      </c>
      <c r="D6002" s="13">
        <v>0</v>
      </c>
      <c r="E6002" s="12">
        <v>0</v>
      </c>
      <c r="F6002" s="14">
        <v>0</v>
      </c>
      <c r="G6002" s="13">
        <v>49556219.9923</v>
      </c>
      <c r="H6002" s="14">
        <v>48035290044.516319</v>
      </c>
      <c r="I6002" s="14" t="e">
        <f>=Round(2525664.33380000,0)</f>
        <v>#VALUE!</v>
      </c>
      <c r="J6002" s="14" t="e">
        <f>=Round(0.00000000,0)</f>
        <v>#VALUE!</v>
      </c>
    </row>
    <row r="6003">
      <c r="A6003" s="11" t="s">
        <v>53</v>
      </c>
      <c r="B6003" s="12">
        <v>966.658</v>
      </c>
      <c r="C6003" s="12">
        <v>0</v>
      </c>
      <c r="D6003" s="13">
        <v>0</v>
      </c>
      <c r="E6003" s="12">
        <v>0</v>
      </c>
      <c r="F6003" s="14">
        <v>0</v>
      </c>
      <c r="G6003" s="13">
        <v>49556219.9923</v>
      </c>
      <c r="H6003" s="14">
        <v>47903916505.316734</v>
      </c>
      <c r="I6003" s="14" t="e">
        <f>=Round(2526446.26600000,0)</f>
        <v>#VALUE!</v>
      </c>
      <c r="J6003" s="14" t="e">
        <f>=Round(0.00000000,0)</f>
        <v>#VALUE!</v>
      </c>
    </row>
    <row r="6004">
      <c r="A6004" s="11" t="s">
        <v>54</v>
      </c>
      <c r="B6004" s="12">
        <v>959.219</v>
      </c>
      <c r="C6004" s="12">
        <v>0</v>
      </c>
      <c r="D6004" s="13">
        <v>0</v>
      </c>
      <c r="E6004" s="12">
        <v>0</v>
      </c>
      <c r="F6004" s="14">
        <v>0</v>
      </c>
      <c r="G6004" s="13">
        <v>49556219.9923</v>
      </c>
      <c r="H6004" s="14">
        <v>47535267784.794014</v>
      </c>
      <c r="I6004" s="14" t="e">
        <f>=Round(2519536.59220000,0)</f>
        <v>#VALUE!</v>
      </c>
      <c r="J6004" s="14" t="e">
        <f>=Round(0.00000000,0)</f>
        <v>#VALUE!</v>
      </c>
    </row>
    <row r="6005">
      <c r="A6005" s="11" t="s">
        <v>55</v>
      </c>
      <c r="B6005" s="12">
        <v>953.596</v>
      </c>
      <c r="C6005" s="12">
        <v>0</v>
      </c>
      <c r="D6005" s="13">
        <v>0</v>
      </c>
      <c r="E6005" s="12">
        <v>0</v>
      </c>
      <c r="F6005" s="14">
        <v>0</v>
      </c>
      <c r="G6005" s="13">
        <v>49556219.9923</v>
      </c>
      <c r="H6005" s="14">
        <v>47256613159.777313</v>
      </c>
      <c r="I6005" s="14" t="e">
        <f>=Round(2500147.28100000,0)</f>
        <v>#VALUE!</v>
      </c>
      <c r="J6005" s="14" t="e">
        <f>=Round(0.00000000,0)</f>
        <v>#VALUE!</v>
      </c>
    </row>
    <row r="6006" ht="-1">
      <c r="A6006" s="15"/>
      <c r="B6006" s="16" t="s">
        <v>56</v>
      </c>
      <c r="C6006" s="15"/>
      <c r="D6006" s="15"/>
      <c r="E6006" s="15"/>
      <c r="F6006" s="15"/>
      <c r="G6006" s="15"/>
      <c r="H6006" s="15"/>
      <c r="I6006" s="17" t="e">
        <f>=Round(SUM(I5980:I6005),0)</f>
        <v>#VALUE!</v>
      </c>
      <c r="J6006" s="17" t="e">
        <f>=Round(SUM(J5980:J6005),0)</f>
        <v>#VALUE!</v>
      </c>
    </row>
    <row r="6007">
      <c r="A6007" s="1" t="s">
        <v>0</v>
      </c>
      <c r="B6007" s="1"/>
      <c r="C6007" s="1"/>
      <c r="D6007" s="1"/>
    </row>
    <row r="6008">
      <c r="A6008" s="0" t="s">
        <v>1</v>
      </c>
      <c r="C6008" s="0" t="s">
        <v>225</v>
      </c>
      <c r="H6008" s="2" t="s">
        <v>3</v>
      </c>
    </row>
    <row r="6009">
      <c r="A6009" s="0" t="s">
        <v>4</v>
      </c>
      <c r="C6009" s="0" t="s">
        <v>165</v>
      </c>
      <c r="H6009" s="3" t="s">
        <v>6</v>
      </c>
    </row>
    <row r="6010">
      <c r="A6010" s="0" t="s">
        <v>7</v>
      </c>
      <c r="C6010" s="4" t="s">
        <v>226</v>
      </c>
      <c r="H6010" s="2" t="s">
        <v>9</v>
      </c>
    </row>
    <row r="6011">
      <c r="A6011" s="0" t="s">
        <v>10</v>
      </c>
      <c r="C6011" s="4" t="s">
        <v>11</v>
      </c>
      <c r="H6011" s="2" t="s">
        <v>12</v>
      </c>
    </row>
    <row r="6012">
      <c r="A6012" s="0" t="s">
        <v>13</v>
      </c>
      <c r="C6012" s="0" t="s">
        <v>14</v>
      </c>
    </row>
    <row r="6013">
      <c r="A6013" s="0" t="s">
        <v>15</v>
      </c>
      <c r="C6013" s="0" t="s">
        <v>16</v>
      </c>
    </row>
    <row r="6014">
      <c r="A6014" s="0" t="s">
        <v>17</v>
      </c>
      <c r="C6014" s="0" t="s">
        <v>18</v>
      </c>
    </row>
    <row r="6017">
      <c r="A6017" s="5" t="s">
        <v>19</v>
      </c>
      <c r="B6017" s="5" t="s">
        <v>20</v>
      </c>
      <c r="C6017" s="7" t="s">
        <v>21</v>
      </c>
      <c r="D6017" s="9"/>
      <c r="E6017" s="7" t="s">
        <v>22</v>
      </c>
      <c r="F6017" s="9"/>
      <c r="G6017" s="5" t="s">
        <v>23</v>
      </c>
      <c r="H6017" s="5" t="s">
        <v>24</v>
      </c>
      <c r="I6017" s="5" t="s">
        <v>227</v>
      </c>
      <c r="J6017" s="5" t="s">
        <v>26</v>
      </c>
    </row>
    <row r="6018">
      <c r="A6018" s="6"/>
      <c r="B6018" s="6"/>
      <c r="C6018" s="8" t="s">
        <v>27</v>
      </c>
      <c r="D6018" s="8" t="s">
        <v>28</v>
      </c>
      <c r="E6018" s="8" t="s">
        <v>27</v>
      </c>
      <c r="F6018" s="8" t="s">
        <v>28</v>
      </c>
      <c r="G6018" s="6"/>
      <c r="H6018" s="6"/>
      <c r="I6018" s="10" t="s">
        <v>29</v>
      </c>
      <c r="J6018" s="6"/>
    </row>
    <row r="6019">
      <c r="A6019" s="11" t="s">
        <v>30</v>
      </c>
      <c r="B6019" s="12">
        <v>993.7629</v>
      </c>
      <c r="C6019" s="12">
        <v>0</v>
      </c>
      <c r="D6019" s="13">
        <v>0</v>
      </c>
      <c r="E6019" s="12">
        <v>0</v>
      </c>
      <c r="F6019" s="14">
        <v>0</v>
      </c>
      <c r="G6019" s="13">
        <v>95584680.423</v>
      </c>
      <c r="H6019" s="14">
        <v>94988509212.733719</v>
      </c>
      <c r="I6019" s="14" t="e">
        <f>=Round(570556.59470000,0)</f>
        <v>#VALUE!</v>
      </c>
      <c r="J6019" s="14" t="e">
        <f>=Round(0.00000000,0)</f>
        <v>#VALUE!</v>
      </c>
    </row>
    <row r="6020">
      <c r="A6020" s="11" t="s">
        <v>31</v>
      </c>
      <c r="B6020" s="12">
        <v>993.955</v>
      </c>
      <c r="C6020" s="12">
        <v>0</v>
      </c>
      <c r="D6020" s="13">
        <v>0</v>
      </c>
      <c r="E6020" s="12">
        <v>0</v>
      </c>
      <c r="F6020" s="14">
        <v>0</v>
      </c>
      <c r="G6020" s="13">
        <v>95584680.423</v>
      </c>
      <c r="H6020" s="14">
        <v>95006871029.842957</v>
      </c>
      <c r="I6020" s="14" t="e">
        <f>=Round(570969.18110000,0)</f>
        <v>#VALUE!</v>
      </c>
      <c r="J6020" s="14" t="e">
        <f>=Round(0.00000000,0)</f>
        <v>#VALUE!</v>
      </c>
    </row>
    <row r="6021">
      <c r="A6021" s="11" t="s">
        <v>32</v>
      </c>
      <c r="B6021" s="12">
        <v>994.147</v>
      </c>
      <c r="C6021" s="12">
        <v>0</v>
      </c>
      <c r="D6021" s="13">
        <v>0</v>
      </c>
      <c r="E6021" s="12">
        <v>0</v>
      </c>
      <c r="F6021" s="14">
        <v>0</v>
      </c>
      <c r="G6021" s="13">
        <v>95584680.423</v>
      </c>
      <c r="H6021" s="14">
        <v>95025223288.484177</v>
      </c>
      <c r="I6021" s="14" t="e">
        <f>=Round(571079.55260000,0)</f>
        <v>#VALUE!</v>
      </c>
      <c r="J6021" s="14" t="e">
        <f>=Round(0.00000000,0)</f>
        <v>#VALUE!</v>
      </c>
    </row>
    <row r="6022">
      <c r="A6022" s="11" t="s">
        <v>33</v>
      </c>
      <c r="B6022" s="12">
        <v>994.3632</v>
      </c>
      <c r="C6022" s="12">
        <v>0</v>
      </c>
      <c r="D6022" s="13">
        <v>0</v>
      </c>
      <c r="E6022" s="12">
        <v>0</v>
      </c>
      <c r="F6022" s="14">
        <v>0</v>
      </c>
      <c r="G6022" s="13">
        <v>95584680.423</v>
      </c>
      <c r="H6022" s="14">
        <v>95045888696.391632</v>
      </c>
      <c r="I6022" s="14" t="e">
        <f>=Round(571189.86680000,0)</f>
        <v>#VALUE!</v>
      </c>
      <c r="J6022" s="14" t="e">
        <f>=Round(0.00000000,0)</f>
        <v>#VALUE!</v>
      </c>
    </row>
    <row r="6023">
      <c r="A6023" s="11" t="s">
        <v>34</v>
      </c>
      <c r="B6023" s="12">
        <v>994.5634</v>
      </c>
      <c r="C6023" s="12">
        <v>0</v>
      </c>
      <c r="D6023" s="13">
        <v>0</v>
      </c>
      <c r="E6023" s="12">
        <v>0</v>
      </c>
      <c r="F6023" s="14">
        <v>0</v>
      </c>
      <c r="G6023" s="13">
        <v>95584680.423</v>
      </c>
      <c r="H6023" s="14">
        <v>95065024749.412323</v>
      </c>
      <c r="I6023" s="14" t="e">
        <f>=Round(571314.08510000,0)</f>
        <v>#VALUE!</v>
      </c>
      <c r="J6023" s="14" t="e">
        <f>=Round(0.00000000,0)</f>
        <v>#VALUE!</v>
      </c>
    </row>
    <row r="6024">
      <c r="A6024" s="11" t="s">
        <v>35</v>
      </c>
      <c r="B6024" s="12">
        <v>994.5634</v>
      </c>
      <c r="C6024" s="12">
        <v>0</v>
      </c>
      <c r="D6024" s="13">
        <v>0</v>
      </c>
      <c r="E6024" s="12">
        <v>0</v>
      </c>
      <c r="F6024" s="14">
        <v>0</v>
      </c>
      <c r="G6024" s="13">
        <v>95584680.423</v>
      </c>
      <c r="H6024" s="14">
        <v>95065024749.412323</v>
      </c>
      <c r="I6024" s="14" t="e">
        <f>=Round(571429.11050000,0)</f>
        <v>#VALUE!</v>
      </c>
      <c r="J6024" s="14" t="e">
        <f>=Round(0.00000000,0)</f>
        <v>#VALUE!</v>
      </c>
    </row>
    <row r="6025">
      <c r="A6025" s="11" t="s">
        <v>36</v>
      </c>
      <c r="B6025" s="12">
        <v>994.5634</v>
      </c>
      <c r="C6025" s="12">
        <v>0</v>
      </c>
      <c r="D6025" s="13">
        <v>0</v>
      </c>
      <c r="E6025" s="12">
        <v>0</v>
      </c>
      <c r="F6025" s="14">
        <v>0</v>
      </c>
      <c r="G6025" s="13">
        <v>95584680.423</v>
      </c>
      <c r="H6025" s="14">
        <v>95065024749.412323</v>
      </c>
      <c r="I6025" s="14" t="e">
        <f>=Round(571429.11050000,0)</f>
        <v>#VALUE!</v>
      </c>
      <c r="J6025" s="14" t="e">
        <f>=Round(0.00000000,0)</f>
        <v>#VALUE!</v>
      </c>
    </row>
    <row r="6026">
      <c r="A6026" s="11" t="s">
        <v>37</v>
      </c>
      <c r="B6026" s="12">
        <v>995.1709</v>
      </c>
      <c r="C6026" s="12">
        <v>0</v>
      </c>
      <c r="D6026" s="13">
        <v>0</v>
      </c>
      <c r="E6026" s="12">
        <v>0</v>
      </c>
      <c r="F6026" s="14">
        <v>0</v>
      </c>
      <c r="G6026" s="13">
        <v>95584680.423</v>
      </c>
      <c r="H6026" s="14">
        <v>95123092442.7693</v>
      </c>
      <c r="I6026" s="14" t="e">
        <f>=Round(571429.11050000,0)</f>
        <v>#VALUE!</v>
      </c>
      <c r="J6026" s="14" t="e">
        <f>=Round(0.00000000,0)</f>
        <v>#VALUE!</v>
      </c>
    </row>
    <row r="6027">
      <c r="A6027" s="11" t="s">
        <v>38</v>
      </c>
      <c r="B6027" s="12">
        <v>995.3618</v>
      </c>
      <c r="C6027" s="12">
        <v>0</v>
      </c>
      <c r="D6027" s="13">
        <v>0</v>
      </c>
      <c r="E6027" s="12">
        <v>0</v>
      </c>
      <c r="F6027" s="14">
        <v>0</v>
      </c>
      <c r="G6027" s="13">
        <v>95584680.423</v>
      </c>
      <c r="H6027" s="14">
        <v>95141339558.262054</v>
      </c>
      <c r="I6027" s="14" t="e">
        <f>=Round(571778.15130000,0)</f>
        <v>#VALUE!</v>
      </c>
      <c r="J6027" s="14" t="e">
        <f>=Round(0.00000000,0)</f>
        <v>#VALUE!</v>
      </c>
    </row>
    <row r="6028">
      <c r="A6028" s="11" t="s">
        <v>39</v>
      </c>
      <c r="B6028" s="12">
        <v>995.9009</v>
      </c>
      <c r="C6028" s="12">
        <v>0</v>
      </c>
      <c r="D6028" s="13">
        <v>0</v>
      </c>
      <c r="E6028" s="12">
        <v>0</v>
      </c>
      <c r="F6028" s="14">
        <v>0</v>
      </c>
      <c r="G6028" s="13">
        <v>95584680.423</v>
      </c>
      <c r="H6028" s="14">
        <v>95192869259.478073</v>
      </c>
      <c r="I6028" s="14" t="e">
        <f>=Round(571887.83340000,0)</f>
        <v>#VALUE!</v>
      </c>
      <c r="J6028" s="14" t="e">
        <f>=Round(0.00000000,0)</f>
        <v>#VALUE!</v>
      </c>
    </row>
    <row r="6029">
      <c r="A6029" s="11" t="s">
        <v>40</v>
      </c>
      <c r="B6029" s="12">
        <v>996.1851</v>
      </c>
      <c r="C6029" s="12">
        <v>0</v>
      </c>
      <c r="D6029" s="13">
        <v>0</v>
      </c>
      <c r="E6029" s="12">
        <v>0</v>
      </c>
      <c r="F6029" s="14">
        <v>0</v>
      </c>
      <c r="G6029" s="13">
        <v>95584680.423</v>
      </c>
      <c r="H6029" s="14">
        <v>95220034425.6543</v>
      </c>
      <c r="I6029" s="14" t="e">
        <f>=Round(572197.57480000,0)</f>
        <v>#VALUE!</v>
      </c>
      <c r="J6029" s="14" t="e">
        <f>=Round(0.00000000,0)</f>
        <v>#VALUE!</v>
      </c>
    </row>
    <row r="6030">
      <c r="A6030" s="11" t="s">
        <v>41</v>
      </c>
      <c r="B6030" s="12">
        <v>996.4486</v>
      </c>
      <c r="C6030" s="12">
        <v>0</v>
      </c>
      <c r="D6030" s="13">
        <v>0</v>
      </c>
      <c r="E6030" s="12">
        <v>0</v>
      </c>
      <c r="F6030" s="14">
        <v>0</v>
      </c>
      <c r="G6030" s="13">
        <v>95584680.423</v>
      </c>
      <c r="H6030" s="14">
        <v>95245220988.945755</v>
      </c>
      <c r="I6030" s="14" t="e">
        <f>=Round(572360.86270000,0)</f>
        <v>#VALUE!</v>
      </c>
      <c r="J6030" s="14" t="e">
        <f>=Round(0.00000000,0)</f>
        <v>#VALUE!</v>
      </c>
    </row>
    <row r="6031">
      <c r="A6031" s="11" t="s">
        <v>42</v>
      </c>
      <c r="B6031" s="12">
        <v>996.4486</v>
      </c>
      <c r="C6031" s="12">
        <v>0</v>
      </c>
      <c r="D6031" s="13">
        <v>0</v>
      </c>
      <c r="E6031" s="12">
        <v>0</v>
      </c>
      <c r="F6031" s="14">
        <v>0</v>
      </c>
      <c r="G6031" s="13">
        <v>95584680.423</v>
      </c>
      <c r="H6031" s="14">
        <v>95245220988.945755</v>
      </c>
      <c r="I6031" s="14" t="e">
        <f>=Round(572512.25730000,0)</f>
        <v>#VALUE!</v>
      </c>
      <c r="J6031" s="14" t="e">
        <f>=Round(0.00000000,0)</f>
        <v>#VALUE!</v>
      </c>
    </row>
    <row r="6032">
      <c r="A6032" s="11" t="s">
        <v>43</v>
      </c>
      <c r="B6032" s="12">
        <v>996.4486</v>
      </c>
      <c r="C6032" s="12">
        <v>0</v>
      </c>
      <c r="D6032" s="13">
        <v>0</v>
      </c>
      <c r="E6032" s="12">
        <v>0</v>
      </c>
      <c r="F6032" s="14">
        <v>0</v>
      </c>
      <c r="G6032" s="13">
        <v>95584680.423</v>
      </c>
      <c r="H6032" s="14">
        <v>95245220988.945755</v>
      </c>
      <c r="I6032" s="14" t="e">
        <f>=Round(572512.25730000,0)</f>
        <v>#VALUE!</v>
      </c>
      <c r="J6032" s="14" t="e">
        <f>=Round(0.00000000,0)</f>
        <v>#VALUE!</v>
      </c>
    </row>
    <row r="6033">
      <c r="A6033" s="11" t="s">
        <v>44</v>
      </c>
      <c r="B6033" s="12">
        <v>997.1328</v>
      </c>
      <c r="C6033" s="12">
        <v>0</v>
      </c>
      <c r="D6033" s="13">
        <v>0</v>
      </c>
      <c r="E6033" s="12">
        <v>0</v>
      </c>
      <c r="F6033" s="14">
        <v>0</v>
      </c>
      <c r="G6033" s="13">
        <v>95584680.423</v>
      </c>
      <c r="H6033" s="14">
        <v>95310620027.291168</v>
      </c>
      <c r="I6033" s="14" t="e">
        <f>=Round(572512.25730000,0)</f>
        <v>#VALUE!</v>
      </c>
      <c r="J6033" s="14" t="e">
        <f>=Round(0.00000000,0)</f>
        <v>#VALUE!</v>
      </c>
    </row>
    <row r="6034">
      <c r="A6034" s="11" t="s">
        <v>45</v>
      </c>
      <c r="B6034" s="12">
        <v>997.3237</v>
      </c>
      <c r="C6034" s="12">
        <v>0</v>
      </c>
      <c r="D6034" s="13">
        <v>0</v>
      </c>
      <c r="E6034" s="12">
        <v>0</v>
      </c>
      <c r="F6034" s="14">
        <v>0</v>
      </c>
      <c r="G6034" s="13">
        <v>95584680.423</v>
      </c>
      <c r="H6034" s="14">
        <v>95328867142.78392</v>
      </c>
      <c r="I6034" s="14" t="e">
        <f>=Round(572905.36630000,0)</f>
        <v>#VALUE!</v>
      </c>
      <c r="J6034" s="14" t="e">
        <f>=Round(0.00000000,0)</f>
        <v>#VALUE!</v>
      </c>
    </row>
    <row r="6035">
      <c r="A6035" s="11" t="s">
        <v>46</v>
      </c>
      <c r="B6035" s="12">
        <v>997.5938</v>
      </c>
      <c r="C6035" s="12">
        <v>0</v>
      </c>
      <c r="D6035" s="13">
        <v>0</v>
      </c>
      <c r="E6035" s="12">
        <v>0</v>
      </c>
      <c r="F6035" s="14">
        <v>0</v>
      </c>
      <c r="G6035" s="13">
        <v>95584680.423</v>
      </c>
      <c r="H6035" s="14">
        <v>95354684564.966171</v>
      </c>
      <c r="I6035" s="14" t="e">
        <f>=Round(573015.04840000,0)</f>
        <v>#VALUE!</v>
      </c>
      <c r="J6035" s="14" t="e">
        <f>=Round(0.00000000,0)</f>
        <v>#VALUE!</v>
      </c>
    </row>
    <row r="6036">
      <c r="A6036" s="11" t="s">
        <v>47</v>
      </c>
      <c r="B6036" s="12">
        <v>997.871</v>
      </c>
      <c r="C6036" s="12">
        <v>0</v>
      </c>
      <c r="D6036" s="13">
        <v>0</v>
      </c>
      <c r="E6036" s="12">
        <v>0</v>
      </c>
      <c r="F6036" s="14">
        <v>0</v>
      </c>
      <c r="G6036" s="13">
        <v>95584680.423</v>
      </c>
      <c r="H6036" s="14">
        <v>95381180638.37944</v>
      </c>
      <c r="I6036" s="14" t="e">
        <f>=Round(573170.23510000,0)</f>
        <v>#VALUE!</v>
      </c>
      <c r="J6036" s="14" t="e">
        <f>=Round(0.00000000,0)</f>
        <v>#VALUE!</v>
      </c>
    </row>
    <row r="6037">
      <c r="A6037" s="11" t="s">
        <v>48</v>
      </c>
      <c r="B6037" s="12">
        <v>998.2495</v>
      </c>
      <c r="C6037" s="12">
        <v>0</v>
      </c>
      <c r="D6037" s="13">
        <v>0</v>
      </c>
      <c r="E6037" s="12">
        <v>0</v>
      </c>
      <c r="F6037" s="14">
        <v>0</v>
      </c>
      <c r="G6037" s="13">
        <v>95584680.423</v>
      </c>
      <c r="H6037" s="14">
        <v>95417359439.91954</v>
      </c>
      <c r="I6037" s="14" t="e">
        <f>=Round(573329.50110000,0)</f>
        <v>#VALUE!</v>
      </c>
      <c r="J6037" s="14" t="e">
        <f>=Round(0.00000000,0)</f>
        <v>#VALUE!</v>
      </c>
    </row>
    <row r="6038">
      <c r="A6038" s="11" t="s">
        <v>49</v>
      </c>
      <c r="B6038" s="12">
        <v>998.2495</v>
      </c>
      <c r="C6038" s="12">
        <v>0</v>
      </c>
      <c r="D6038" s="13">
        <v>0</v>
      </c>
      <c r="E6038" s="12">
        <v>0</v>
      </c>
      <c r="F6038" s="14">
        <v>0</v>
      </c>
      <c r="G6038" s="13">
        <v>95584680.423</v>
      </c>
      <c r="H6038" s="14">
        <v>95417359439.91954</v>
      </c>
      <c r="I6038" s="14" t="e">
        <f>=Round(573546.96930000,0)</f>
        <v>#VALUE!</v>
      </c>
      <c r="J6038" s="14" t="e">
        <f>=Round(0.00000000,0)</f>
        <v>#VALUE!</v>
      </c>
    </row>
    <row r="6039">
      <c r="A6039" s="11" t="s">
        <v>50</v>
      </c>
      <c r="B6039" s="12">
        <v>998.2495</v>
      </c>
      <c r="C6039" s="12">
        <v>0</v>
      </c>
      <c r="D6039" s="13">
        <v>0</v>
      </c>
      <c r="E6039" s="12">
        <v>0</v>
      </c>
      <c r="F6039" s="14">
        <v>0</v>
      </c>
      <c r="G6039" s="13">
        <v>95584680.423</v>
      </c>
      <c r="H6039" s="14">
        <v>95417359439.91954</v>
      </c>
      <c r="I6039" s="14" t="e">
        <f>=Round(573546.96930000,0)</f>
        <v>#VALUE!</v>
      </c>
      <c r="J6039" s="14" t="e">
        <f>=Round(0.00000000,0)</f>
        <v>#VALUE!</v>
      </c>
    </row>
    <row r="6040">
      <c r="A6040" s="11" t="s">
        <v>51</v>
      </c>
      <c r="B6040" s="12">
        <v>998.8631</v>
      </c>
      <c r="C6040" s="12">
        <v>0</v>
      </c>
      <c r="D6040" s="13">
        <v>0</v>
      </c>
      <c r="E6040" s="12">
        <v>0</v>
      </c>
      <c r="F6040" s="14">
        <v>0</v>
      </c>
      <c r="G6040" s="13">
        <v>95584680.423</v>
      </c>
      <c r="H6040" s="14">
        <v>95476010199.827087</v>
      </c>
      <c r="I6040" s="14" t="e">
        <f>=Round(573546.96930000,0)</f>
        <v>#VALUE!</v>
      </c>
      <c r="J6040" s="14" t="e">
        <f>=Round(0.00000000,0)</f>
        <v>#VALUE!</v>
      </c>
    </row>
    <row r="6041">
      <c r="A6041" s="11" t="s">
        <v>52</v>
      </c>
      <c r="B6041" s="12">
        <v>998.9649</v>
      </c>
      <c r="C6041" s="12">
        <v>0</v>
      </c>
      <c r="D6041" s="13">
        <v>0</v>
      </c>
      <c r="E6041" s="12">
        <v>0</v>
      </c>
      <c r="F6041" s="14">
        <v>0</v>
      </c>
      <c r="G6041" s="13">
        <v>95584680.423</v>
      </c>
      <c r="H6041" s="14">
        <v>95485740720.294159</v>
      </c>
      <c r="I6041" s="14" t="e">
        <f>=Round(573899.51490000,0)</f>
        <v>#VALUE!</v>
      </c>
      <c r="J6041" s="14" t="e">
        <f>=Round(0.00000000,0)</f>
        <v>#VALUE!</v>
      </c>
    </row>
    <row r="6042">
      <c r="A6042" s="11" t="s">
        <v>53</v>
      </c>
      <c r="B6042" s="12">
        <v>999.2927</v>
      </c>
      <c r="C6042" s="12">
        <v>0</v>
      </c>
      <c r="D6042" s="13">
        <v>0</v>
      </c>
      <c r="E6042" s="12">
        <v>0</v>
      </c>
      <c r="F6042" s="14">
        <v>0</v>
      </c>
      <c r="G6042" s="13">
        <v>95584680.423</v>
      </c>
      <c r="H6042" s="14">
        <v>95517073378.536819</v>
      </c>
      <c r="I6042" s="14" t="e">
        <f>=Round(573958.00430000,0)</f>
        <v>#VALUE!</v>
      </c>
      <c r="J6042" s="14" t="e">
        <f>=Round(0.00000000,0)</f>
        <v>#VALUE!</v>
      </c>
    </row>
    <row r="6043">
      <c r="A6043" s="11" t="s">
        <v>54</v>
      </c>
      <c r="B6043" s="12">
        <v>999.4788</v>
      </c>
      <c r="C6043" s="12">
        <v>0</v>
      </c>
      <c r="D6043" s="13">
        <v>0</v>
      </c>
      <c r="E6043" s="12">
        <v>0</v>
      </c>
      <c r="F6043" s="14">
        <v>0</v>
      </c>
      <c r="G6043" s="13">
        <v>95584680.423</v>
      </c>
      <c r="H6043" s="14">
        <v>95534861687.563538</v>
      </c>
      <c r="I6043" s="14" t="e">
        <f>=Round(574146.34270000,0)</f>
        <v>#VALUE!</v>
      </c>
      <c r="J6043" s="14" t="e">
        <f>=Round(0.00000000,0)</f>
        <v>#VALUE!</v>
      </c>
    </row>
    <row r="6044">
      <c r="A6044" s="11" t="s">
        <v>55</v>
      </c>
      <c r="B6044" s="12">
        <v>999.5943</v>
      </c>
      <c r="C6044" s="12">
        <v>0</v>
      </c>
      <c r="D6044" s="13">
        <v>0</v>
      </c>
      <c r="E6044" s="12">
        <v>0</v>
      </c>
      <c r="F6044" s="14">
        <v>0</v>
      </c>
      <c r="G6044" s="13">
        <v>95584680.423</v>
      </c>
      <c r="H6044" s="14">
        <v>95545901718.15239</v>
      </c>
      <c r="I6044" s="14" t="e">
        <f>=Round(574253.26700000,0)</f>
        <v>#VALUE!</v>
      </c>
      <c r="J6044" s="14" t="e">
        <f>=Round(0.00000000,0)</f>
        <v>#VALUE!</v>
      </c>
    </row>
    <row r="6045" ht="-1">
      <c r="A6045" s="15"/>
      <c r="B6045" s="16" t="s">
        <v>56</v>
      </c>
      <c r="C6045" s="15"/>
      <c r="D6045" s="15"/>
      <c r="E6045" s="15"/>
      <c r="F6045" s="15"/>
      <c r="G6045" s="15"/>
      <c r="H6045" s="15"/>
      <c r="I6045" s="17" t="e">
        <f>=Round(SUM(I6019:I6044),0)</f>
        <v>#VALUE!</v>
      </c>
      <c r="J6045" s="17" t="e">
        <f>=Round(SUM(J6019:J6044),0)</f>
        <v>#VALUE!</v>
      </c>
    </row>
    <row r="6046">
      <c r="A6046" s="1" t="s">
        <v>0</v>
      </c>
      <c r="B6046" s="1"/>
      <c r="C6046" s="1"/>
      <c r="D6046" s="1"/>
    </row>
    <row r="6047">
      <c r="A6047" s="0" t="s">
        <v>1</v>
      </c>
      <c r="C6047" s="0" t="s">
        <v>225</v>
      </c>
      <c r="H6047" s="2" t="s">
        <v>3</v>
      </c>
    </row>
    <row r="6048">
      <c r="A6048" s="0" t="s">
        <v>4</v>
      </c>
      <c r="C6048" s="0" t="s">
        <v>169</v>
      </c>
      <c r="H6048" s="3" t="s">
        <v>6</v>
      </c>
    </row>
    <row r="6049">
      <c r="A6049" s="0" t="s">
        <v>7</v>
      </c>
      <c r="C6049" s="4" t="s">
        <v>226</v>
      </c>
      <c r="H6049" s="2" t="s">
        <v>9</v>
      </c>
    </row>
    <row r="6050">
      <c r="A6050" s="0" t="s">
        <v>10</v>
      </c>
      <c r="C6050" s="4" t="s">
        <v>11</v>
      </c>
      <c r="H6050" s="2" t="s">
        <v>12</v>
      </c>
    </row>
    <row r="6051">
      <c r="A6051" s="0" t="s">
        <v>13</v>
      </c>
      <c r="C6051" s="0" t="s">
        <v>14</v>
      </c>
    </row>
    <row r="6052">
      <c r="A6052" s="0" t="s">
        <v>15</v>
      </c>
      <c r="C6052" s="0" t="s">
        <v>16</v>
      </c>
    </row>
    <row r="6053">
      <c r="A6053" s="0" t="s">
        <v>17</v>
      </c>
      <c r="C6053" s="0" t="s">
        <v>18</v>
      </c>
    </row>
    <row r="6056">
      <c r="A6056" s="5" t="s">
        <v>19</v>
      </c>
      <c r="B6056" s="5" t="s">
        <v>20</v>
      </c>
      <c r="C6056" s="7" t="s">
        <v>21</v>
      </c>
      <c r="D6056" s="9"/>
      <c r="E6056" s="7" t="s">
        <v>22</v>
      </c>
      <c r="F6056" s="9"/>
      <c r="G6056" s="5" t="s">
        <v>23</v>
      </c>
      <c r="H6056" s="5" t="s">
        <v>24</v>
      </c>
      <c r="I6056" s="5" t="s">
        <v>227</v>
      </c>
      <c r="J6056" s="5" t="s">
        <v>26</v>
      </c>
    </row>
    <row r="6057">
      <c r="A6057" s="6"/>
      <c r="B6057" s="6"/>
      <c r="C6057" s="8" t="s">
        <v>27</v>
      </c>
      <c r="D6057" s="8" t="s">
        <v>28</v>
      </c>
      <c r="E6057" s="8" t="s">
        <v>27</v>
      </c>
      <c r="F6057" s="8" t="s">
        <v>28</v>
      </c>
      <c r="G6057" s="6"/>
      <c r="H6057" s="6"/>
      <c r="I6057" s="10" t="s">
        <v>29</v>
      </c>
      <c r="J6057" s="6"/>
    </row>
    <row r="6058">
      <c r="A6058" s="11" t="s">
        <v>30</v>
      </c>
      <c r="B6058" s="12">
        <v>993.7629</v>
      </c>
      <c r="C6058" s="12">
        <v>0</v>
      </c>
      <c r="D6058" s="13">
        <v>0</v>
      </c>
      <c r="E6058" s="12">
        <v>0</v>
      </c>
      <c r="F6058" s="14">
        <v>0</v>
      </c>
      <c r="G6058" s="13">
        <v>13294751.713200001</v>
      </c>
      <c r="H6058" s="14">
        <v>13211831017.2896</v>
      </c>
      <c r="I6058" s="14" t="e">
        <f>=Round(79357.99160000,0)</f>
        <v>#VALUE!</v>
      </c>
      <c r="J6058" s="14" t="e">
        <f>=Round(0.00000000,0)</f>
        <v>#VALUE!</v>
      </c>
    </row>
    <row r="6059">
      <c r="A6059" s="11" t="s">
        <v>31</v>
      </c>
      <c r="B6059" s="12">
        <v>993.955</v>
      </c>
      <c r="C6059" s="12">
        <v>0</v>
      </c>
      <c r="D6059" s="13">
        <v>0</v>
      </c>
      <c r="E6059" s="12">
        <v>0</v>
      </c>
      <c r="F6059" s="14">
        <v>0</v>
      </c>
      <c r="G6059" s="13">
        <v>13294751.713200001</v>
      </c>
      <c r="H6059" s="14">
        <v>13214384939.093706</v>
      </c>
      <c r="I6059" s="14" t="e">
        <f>=Round(79415.37770000,0)</f>
        <v>#VALUE!</v>
      </c>
      <c r="J6059" s="14" t="e">
        <f>=Round(0.00000000,0)</f>
        <v>#VALUE!</v>
      </c>
    </row>
    <row r="6060">
      <c r="A6060" s="11" t="s">
        <v>32</v>
      </c>
      <c r="B6060" s="12">
        <v>994.147</v>
      </c>
      <c r="C6060" s="12">
        <v>0</v>
      </c>
      <c r="D6060" s="13">
        <v>0</v>
      </c>
      <c r="E6060" s="12">
        <v>0</v>
      </c>
      <c r="F6060" s="14">
        <v>0</v>
      </c>
      <c r="G6060" s="13">
        <v>13294751.713200001</v>
      </c>
      <c r="H6060" s="14">
        <v>13216937531.42264</v>
      </c>
      <c r="I6060" s="14" t="e">
        <f>=Round(79430.72910000,0)</f>
        <v>#VALUE!</v>
      </c>
      <c r="J6060" s="14" t="e">
        <f>=Round(0.00000000,0)</f>
        <v>#VALUE!</v>
      </c>
    </row>
    <row r="6061">
      <c r="A6061" s="11" t="s">
        <v>33</v>
      </c>
      <c r="B6061" s="12">
        <v>994.3632</v>
      </c>
      <c r="C6061" s="12">
        <v>0</v>
      </c>
      <c r="D6061" s="13">
        <v>0</v>
      </c>
      <c r="E6061" s="12">
        <v>0</v>
      </c>
      <c r="F6061" s="14">
        <v>0</v>
      </c>
      <c r="G6061" s="13">
        <v>13294751.713200001</v>
      </c>
      <c r="H6061" s="14">
        <v>13219811856.743034</v>
      </c>
      <c r="I6061" s="14" t="e">
        <f>=Round(79446.07260000,0)</f>
        <v>#VALUE!</v>
      </c>
      <c r="J6061" s="14" t="e">
        <f>=Round(0.00000000,0)</f>
        <v>#VALUE!</v>
      </c>
    </row>
    <row r="6062">
      <c r="A6062" s="11" t="s">
        <v>34</v>
      </c>
      <c r="B6062" s="12">
        <v>994.5634</v>
      </c>
      <c r="C6062" s="12">
        <v>0</v>
      </c>
      <c r="D6062" s="13">
        <v>0</v>
      </c>
      <c r="E6062" s="12">
        <v>0</v>
      </c>
      <c r="F6062" s="14">
        <v>0</v>
      </c>
      <c r="G6062" s="13">
        <v>13294751.713200001</v>
      </c>
      <c r="H6062" s="14">
        <v>13222473466.036017</v>
      </c>
      <c r="I6062" s="14" t="e">
        <f>=Round(79463.35000000,0)</f>
        <v>#VALUE!</v>
      </c>
      <c r="J6062" s="14" t="e">
        <f>=Round(0.00000000,0)</f>
        <v>#VALUE!</v>
      </c>
    </row>
    <row r="6063">
      <c r="A6063" s="11" t="s">
        <v>35</v>
      </c>
      <c r="B6063" s="12">
        <v>994.5634</v>
      </c>
      <c r="C6063" s="12">
        <v>0</v>
      </c>
      <c r="D6063" s="13">
        <v>0</v>
      </c>
      <c r="E6063" s="12">
        <v>0</v>
      </c>
      <c r="F6063" s="14">
        <v>0</v>
      </c>
      <c r="G6063" s="13">
        <v>13294751.713200001</v>
      </c>
      <c r="H6063" s="14">
        <v>13222473466.036017</v>
      </c>
      <c r="I6063" s="14" t="e">
        <f>=Round(79479.34870000,0)</f>
        <v>#VALUE!</v>
      </c>
      <c r="J6063" s="14" t="e">
        <f>=Round(0.00000000,0)</f>
        <v>#VALUE!</v>
      </c>
    </row>
    <row r="6064">
      <c r="A6064" s="11" t="s">
        <v>36</v>
      </c>
      <c r="B6064" s="12">
        <v>994.5634</v>
      </c>
      <c r="C6064" s="12">
        <v>0</v>
      </c>
      <c r="D6064" s="13">
        <v>0</v>
      </c>
      <c r="E6064" s="12">
        <v>0</v>
      </c>
      <c r="F6064" s="14">
        <v>0</v>
      </c>
      <c r="G6064" s="13">
        <v>13294751.713200001</v>
      </c>
      <c r="H6064" s="14">
        <v>13222473466.036017</v>
      </c>
      <c r="I6064" s="14" t="e">
        <f>=Round(79479.34870000,0)</f>
        <v>#VALUE!</v>
      </c>
      <c r="J6064" s="14" t="e">
        <f>=Round(0.00000000,0)</f>
        <v>#VALUE!</v>
      </c>
    </row>
    <row r="6065">
      <c r="A6065" s="11" t="s">
        <v>37</v>
      </c>
      <c r="B6065" s="12">
        <v>995.1709</v>
      </c>
      <c r="C6065" s="12">
        <v>0</v>
      </c>
      <c r="D6065" s="13">
        <v>0</v>
      </c>
      <c r="E6065" s="12">
        <v>0</v>
      </c>
      <c r="F6065" s="14">
        <v>0</v>
      </c>
      <c r="G6065" s="13">
        <v>13294751.713200001</v>
      </c>
      <c r="H6065" s="14">
        <v>13230550027.701786</v>
      </c>
      <c r="I6065" s="14" t="e">
        <f>=Round(79479.34870000,0)</f>
        <v>#VALUE!</v>
      </c>
      <c r="J6065" s="14" t="e">
        <f>=Round(0.00000000,0)</f>
        <v>#VALUE!</v>
      </c>
    </row>
    <row r="6066">
      <c r="A6066" s="11" t="s">
        <v>38</v>
      </c>
      <c r="B6066" s="12">
        <v>995.3618</v>
      </c>
      <c r="C6066" s="12">
        <v>0</v>
      </c>
      <c r="D6066" s="13">
        <v>0</v>
      </c>
      <c r="E6066" s="12">
        <v>0</v>
      </c>
      <c r="F6066" s="14">
        <v>0</v>
      </c>
      <c r="G6066" s="13">
        <v>13294751.713200001</v>
      </c>
      <c r="H6066" s="14">
        <v>13233087995.803837</v>
      </c>
      <c r="I6066" s="14" t="e">
        <f>=Round(79527.89630000,0)</f>
        <v>#VALUE!</v>
      </c>
      <c r="J6066" s="14" t="e">
        <f>=Round(0.00000000,0)</f>
        <v>#VALUE!</v>
      </c>
    </row>
    <row r="6067">
      <c r="A6067" s="11" t="s">
        <v>39</v>
      </c>
      <c r="B6067" s="12">
        <v>995.9009</v>
      </c>
      <c r="C6067" s="12">
        <v>0</v>
      </c>
      <c r="D6067" s="13">
        <v>0</v>
      </c>
      <c r="E6067" s="12">
        <v>0</v>
      </c>
      <c r="F6067" s="14">
        <v>0</v>
      </c>
      <c r="G6067" s="13">
        <v>13294751.713200001</v>
      </c>
      <c r="H6067" s="14">
        <v>13240255196.452421</v>
      </c>
      <c r="I6067" s="14" t="e">
        <f>=Round(79543.15190000,0)</f>
        <v>#VALUE!</v>
      </c>
      <c r="J6067" s="14" t="e">
        <f>=Round(0.00000000,0)</f>
        <v>#VALUE!</v>
      </c>
    </row>
    <row r="6068">
      <c r="A6068" s="11" t="s">
        <v>40</v>
      </c>
      <c r="B6068" s="12">
        <v>996.1851</v>
      </c>
      <c r="C6068" s="12">
        <v>0</v>
      </c>
      <c r="D6068" s="13">
        <v>0</v>
      </c>
      <c r="E6068" s="12">
        <v>0</v>
      </c>
      <c r="F6068" s="14">
        <v>0</v>
      </c>
      <c r="G6068" s="13">
        <v>13294751.713200001</v>
      </c>
      <c r="H6068" s="14">
        <v>13244033564.889313</v>
      </c>
      <c r="I6068" s="14" t="e">
        <f>=Round(79586.23340000,0)</f>
        <v>#VALUE!</v>
      </c>
      <c r="J6068" s="14" t="e">
        <f>=Round(0.00000000,0)</f>
        <v>#VALUE!</v>
      </c>
    </row>
    <row r="6069">
      <c r="A6069" s="11" t="s">
        <v>41</v>
      </c>
      <c r="B6069" s="12">
        <v>996.4486</v>
      </c>
      <c r="C6069" s="12">
        <v>0</v>
      </c>
      <c r="D6069" s="13">
        <v>0</v>
      </c>
      <c r="E6069" s="12">
        <v>0</v>
      </c>
      <c r="F6069" s="14">
        <v>0</v>
      </c>
      <c r="G6069" s="13">
        <v>13294751.713200001</v>
      </c>
      <c r="H6069" s="14">
        <v>13247536731.965742</v>
      </c>
      <c r="I6069" s="14" t="e">
        <f>=Round(79608.94490000,0)</f>
        <v>#VALUE!</v>
      </c>
      <c r="J6069" s="14" t="e">
        <f>=Round(0.00000000,0)</f>
        <v>#VALUE!</v>
      </c>
    </row>
    <row r="6070">
      <c r="A6070" s="11" t="s">
        <v>42</v>
      </c>
      <c r="B6070" s="12">
        <v>996.4486</v>
      </c>
      <c r="C6070" s="12">
        <v>0</v>
      </c>
      <c r="D6070" s="13">
        <v>0</v>
      </c>
      <c r="E6070" s="12">
        <v>0</v>
      </c>
      <c r="F6070" s="14">
        <v>0</v>
      </c>
      <c r="G6070" s="13">
        <v>13294751.713200001</v>
      </c>
      <c r="H6070" s="14">
        <v>13247536731.965742</v>
      </c>
      <c r="I6070" s="14" t="e">
        <f>=Round(79630.00220000,0)</f>
        <v>#VALUE!</v>
      </c>
      <c r="J6070" s="14" t="e">
        <f>=Round(0.00000000,0)</f>
        <v>#VALUE!</v>
      </c>
    </row>
    <row r="6071">
      <c r="A6071" s="11" t="s">
        <v>43</v>
      </c>
      <c r="B6071" s="12">
        <v>996.4486</v>
      </c>
      <c r="C6071" s="12">
        <v>0</v>
      </c>
      <c r="D6071" s="13">
        <v>0</v>
      </c>
      <c r="E6071" s="12">
        <v>0</v>
      </c>
      <c r="F6071" s="14">
        <v>0</v>
      </c>
      <c r="G6071" s="13">
        <v>13294751.713200001</v>
      </c>
      <c r="H6071" s="14">
        <v>13247536731.965742</v>
      </c>
      <c r="I6071" s="14" t="e">
        <f>=Round(79630.00220000,0)</f>
        <v>#VALUE!</v>
      </c>
      <c r="J6071" s="14" t="e">
        <f>=Round(0.00000000,0)</f>
        <v>#VALUE!</v>
      </c>
    </row>
    <row r="6072">
      <c r="A6072" s="11" t="s">
        <v>44</v>
      </c>
      <c r="B6072" s="12">
        <v>997.1328</v>
      </c>
      <c r="C6072" s="12">
        <v>0</v>
      </c>
      <c r="D6072" s="13">
        <v>0</v>
      </c>
      <c r="E6072" s="12">
        <v>0</v>
      </c>
      <c r="F6072" s="14">
        <v>0</v>
      </c>
      <c r="G6072" s="13">
        <v>13294751.713200001</v>
      </c>
      <c r="H6072" s="14">
        <v>13256633001.087912</v>
      </c>
      <c r="I6072" s="14" t="e">
        <f>=Round(79630.00220000,0)</f>
        <v>#VALUE!</v>
      </c>
      <c r="J6072" s="14" t="e">
        <f>=Round(0.00000000,0)</f>
        <v>#VALUE!</v>
      </c>
    </row>
    <row r="6073">
      <c r="A6073" s="11" t="s">
        <v>45</v>
      </c>
      <c r="B6073" s="12">
        <v>997.3237</v>
      </c>
      <c r="C6073" s="12">
        <v>0</v>
      </c>
      <c r="D6073" s="13">
        <v>0</v>
      </c>
      <c r="E6073" s="12">
        <v>0</v>
      </c>
      <c r="F6073" s="14">
        <v>0</v>
      </c>
      <c r="G6073" s="13">
        <v>13294751.713200001</v>
      </c>
      <c r="H6073" s="14">
        <v>13259170969.189964</v>
      </c>
      <c r="I6073" s="14" t="e">
        <f>=Round(79684.67920000,0)</f>
        <v>#VALUE!</v>
      </c>
      <c r="J6073" s="14" t="e">
        <f>=Round(0.00000000,0)</f>
        <v>#VALUE!</v>
      </c>
    </row>
    <row r="6074">
      <c r="A6074" s="11" t="s">
        <v>46</v>
      </c>
      <c r="B6074" s="12">
        <v>997.5938</v>
      </c>
      <c r="C6074" s="12">
        <v>0</v>
      </c>
      <c r="D6074" s="13">
        <v>0</v>
      </c>
      <c r="E6074" s="12">
        <v>0</v>
      </c>
      <c r="F6074" s="14">
        <v>0</v>
      </c>
      <c r="G6074" s="13">
        <v>13294751.713200001</v>
      </c>
      <c r="H6074" s="14">
        <v>13262761881.627699</v>
      </c>
      <c r="I6074" s="14" t="e">
        <f>=Round(79699.93480000,0)</f>
        <v>#VALUE!</v>
      </c>
      <c r="J6074" s="14" t="e">
        <f>=Round(0.00000000,0)</f>
        <v>#VALUE!</v>
      </c>
    </row>
    <row r="6075">
      <c r="A6075" s="11" t="s">
        <v>47</v>
      </c>
      <c r="B6075" s="12">
        <v>997.871</v>
      </c>
      <c r="C6075" s="12">
        <v>0</v>
      </c>
      <c r="D6075" s="13">
        <v>0</v>
      </c>
      <c r="E6075" s="12">
        <v>0</v>
      </c>
      <c r="F6075" s="14">
        <v>0</v>
      </c>
      <c r="G6075" s="13">
        <v>13294751.713200001</v>
      </c>
      <c r="H6075" s="14">
        <v>13266447186.802595</v>
      </c>
      <c r="I6075" s="14" t="e">
        <f>=Round(79721.51950000,0)</f>
        <v>#VALUE!</v>
      </c>
      <c r="J6075" s="14" t="e">
        <f>=Round(0.00000000,0)</f>
        <v>#VALUE!</v>
      </c>
    </row>
    <row r="6076">
      <c r="A6076" s="11" t="s">
        <v>48</v>
      </c>
      <c r="B6076" s="12">
        <v>998.2495</v>
      </c>
      <c r="C6076" s="12">
        <v>0</v>
      </c>
      <c r="D6076" s="13">
        <v>0</v>
      </c>
      <c r="E6076" s="12">
        <v>0</v>
      </c>
      <c r="F6076" s="14">
        <v>0</v>
      </c>
      <c r="G6076" s="13">
        <v>13294751.713200001</v>
      </c>
      <c r="H6076" s="14">
        <v>13271479250.326044</v>
      </c>
      <c r="I6076" s="14" t="e">
        <f>=Round(79743.67160000,0)</f>
        <v>#VALUE!</v>
      </c>
      <c r="J6076" s="14" t="e">
        <f>=Round(0.00000000,0)</f>
        <v>#VALUE!</v>
      </c>
    </row>
    <row r="6077">
      <c r="A6077" s="11" t="s">
        <v>49</v>
      </c>
      <c r="B6077" s="12">
        <v>998.2495</v>
      </c>
      <c r="C6077" s="12">
        <v>0</v>
      </c>
      <c r="D6077" s="13">
        <v>0</v>
      </c>
      <c r="E6077" s="12">
        <v>0</v>
      </c>
      <c r="F6077" s="14">
        <v>0</v>
      </c>
      <c r="G6077" s="13">
        <v>13294751.713200001</v>
      </c>
      <c r="H6077" s="14">
        <v>13271479250.326044</v>
      </c>
      <c r="I6077" s="14" t="e">
        <f>=Round(79773.91900000,0)</f>
        <v>#VALUE!</v>
      </c>
      <c r="J6077" s="14" t="e">
        <f>=Round(0.00000000,0)</f>
        <v>#VALUE!</v>
      </c>
    </row>
    <row r="6078">
      <c r="A6078" s="11" t="s">
        <v>50</v>
      </c>
      <c r="B6078" s="12">
        <v>998.2495</v>
      </c>
      <c r="C6078" s="12">
        <v>0</v>
      </c>
      <c r="D6078" s="13">
        <v>0</v>
      </c>
      <c r="E6078" s="12">
        <v>0</v>
      </c>
      <c r="F6078" s="14">
        <v>0</v>
      </c>
      <c r="G6078" s="13">
        <v>13294751.713200001</v>
      </c>
      <c r="H6078" s="14">
        <v>13271479250.326044</v>
      </c>
      <c r="I6078" s="14" t="e">
        <f>=Round(79773.91900000,0)</f>
        <v>#VALUE!</v>
      </c>
      <c r="J6078" s="14" t="e">
        <f>=Round(0.00000000,0)</f>
        <v>#VALUE!</v>
      </c>
    </row>
    <row r="6079">
      <c r="A6079" s="11" t="s">
        <v>51</v>
      </c>
      <c r="B6079" s="12">
        <v>998.8631</v>
      </c>
      <c r="C6079" s="12">
        <v>0</v>
      </c>
      <c r="D6079" s="13">
        <v>0</v>
      </c>
      <c r="E6079" s="12">
        <v>0</v>
      </c>
      <c r="F6079" s="14">
        <v>0</v>
      </c>
      <c r="G6079" s="13">
        <v>13294751.713200001</v>
      </c>
      <c r="H6079" s="14">
        <v>13279636909.977264</v>
      </c>
      <c r="I6079" s="14" t="e">
        <f>=Round(79773.91900000,0)</f>
        <v>#VALUE!</v>
      </c>
      <c r="J6079" s="14" t="e">
        <f>=Round(0.00000000,0)</f>
        <v>#VALUE!</v>
      </c>
    </row>
    <row r="6080">
      <c r="A6080" s="11" t="s">
        <v>52</v>
      </c>
      <c r="B6080" s="12">
        <v>998.9649</v>
      </c>
      <c r="C6080" s="12">
        <v>0</v>
      </c>
      <c r="D6080" s="13">
        <v>0</v>
      </c>
      <c r="E6080" s="12">
        <v>0</v>
      </c>
      <c r="F6080" s="14">
        <v>0</v>
      </c>
      <c r="G6080" s="13">
        <v>13294751.713200001</v>
      </c>
      <c r="H6080" s="14">
        <v>13280990315.701668</v>
      </c>
      <c r="I6080" s="14" t="e">
        <f>=Round(79822.95410000,0)</f>
        <v>#VALUE!</v>
      </c>
      <c r="J6080" s="14" t="e">
        <f>=Round(0.00000000,0)</f>
        <v>#VALUE!</v>
      </c>
    </row>
    <row r="6081">
      <c r="A6081" s="11" t="s">
        <v>53</v>
      </c>
      <c r="B6081" s="12">
        <v>999.2927</v>
      </c>
      <c r="C6081" s="12">
        <v>0</v>
      </c>
      <c r="D6081" s="13">
        <v>0</v>
      </c>
      <c r="E6081" s="12">
        <v>0</v>
      </c>
      <c r="F6081" s="14">
        <v>0</v>
      </c>
      <c r="G6081" s="13">
        <v>13294751.713200001</v>
      </c>
      <c r="H6081" s="14">
        <v>13285348335.313253</v>
      </c>
      <c r="I6081" s="14" t="e">
        <f>=Round(79831.08930000,0)</f>
        <v>#VALUE!</v>
      </c>
      <c r="J6081" s="14" t="e">
        <f>=Round(0.00000000,0)</f>
        <v>#VALUE!</v>
      </c>
    </row>
    <row r="6082">
      <c r="A6082" s="11" t="s">
        <v>54</v>
      </c>
      <c r="B6082" s="12">
        <v>999.4788</v>
      </c>
      <c r="C6082" s="12">
        <v>0</v>
      </c>
      <c r="D6082" s="13">
        <v>0</v>
      </c>
      <c r="E6082" s="12">
        <v>0</v>
      </c>
      <c r="F6082" s="14">
        <v>0</v>
      </c>
      <c r="G6082" s="13">
        <v>13294751.713200001</v>
      </c>
      <c r="H6082" s="14">
        <v>13287822488.607081</v>
      </c>
      <c r="I6082" s="14" t="e">
        <f>=Round(79857.28510000,0)</f>
        <v>#VALUE!</v>
      </c>
      <c r="J6082" s="14" t="e">
        <f>=Round(0.00000000,0)</f>
        <v>#VALUE!</v>
      </c>
    </row>
    <row r="6083">
      <c r="A6083" s="11" t="s">
        <v>55</v>
      </c>
      <c r="B6083" s="12">
        <v>999.5943</v>
      </c>
      <c r="C6083" s="12">
        <v>0</v>
      </c>
      <c r="D6083" s="13">
        <v>0</v>
      </c>
      <c r="E6083" s="12">
        <v>0</v>
      </c>
      <c r="F6083" s="14">
        <v>0</v>
      </c>
      <c r="G6083" s="13">
        <v>13294751.713200001</v>
      </c>
      <c r="H6083" s="14">
        <v>13289358032.429956</v>
      </c>
      <c r="I6083" s="14" t="e">
        <f>=Round(79872.15700000,0)</f>
        <v>#VALUE!</v>
      </c>
      <c r="J6083" s="14" t="e">
        <f>=Round(0.00000000,0)</f>
        <v>#VALUE!</v>
      </c>
    </row>
    <row r="6084" ht="-1">
      <c r="A6084" s="15"/>
      <c r="B6084" s="16" t="s">
        <v>56</v>
      </c>
      <c r="C6084" s="15"/>
      <c r="D6084" s="15"/>
      <c r="E6084" s="15"/>
      <c r="F6084" s="15"/>
      <c r="G6084" s="15"/>
      <c r="H6084" s="15"/>
      <c r="I6084" s="17" t="e">
        <f>=Round(SUM(I6058:I6083),0)</f>
        <v>#VALUE!</v>
      </c>
      <c r="J6084" s="17" t="e">
        <f>=Round(SUM(J6058:J6083),0)</f>
        <v>#VALUE!</v>
      </c>
    </row>
    <row r="6085">
      <c r="A6085" s="1" t="s">
        <v>0</v>
      </c>
      <c r="B6085" s="1"/>
      <c r="C6085" s="1"/>
      <c r="D6085" s="1"/>
    </row>
    <row r="6086">
      <c r="A6086" s="0" t="s">
        <v>1</v>
      </c>
      <c r="C6086" s="0" t="s">
        <v>225</v>
      </c>
      <c r="H6086" s="2" t="s">
        <v>3</v>
      </c>
    </row>
    <row r="6087">
      <c r="A6087" s="0" t="s">
        <v>4</v>
      </c>
      <c r="C6087" s="0" t="s">
        <v>170</v>
      </c>
      <c r="H6087" s="3" t="s">
        <v>6</v>
      </c>
    </row>
    <row r="6088">
      <c r="A6088" s="0" t="s">
        <v>7</v>
      </c>
      <c r="C6088" s="4" t="s">
        <v>226</v>
      </c>
      <c r="H6088" s="2" t="s">
        <v>9</v>
      </c>
    </row>
    <row r="6089">
      <c r="A6089" s="0" t="s">
        <v>10</v>
      </c>
      <c r="C6089" s="4" t="s">
        <v>11</v>
      </c>
      <c r="H6089" s="2" t="s">
        <v>12</v>
      </c>
    </row>
    <row r="6090">
      <c r="A6090" s="0" t="s">
        <v>13</v>
      </c>
      <c r="C6090" s="0" t="s">
        <v>14</v>
      </c>
    </row>
    <row r="6091">
      <c r="A6091" s="0" t="s">
        <v>15</v>
      </c>
      <c r="C6091" s="0" t="s">
        <v>16</v>
      </c>
    </row>
    <row r="6092">
      <c r="A6092" s="0" t="s">
        <v>17</v>
      </c>
      <c r="C6092" s="0" t="s">
        <v>18</v>
      </c>
    </row>
    <row r="6095">
      <c r="A6095" s="5" t="s">
        <v>19</v>
      </c>
      <c r="B6095" s="5" t="s">
        <v>20</v>
      </c>
      <c r="C6095" s="7" t="s">
        <v>21</v>
      </c>
      <c r="D6095" s="9"/>
      <c r="E6095" s="7" t="s">
        <v>22</v>
      </c>
      <c r="F6095" s="9"/>
      <c r="G6095" s="5" t="s">
        <v>23</v>
      </c>
      <c r="H6095" s="5" t="s">
        <v>24</v>
      </c>
      <c r="I6095" s="5" t="s">
        <v>227</v>
      </c>
      <c r="J6095" s="5" t="s">
        <v>26</v>
      </c>
    </row>
    <row r="6096">
      <c r="A6096" s="6"/>
      <c r="B6096" s="6"/>
      <c r="C6096" s="8" t="s">
        <v>27</v>
      </c>
      <c r="D6096" s="8" t="s">
        <v>28</v>
      </c>
      <c r="E6096" s="8" t="s">
        <v>27</v>
      </c>
      <c r="F6096" s="8" t="s">
        <v>28</v>
      </c>
      <c r="G6096" s="6"/>
      <c r="H6096" s="6"/>
      <c r="I6096" s="10" t="s">
        <v>29</v>
      </c>
      <c r="J6096" s="6"/>
    </row>
    <row r="6097">
      <c r="A6097" s="11" t="s">
        <v>30</v>
      </c>
      <c r="B6097" s="12">
        <v>993.7629</v>
      </c>
      <c r="C6097" s="12">
        <v>0</v>
      </c>
      <c r="D6097" s="13">
        <v>0</v>
      </c>
      <c r="E6097" s="12">
        <v>0</v>
      </c>
      <c r="F6097" s="14">
        <v>0</v>
      </c>
      <c r="G6097" s="13">
        <v>14288037.7604</v>
      </c>
      <c r="H6097" s="14">
        <v>14198921840.084608</v>
      </c>
      <c r="I6097" s="14" t="e">
        <f>=Round(85287.03690000,0)</f>
        <v>#VALUE!</v>
      </c>
      <c r="J6097" s="14" t="e">
        <f>=Round(0.00000000,0)</f>
        <v>#VALUE!</v>
      </c>
    </row>
    <row r="6098">
      <c r="A6098" s="11" t="s">
        <v>31</v>
      </c>
      <c r="B6098" s="12">
        <v>993.955</v>
      </c>
      <c r="C6098" s="12">
        <v>0</v>
      </c>
      <c r="D6098" s="13">
        <v>0</v>
      </c>
      <c r="E6098" s="12">
        <v>0</v>
      </c>
      <c r="F6098" s="14">
        <v>0</v>
      </c>
      <c r="G6098" s="13">
        <v>14288037.7604</v>
      </c>
      <c r="H6098" s="14">
        <v>14201666572.138382</v>
      </c>
      <c r="I6098" s="14" t="e">
        <f>=Round(85348.71050000,0)</f>
        <v>#VALUE!</v>
      </c>
      <c r="J6098" s="14" t="e">
        <f>=Round(0.00000000,0)</f>
        <v>#VALUE!</v>
      </c>
    </row>
    <row r="6099">
      <c r="A6099" s="11" t="s">
        <v>32</v>
      </c>
      <c r="B6099" s="12">
        <v>994.147</v>
      </c>
      <c r="C6099" s="12">
        <v>0</v>
      </c>
      <c r="D6099" s="13">
        <v>0</v>
      </c>
      <c r="E6099" s="12">
        <v>0</v>
      </c>
      <c r="F6099" s="14">
        <v>0</v>
      </c>
      <c r="G6099" s="13">
        <v>14288037.7604</v>
      </c>
      <c r="H6099" s="14">
        <v>14204409875.38838</v>
      </c>
      <c r="I6099" s="14" t="e">
        <f>=Round(85365.20890000,0)</f>
        <v>#VALUE!</v>
      </c>
      <c r="J6099" s="14" t="e">
        <f>=Round(0.00000000,0)</f>
        <v>#VALUE!</v>
      </c>
    </row>
    <row r="6100">
      <c r="A6100" s="11" t="s">
        <v>33</v>
      </c>
      <c r="B6100" s="12">
        <v>994.3632</v>
      </c>
      <c r="C6100" s="12">
        <v>0</v>
      </c>
      <c r="D6100" s="13">
        <v>0</v>
      </c>
      <c r="E6100" s="12">
        <v>0</v>
      </c>
      <c r="F6100" s="14">
        <v>0</v>
      </c>
      <c r="G6100" s="13">
        <v>14288037.7604</v>
      </c>
      <c r="H6100" s="14">
        <v>14207498949.152176</v>
      </c>
      <c r="I6100" s="14" t="e">
        <f>=Round(85381.69870000,0)</f>
        <v>#VALUE!</v>
      </c>
      <c r="J6100" s="14" t="e">
        <f>=Round(0.00000000,0)</f>
        <v>#VALUE!</v>
      </c>
    </row>
    <row r="6101">
      <c r="A6101" s="11" t="s">
        <v>34</v>
      </c>
      <c r="B6101" s="12">
        <v>994.5634</v>
      </c>
      <c r="C6101" s="12">
        <v>0</v>
      </c>
      <c r="D6101" s="13">
        <v>0</v>
      </c>
      <c r="E6101" s="12">
        <v>0</v>
      </c>
      <c r="F6101" s="14">
        <v>0</v>
      </c>
      <c r="G6101" s="13">
        <v>14288037.7604</v>
      </c>
      <c r="H6101" s="14">
        <v>14210359414.311808</v>
      </c>
      <c r="I6101" s="14" t="e">
        <f>=Round(85400.26690000,0)</f>
        <v>#VALUE!</v>
      </c>
      <c r="J6101" s="14" t="e">
        <f>=Round(0.00000000,0)</f>
        <v>#VALUE!</v>
      </c>
    </row>
    <row r="6102">
      <c r="A6102" s="11" t="s">
        <v>35</v>
      </c>
      <c r="B6102" s="12">
        <v>994.5634</v>
      </c>
      <c r="C6102" s="12">
        <v>0</v>
      </c>
      <c r="D6102" s="13">
        <v>0</v>
      </c>
      <c r="E6102" s="12">
        <v>0</v>
      </c>
      <c r="F6102" s="14">
        <v>0</v>
      </c>
      <c r="G6102" s="13">
        <v>14288037.7604</v>
      </c>
      <c r="H6102" s="14">
        <v>14210359414.311808</v>
      </c>
      <c r="I6102" s="14" t="e">
        <f>=Round(85417.46100000,0)</f>
        <v>#VALUE!</v>
      </c>
      <c r="J6102" s="14" t="e">
        <f>=Round(0.00000000,0)</f>
        <v>#VALUE!</v>
      </c>
    </row>
    <row r="6103">
      <c r="A6103" s="11" t="s">
        <v>36</v>
      </c>
      <c r="B6103" s="12">
        <v>994.5634</v>
      </c>
      <c r="C6103" s="12">
        <v>0</v>
      </c>
      <c r="D6103" s="13">
        <v>0</v>
      </c>
      <c r="E6103" s="12">
        <v>0</v>
      </c>
      <c r="F6103" s="14">
        <v>0</v>
      </c>
      <c r="G6103" s="13">
        <v>14288037.7604</v>
      </c>
      <c r="H6103" s="14">
        <v>14210359414.311808</v>
      </c>
      <c r="I6103" s="14" t="e">
        <f>=Round(85417.46100000,0)</f>
        <v>#VALUE!</v>
      </c>
      <c r="J6103" s="14" t="e">
        <f>=Round(0.00000000,0)</f>
        <v>#VALUE!</v>
      </c>
    </row>
    <row r="6104">
      <c r="A6104" s="11" t="s">
        <v>37</v>
      </c>
      <c r="B6104" s="12">
        <v>995.1709</v>
      </c>
      <c r="C6104" s="12">
        <v>0</v>
      </c>
      <c r="D6104" s="13">
        <v>0</v>
      </c>
      <c r="E6104" s="12">
        <v>0</v>
      </c>
      <c r="F6104" s="14">
        <v>0</v>
      </c>
      <c r="G6104" s="13">
        <v>14288037.7604</v>
      </c>
      <c r="H6104" s="14">
        <v>14219039397.251251</v>
      </c>
      <c r="I6104" s="14" t="e">
        <f>=Round(85417.46100000,0)</f>
        <v>#VALUE!</v>
      </c>
      <c r="J6104" s="14" t="e">
        <f>=Round(0.00000000,0)</f>
        <v>#VALUE!</v>
      </c>
    </row>
    <row r="6105">
      <c r="A6105" s="11" t="s">
        <v>38</v>
      </c>
      <c r="B6105" s="12">
        <v>995.3618</v>
      </c>
      <c r="C6105" s="12">
        <v>0</v>
      </c>
      <c r="D6105" s="13">
        <v>0</v>
      </c>
      <c r="E6105" s="12">
        <v>0</v>
      </c>
      <c r="F6105" s="14">
        <v>0</v>
      </c>
      <c r="G6105" s="13">
        <v>14288037.7604</v>
      </c>
      <c r="H6105" s="14">
        <v>14221766983.659712</v>
      </c>
      <c r="I6105" s="14" t="e">
        <f>=Round(85469.63570000,0)</f>
        <v>#VALUE!</v>
      </c>
      <c r="J6105" s="14" t="e">
        <f>=Round(0.00000000,0)</f>
        <v>#VALUE!</v>
      </c>
    </row>
    <row r="6106">
      <c r="A6106" s="11" t="s">
        <v>39</v>
      </c>
      <c r="B6106" s="12">
        <v>995.9009</v>
      </c>
      <c r="C6106" s="12">
        <v>0</v>
      </c>
      <c r="D6106" s="13">
        <v>0</v>
      </c>
      <c r="E6106" s="12">
        <v>0</v>
      </c>
      <c r="F6106" s="14">
        <v>0</v>
      </c>
      <c r="G6106" s="13">
        <v>14288037.7604</v>
      </c>
      <c r="H6106" s="14">
        <v>14229469664.816343</v>
      </c>
      <c r="I6106" s="14" t="e">
        <f>=Round(85486.03100000,0)</f>
        <v>#VALUE!</v>
      </c>
      <c r="J6106" s="14" t="e">
        <f>=Round(0.00000000,0)</f>
        <v>#VALUE!</v>
      </c>
    </row>
    <row r="6107">
      <c r="A6107" s="11" t="s">
        <v>40</v>
      </c>
      <c r="B6107" s="12">
        <v>996.1851</v>
      </c>
      <c r="C6107" s="12">
        <v>0</v>
      </c>
      <c r="D6107" s="13">
        <v>0</v>
      </c>
      <c r="E6107" s="12">
        <v>0</v>
      </c>
      <c r="F6107" s="14">
        <v>0</v>
      </c>
      <c r="G6107" s="13">
        <v>14288037.7604</v>
      </c>
      <c r="H6107" s="14">
        <v>14233530325.14785</v>
      </c>
      <c r="I6107" s="14" t="e">
        <f>=Round(85532.33130000,0)</f>
        <v>#VALUE!</v>
      </c>
      <c r="J6107" s="14" t="e">
        <f>=Round(0.00000000,0)</f>
        <v>#VALUE!</v>
      </c>
    </row>
    <row r="6108">
      <c r="A6108" s="11" t="s">
        <v>41</v>
      </c>
      <c r="B6108" s="12">
        <v>996.4486</v>
      </c>
      <c r="C6108" s="12">
        <v>0</v>
      </c>
      <c r="D6108" s="13">
        <v>0</v>
      </c>
      <c r="E6108" s="12">
        <v>0</v>
      </c>
      <c r="F6108" s="14">
        <v>0</v>
      </c>
      <c r="G6108" s="13">
        <v>14288037.7604</v>
      </c>
      <c r="H6108" s="14">
        <v>14237295223.097715</v>
      </c>
      <c r="I6108" s="14" t="e">
        <f>=Round(85556.73970000,0)</f>
        <v>#VALUE!</v>
      </c>
      <c r="J6108" s="14" t="e">
        <f>=Round(0.00000000,0)</f>
        <v>#VALUE!</v>
      </c>
    </row>
    <row r="6109">
      <c r="A6109" s="11" t="s">
        <v>42</v>
      </c>
      <c r="B6109" s="12">
        <v>996.4486</v>
      </c>
      <c r="C6109" s="12">
        <v>0</v>
      </c>
      <c r="D6109" s="13">
        <v>0</v>
      </c>
      <c r="E6109" s="12">
        <v>0</v>
      </c>
      <c r="F6109" s="14">
        <v>0</v>
      </c>
      <c r="G6109" s="13">
        <v>14288037.7604</v>
      </c>
      <c r="H6109" s="14">
        <v>14237295223.097715</v>
      </c>
      <c r="I6109" s="14" t="e">
        <f>=Round(85579.37020000,0)</f>
        <v>#VALUE!</v>
      </c>
      <c r="J6109" s="14" t="e">
        <f>=Round(0.00000000,0)</f>
        <v>#VALUE!</v>
      </c>
    </row>
    <row r="6110">
      <c r="A6110" s="11" t="s">
        <v>43</v>
      </c>
      <c r="B6110" s="12">
        <v>996.4486</v>
      </c>
      <c r="C6110" s="12">
        <v>0</v>
      </c>
      <c r="D6110" s="13">
        <v>0</v>
      </c>
      <c r="E6110" s="12">
        <v>0</v>
      </c>
      <c r="F6110" s="14">
        <v>0</v>
      </c>
      <c r="G6110" s="13">
        <v>14288037.7604</v>
      </c>
      <c r="H6110" s="14">
        <v>14237295223.097715</v>
      </c>
      <c r="I6110" s="14" t="e">
        <f>=Round(85579.37020000,0)</f>
        <v>#VALUE!</v>
      </c>
      <c r="J6110" s="14" t="e">
        <f>=Round(0.00000000,0)</f>
        <v>#VALUE!</v>
      </c>
    </row>
    <row r="6111">
      <c r="A6111" s="11" t="s">
        <v>44</v>
      </c>
      <c r="B6111" s="12">
        <v>997.1328</v>
      </c>
      <c r="C6111" s="12">
        <v>0</v>
      </c>
      <c r="D6111" s="13">
        <v>0</v>
      </c>
      <c r="E6111" s="12">
        <v>0</v>
      </c>
      <c r="F6111" s="14">
        <v>0</v>
      </c>
      <c r="G6111" s="13">
        <v>14288037.7604</v>
      </c>
      <c r="H6111" s="14">
        <v>14247071098.533381</v>
      </c>
      <c r="I6111" s="14" t="e">
        <f>=Round(85579.37020000,0)</f>
        <v>#VALUE!</v>
      </c>
      <c r="J6111" s="14" t="e">
        <f>=Round(0.00000000,0)</f>
        <v>#VALUE!</v>
      </c>
    </row>
    <row r="6112">
      <c r="A6112" s="11" t="s">
        <v>45</v>
      </c>
      <c r="B6112" s="12">
        <v>997.3237</v>
      </c>
      <c r="C6112" s="12">
        <v>0</v>
      </c>
      <c r="D6112" s="13">
        <v>0</v>
      </c>
      <c r="E6112" s="12">
        <v>0</v>
      </c>
      <c r="F6112" s="14">
        <v>0</v>
      </c>
      <c r="G6112" s="13">
        <v>14288037.7604</v>
      </c>
      <c r="H6112" s="14">
        <v>14249798684.941839</v>
      </c>
      <c r="I6112" s="14" t="e">
        <f>=Round(85638.13230000,0)</f>
        <v>#VALUE!</v>
      </c>
      <c r="J6112" s="14" t="e">
        <f>=Round(0.00000000,0)</f>
        <v>#VALUE!</v>
      </c>
    </row>
    <row r="6113">
      <c r="A6113" s="11" t="s">
        <v>46</v>
      </c>
      <c r="B6113" s="12">
        <v>997.5938</v>
      </c>
      <c r="C6113" s="12">
        <v>0</v>
      </c>
      <c r="D6113" s="13">
        <v>0</v>
      </c>
      <c r="E6113" s="12">
        <v>0</v>
      </c>
      <c r="F6113" s="14">
        <v>0</v>
      </c>
      <c r="G6113" s="13">
        <v>14288037.7604</v>
      </c>
      <c r="H6113" s="14">
        <v>14253657883.940926</v>
      </c>
      <c r="I6113" s="14" t="e">
        <f>=Round(85654.52760000,0)</f>
        <v>#VALUE!</v>
      </c>
      <c r="J6113" s="14" t="e">
        <f>=Round(0.00000000,0)</f>
        <v>#VALUE!</v>
      </c>
    </row>
    <row r="6114">
      <c r="A6114" s="11" t="s">
        <v>47</v>
      </c>
      <c r="B6114" s="12">
        <v>997.871</v>
      </c>
      <c r="C6114" s="12">
        <v>0</v>
      </c>
      <c r="D6114" s="13">
        <v>0</v>
      </c>
      <c r="E6114" s="12">
        <v>0</v>
      </c>
      <c r="F6114" s="14">
        <v>0</v>
      </c>
      <c r="G6114" s="13">
        <v>14288037.7604</v>
      </c>
      <c r="H6114" s="14">
        <v>14257618528.008108</v>
      </c>
      <c r="I6114" s="14" t="e">
        <f>=Round(85677.72500000,0)</f>
        <v>#VALUE!</v>
      </c>
      <c r="J6114" s="14" t="e">
        <f>=Round(0.00000000,0)</f>
        <v>#VALUE!</v>
      </c>
    </row>
    <row r="6115">
      <c r="A6115" s="11" t="s">
        <v>48</v>
      </c>
      <c r="B6115" s="12">
        <v>998.2495</v>
      </c>
      <c r="C6115" s="12">
        <v>0</v>
      </c>
      <c r="D6115" s="13">
        <v>0</v>
      </c>
      <c r="E6115" s="12">
        <v>0</v>
      </c>
      <c r="F6115" s="14">
        <v>0</v>
      </c>
      <c r="G6115" s="13">
        <v>14288037.7604</v>
      </c>
      <c r="H6115" s="14">
        <v>14263026550.300421</v>
      </c>
      <c r="I6115" s="14" t="e">
        <f>=Round(85701.53210000,0)</f>
        <v>#VALUE!</v>
      </c>
      <c r="J6115" s="14" t="e">
        <f>=Round(0.00000000,0)</f>
        <v>#VALUE!</v>
      </c>
    </row>
    <row r="6116">
      <c r="A6116" s="11" t="s">
        <v>49</v>
      </c>
      <c r="B6116" s="12">
        <v>998.2495</v>
      </c>
      <c r="C6116" s="12">
        <v>0</v>
      </c>
      <c r="D6116" s="13">
        <v>0</v>
      </c>
      <c r="E6116" s="12">
        <v>0</v>
      </c>
      <c r="F6116" s="14">
        <v>0</v>
      </c>
      <c r="G6116" s="13">
        <v>14288037.7604</v>
      </c>
      <c r="H6116" s="14">
        <v>14263026550.300421</v>
      </c>
      <c r="I6116" s="14" t="e">
        <f>=Round(85734.03940000,0)</f>
        <v>#VALUE!</v>
      </c>
      <c r="J6116" s="14" t="e">
        <f>=Round(0.00000000,0)</f>
        <v>#VALUE!</v>
      </c>
    </row>
    <row r="6117">
      <c r="A6117" s="11" t="s">
        <v>50</v>
      </c>
      <c r="B6117" s="12">
        <v>998.2495</v>
      </c>
      <c r="C6117" s="12">
        <v>0</v>
      </c>
      <c r="D6117" s="13">
        <v>0</v>
      </c>
      <c r="E6117" s="12">
        <v>0</v>
      </c>
      <c r="F6117" s="14">
        <v>0</v>
      </c>
      <c r="G6117" s="13">
        <v>14288037.7604</v>
      </c>
      <c r="H6117" s="14">
        <v>14263026550.300421</v>
      </c>
      <c r="I6117" s="14" t="e">
        <f>=Round(85734.03940000,0)</f>
        <v>#VALUE!</v>
      </c>
      <c r="J6117" s="14" t="e">
        <f>=Round(0.00000000,0)</f>
        <v>#VALUE!</v>
      </c>
    </row>
    <row r="6118">
      <c r="A6118" s="11" t="s">
        <v>51</v>
      </c>
      <c r="B6118" s="12">
        <v>998.8631</v>
      </c>
      <c r="C6118" s="12">
        <v>0</v>
      </c>
      <c r="D6118" s="13">
        <v>0</v>
      </c>
      <c r="E6118" s="12">
        <v>0</v>
      </c>
      <c r="F6118" s="14">
        <v>0</v>
      </c>
      <c r="G6118" s="13">
        <v>14288037.7604</v>
      </c>
      <c r="H6118" s="14">
        <v>14271793690.2702</v>
      </c>
      <c r="I6118" s="14" t="e">
        <f>=Round(85734.03940000,0)</f>
        <v>#VALUE!</v>
      </c>
      <c r="J6118" s="14" t="e">
        <f>=Round(0.00000000,0)</f>
        <v>#VALUE!</v>
      </c>
    </row>
    <row r="6119">
      <c r="A6119" s="11" t="s">
        <v>52</v>
      </c>
      <c r="B6119" s="12">
        <v>998.9649</v>
      </c>
      <c r="C6119" s="12">
        <v>0</v>
      </c>
      <c r="D6119" s="13">
        <v>0</v>
      </c>
      <c r="E6119" s="12">
        <v>0</v>
      </c>
      <c r="F6119" s="14">
        <v>0</v>
      </c>
      <c r="G6119" s="13">
        <v>14288037.7604</v>
      </c>
      <c r="H6119" s="14">
        <v>14273248212.51421</v>
      </c>
      <c r="I6119" s="14" t="e">
        <f>=Round(85786.73800000,0)</f>
        <v>#VALUE!</v>
      </c>
      <c r="J6119" s="14" t="e">
        <f>=Round(0.00000000,0)</f>
        <v>#VALUE!</v>
      </c>
    </row>
    <row r="6120">
      <c r="A6120" s="11" t="s">
        <v>53</v>
      </c>
      <c r="B6120" s="12">
        <v>999.2927</v>
      </c>
      <c r="C6120" s="12">
        <v>0</v>
      </c>
      <c r="D6120" s="13">
        <v>0</v>
      </c>
      <c r="E6120" s="12">
        <v>0</v>
      </c>
      <c r="F6120" s="14">
        <v>0</v>
      </c>
      <c r="G6120" s="13">
        <v>14288037.7604</v>
      </c>
      <c r="H6120" s="14">
        <v>14277931831.292069</v>
      </c>
      <c r="I6120" s="14" t="e">
        <f>=Round(85795.48110000,0)</f>
        <v>#VALUE!</v>
      </c>
      <c r="J6120" s="14" t="e">
        <f>=Round(0.00000000,0)</f>
        <v>#VALUE!</v>
      </c>
    </row>
    <row r="6121">
      <c r="A6121" s="11" t="s">
        <v>54</v>
      </c>
      <c r="B6121" s="12">
        <v>999.4788</v>
      </c>
      <c r="C6121" s="12">
        <v>0</v>
      </c>
      <c r="D6121" s="13">
        <v>0</v>
      </c>
      <c r="E6121" s="12">
        <v>0</v>
      </c>
      <c r="F6121" s="14">
        <v>0</v>
      </c>
      <c r="G6121" s="13">
        <v>14288037.7604</v>
      </c>
      <c r="H6121" s="14">
        <v>14280590835.11928</v>
      </c>
      <c r="I6121" s="14" t="e">
        <f>=Round(85823.63400000,0)</f>
        <v>#VALUE!</v>
      </c>
      <c r="J6121" s="14" t="e">
        <f>=Round(0.00000000,0)</f>
        <v>#VALUE!</v>
      </c>
    </row>
    <row r="6122">
      <c r="A6122" s="11" t="s">
        <v>55</v>
      </c>
      <c r="B6122" s="12">
        <v>999.5943</v>
      </c>
      <c r="C6122" s="12">
        <v>0</v>
      </c>
      <c r="D6122" s="13">
        <v>0</v>
      </c>
      <c r="E6122" s="12">
        <v>0</v>
      </c>
      <c r="F6122" s="14">
        <v>0</v>
      </c>
      <c r="G6122" s="13">
        <v>14288037.7604</v>
      </c>
      <c r="H6122" s="14">
        <v>14282241103.480606</v>
      </c>
      <c r="I6122" s="14" t="e">
        <f>=Round(85839.61700000,0)</f>
        <v>#VALUE!</v>
      </c>
      <c r="J6122" s="14" t="e">
        <f>=Round(0.00000000,0)</f>
        <v>#VALUE!</v>
      </c>
    </row>
    <row r="6123" ht="-1">
      <c r="A6123" s="15"/>
      <c r="B6123" s="16" t="s">
        <v>56</v>
      </c>
      <c r="C6123" s="15"/>
      <c r="D6123" s="15"/>
      <c r="E6123" s="15"/>
      <c r="F6123" s="15"/>
      <c r="G6123" s="15"/>
      <c r="H6123" s="15"/>
      <c r="I6123" s="17" t="e">
        <f>=Round(SUM(I6097:I6122),0)</f>
        <v>#VALUE!</v>
      </c>
      <c r="J6123" s="17" t="e">
        <f>=Round(SUM(J6097:J6122),0)</f>
        <v>#VALUE!</v>
      </c>
    </row>
    <row r="6124">
      <c r="A6124" s="1" t="s">
        <v>0</v>
      </c>
      <c r="B6124" s="1"/>
      <c r="C6124" s="1"/>
      <c r="D6124" s="1"/>
    </row>
    <row r="6125">
      <c r="A6125" s="0" t="s">
        <v>1</v>
      </c>
      <c r="C6125" s="0" t="s">
        <v>228</v>
      </c>
      <c r="H6125" s="2" t="s">
        <v>3</v>
      </c>
    </row>
    <row r="6126">
      <c r="A6126" s="0" t="s">
        <v>4</v>
      </c>
      <c r="C6126" s="0" t="s">
        <v>229</v>
      </c>
      <c r="H6126" s="3" t="s">
        <v>6</v>
      </c>
    </row>
    <row r="6127">
      <c r="A6127" s="0" t="s">
        <v>7</v>
      </c>
      <c r="C6127" s="4" t="s">
        <v>137</v>
      </c>
      <c r="H6127" s="2" t="s">
        <v>9</v>
      </c>
    </row>
    <row r="6128">
      <c r="A6128" s="0" t="s">
        <v>10</v>
      </c>
      <c r="C6128" s="4" t="s">
        <v>11</v>
      </c>
      <c r="H6128" s="2" t="s">
        <v>12</v>
      </c>
    </row>
    <row r="6129">
      <c r="A6129" s="0" t="s">
        <v>13</v>
      </c>
      <c r="C6129" s="0" t="s">
        <v>14</v>
      </c>
    </row>
    <row r="6130">
      <c r="A6130" s="0" t="s">
        <v>15</v>
      </c>
      <c r="C6130" s="0" t="s">
        <v>16</v>
      </c>
    </row>
    <row r="6131">
      <c r="A6131" s="0" t="s">
        <v>17</v>
      </c>
      <c r="C6131" s="0" t="s">
        <v>18</v>
      </c>
    </row>
    <row r="6134">
      <c r="A6134" s="5" t="s">
        <v>19</v>
      </c>
      <c r="B6134" s="5" t="s">
        <v>20</v>
      </c>
      <c r="C6134" s="7" t="s">
        <v>21</v>
      </c>
      <c r="D6134" s="9"/>
      <c r="E6134" s="7" t="s">
        <v>22</v>
      </c>
      <c r="F6134" s="9"/>
      <c r="G6134" s="5" t="s">
        <v>23</v>
      </c>
      <c r="H6134" s="5" t="s">
        <v>24</v>
      </c>
      <c r="I6134" s="5" t="s">
        <v>138</v>
      </c>
      <c r="J6134" s="5" t="s">
        <v>26</v>
      </c>
    </row>
    <row r="6135">
      <c r="A6135" s="6"/>
      <c r="B6135" s="6"/>
      <c r="C6135" s="8" t="s">
        <v>27</v>
      </c>
      <c r="D6135" s="8" t="s">
        <v>28</v>
      </c>
      <c r="E6135" s="8" t="s">
        <v>27</v>
      </c>
      <c r="F6135" s="8" t="s">
        <v>28</v>
      </c>
      <c r="G6135" s="6"/>
      <c r="H6135" s="6"/>
      <c r="I6135" s="10" t="s">
        <v>29</v>
      </c>
      <c r="J6135" s="6"/>
    </row>
    <row r="6136">
      <c r="A6136" s="11" t="s">
        <v>30</v>
      </c>
      <c r="B6136" s="12">
        <v>1359.135</v>
      </c>
      <c r="C6136" s="12">
        <v>0</v>
      </c>
      <c r="D6136" s="13">
        <v>0</v>
      </c>
      <c r="E6136" s="12">
        <v>0</v>
      </c>
      <c r="F6136" s="14">
        <v>0</v>
      </c>
      <c r="G6136" s="13">
        <v>33538780.2232</v>
      </c>
      <c r="H6136" s="14">
        <v>45583730058.658928</v>
      </c>
      <c r="I6136" s="14" t="e">
        <f>=Round(3433224.72840000,0)</f>
        <v>#VALUE!</v>
      </c>
      <c r="J6136" s="14" t="e">
        <f>=Round(0.00000000,0)</f>
        <v>#VALUE!</v>
      </c>
    </row>
    <row r="6137">
      <c r="A6137" s="11" t="s">
        <v>31</v>
      </c>
      <c r="B6137" s="12">
        <v>1366.505</v>
      </c>
      <c r="C6137" s="12">
        <v>0</v>
      </c>
      <c r="D6137" s="13">
        <v>0</v>
      </c>
      <c r="E6137" s="12">
        <v>0</v>
      </c>
      <c r="F6137" s="14">
        <v>0</v>
      </c>
      <c r="G6137" s="13">
        <v>33538780.2232</v>
      </c>
      <c r="H6137" s="14">
        <v>45830910868.903923</v>
      </c>
      <c r="I6137" s="14" t="e">
        <f>=Round(3425007.03990000,0)</f>
        <v>#VALUE!</v>
      </c>
      <c r="J6137" s="14" t="e">
        <f>=Round(0.00000000,0)</f>
        <v>#VALUE!</v>
      </c>
    </row>
    <row r="6138">
      <c r="A6138" s="11" t="s">
        <v>32</v>
      </c>
      <c r="B6138" s="12">
        <v>1368.218</v>
      </c>
      <c r="C6138" s="12">
        <v>0</v>
      </c>
      <c r="D6138" s="13">
        <v>0</v>
      </c>
      <c r="E6138" s="12">
        <v>0</v>
      </c>
      <c r="F6138" s="14">
        <v>0</v>
      </c>
      <c r="G6138" s="13">
        <v>33538780.2232</v>
      </c>
      <c r="H6138" s="14">
        <v>45888362799.426254</v>
      </c>
      <c r="I6138" s="14" t="e">
        <f>=Round(3443579.36860000,0)</f>
        <v>#VALUE!</v>
      </c>
      <c r="J6138" s="14" t="e">
        <f>=Round(0.00000000,0)</f>
        <v>#VALUE!</v>
      </c>
    </row>
    <row r="6139">
      <c r="A6139" s="11" t="s">
        <v>33</v>
      </c>
      <c r="B6139" s="12">
        <v>1371.235</v>
      </c>
      <c r="C6139" s="12">
        <v>0</v>
      </c>
      <c r="D6139" s="13">
        <v>0</v>
      </c>
      <c r="E6139" s="12">
        <v>0</v>
      </c>
      <c r="F6139" s="14">
        <v>0</v>
      </c>
      <c r="G6139" s="13">
        <v>33538780.2232</v>
      </c>
      <c r="H6139" s="14">
        <v>45989549299.35965</v>
      </c>
      <c r="I6139" s="14" t="e">
        <f>=Round(3447896.11200000,0)</f>
        <v>#VALUE!</v>
      </c>
      <c r="J6139" s="14" t="e">
        <f>=Round(0.00000000,0)</f>
        <v>#VALUE!</v>
      </c>
    </row>
    <row r="6140">
      <c r="A6140" s="11" t="s">
        <v>34</v>
      </c>
      <c r="B6140" s="12">
        <v>1371.712</v>
      </c>
      <c r="C6140" s="12">
        <v>0</v>
      </c>
      <c r="D6140" s="13">
        <v>0</v>
      </c>
      <c r="E6140" s="12">
        <v>0</v>
      </c>
      <c r="F6140" s="14">
        <v>0</v>
      </c>
      <c r="G6140" s="13">
        <v>33538780.2232</v>
      </c>
      <c r="H6140" s="14">
        <v>46005547297.526123</v>
      </c>
      <c r="I6140" s="14" t="e">
        <f>=Round(3455498.92280000,0)</f>
        <v>#VALUE!</v>
      </c>
      <c r="J6140" s="14" t="e">
        <f>=Round(0.00000000,0)</f>
        <v>#VALUE!</v>
      </c>
    </row>
    <row r="6141">
      <c r="A6141" s="11" t="s">
        <v>35</v>
      </c>
      <c r="B6141" s="12">
        <v>1371.712</v>
      </c>
      <c r="C6141" s="12">
        <v>0</v>
      </c>
      <c r="D6141" s="13">
        <v>0</v>
      </c>
      <c r="E6141" s="12">
        <v>0</v>
      </c>
      <c r="F6141" s="14">
        <v>0</v>
      </c>
      <c r="G6141" s="13">
        <v>33538780.2232</v>
      </c>
      <c r="H6141" s="14">
        <v>46005547297.526123</v>
      </c>
      <c r="I6141" s="14" t="e">
        <f>=Round(3456700.95810000,0)</f>
        <v>#VALUE!</v>
      </c>
      <c r="J6141" s="14" t="e">
        <f>=Round(0.00000000,0)</f>
        <v>#VALUE!</v>
      </c>
    </row>
    <row r="6142">
      <c r="A6142" s="11" t="s">
        <v>36</v>
      </c>
      <c r="B6142" s="12">
        <v>1371.712</v>
      </c>
      <c r="C6142" s="12">
        <v>0</v>
      </c>
      <c r="D6142" s="13">
        <v>0</v>
      </c>
      <c r="E6142" s="12">
        <v>0</v>
      </c>
      <c r="F6142" s="14">
        <v>0</v>
      </c>
      <c r="G6142" s="13">
        <v>33538780.2232</v>
      </c>
      <c r="H6142" s="14">
        <v>46005547297.526123</v>
      </c>
      <c r="I6142" s="14" t="e">
        <f>=Round(3456700.95810000,0)</f>
        <v>#VALUE!</v>
      </c>
      <c r="J6142" s="14" t="e">
        <f>=Round(0.00000000,0)</f>
        <v>#VALUE!</v>
      </c>
    </row>
    <row r="6143">
      <c r="A6143" s="11" t="s">
        <v>37</v>
      </c>
      <c r="B6143" s="12">
        <v>1368.454</v>
      </c>
      <c r="C6143" s="12">
        <v>0</v>
      </c>
      <c r="D6143" s="13">
        <v>0</v>
      </c>
      <c r="E6143" s="12">
        <v>0</v>
      </c>
      <c r="F6143" s="14">
        <v>0</v>
      </c>
      <c r="G6143" s="13">
        <v>33538780.2232</v>
      </c>
      <c r="H6143" s="14">
        <v>45896277951.558937</v>
      </c>
      <c r="I6143" s="14" t="e">
        <f>=Round(3456700.95810000,0)</f>
        <v>#VALUE!</v>
      </c>
      <c r="J6143" s="14" t="e">
        <f>=Round(0.00000000,0)</f>
        <v>#VALUE!</v>
      </c>
    </row>
    <row r="6144">
      <c r="A6144" s="11" t="s">
        <v>38</v>
      </c>
      <c r="B6144" s="12">
        <v>1368.918</v>
      </c>
      <c r="C6144" s="12">
        <v>0</v>
      </c>
      <c r="D6144" s="13">
        <v>0</v>
      </c>
      <c r="E6144" s="12">
        <v>0</v>
      </c>
      <c r="F6144" s="14">
        <v>0</v>
      </c>
      <c r="G6144" s="13">
        <v>33538780.2232</v>
      </c>
      <c r="H6144" s="14">
        <v>45911839945.5825</v>
      </c>
      <c r="I6144" s="14" t="e">
        <f>=Round(3448490.82970000,0)</f>
        <v>#VALUE!</v>
      </c>
      <c r="J6144" s="14" t="e">
        <f>=Round(0.00000000,0)</f>
        <v>#VALUE!</v>
      </c>
    </row>
    <row r="6145">
      <c r="A6145" s="11" t="s">
        <v>39</v>
      </c>
      <c r="B6145" s="12">
        <v>1368.31</v>
      </c>
      <c r="C6145" s="12">
        <v>0</v>
      </c>
      <c r="D6145" s="13">
        <v>0</v>
      </c>
      <c r="E6145" s="12">
        <v>0</v>
      </c>
      <c r="F6145" s="14">
        <v>0</v>
      </c>
      <c r="G6145" s="13">
        <v>33538780.2232</v>
      </c>
      <c r="H6145" s="14">
        <v>45891448367.206795</v>
      </c>
      <c r="I6145" s="14" t="e">
        <f>=Round(3449660.10520000,0)</f>
        <v>#VALUE!</v>
      </c>
      <c r="J6145" s="14" t="e">
        <f>=Round(0.00000000,0)</f>
        <v>#VALUE!</v>
      </c>
    </row>
    <row r="6146">
      <c r="A6146" s="11" t="s">
        <v>40</v>
      </c>
      <c r="B6146" s="12">
        <v>1366.564</v>
      </c>
      <c r="C6146" s="12">
        <v>0</v>
      </c>
      <c r="D6146" s="13">
        <v>0</v>
      </c>
      <c r="E6146" s="12">
        <v>0</v>
      </c>
      <c r="F6146" s="14">
        <v>0</v>
      </c>
      <c r="G6146" s="13">
        <v>33538780.2232</v>
      </c>
      <c r="H6146" s="14">
        <v>45832889656.937088</v>
      </c>
      <c r="I6146" s="14" t="e">
        <f>=Round(3448127.95110000,0)</f>
        <v>#VALUE!</v>
      </c>
      <c r="J6146" s="14" t="e">
        <f>=Round(0.00000000,0)</f>
        <v>#VALUE!</v>
      </c>
    </row>
    <row r="6147">
      <c r="A6147" s="11" t="s">
        <v>41</v>
      </c>
      <c r="B6147" s="12">
        <v>1365.597</v>
      </c>
      <c r="C6147" s="12">
        <v>0</v>
      </c>
      <c r="D6147" s="13">
        <v>0</v>
      </c>
      <c r="E6147" s="12">
        <v>0</v>
      </c>
      <c r="F6147" s="14">
        <v>0</v>
      </c>
      <c r="G6147" s="13">
        <v>33538780.2232</v>
      </c>
      <c r="H6147" s="14">
        <v>45800457656.46125</v>
      </c>
      <c r="I6147" s="14" t="e">
        <f>=Round(3443728.04800000,0)</f>
        <v>#VALUE!</v>
      </c>
      <c r="J6147" s="14" t="e">
        <f>=Round(0.00000000,0)</f>
        <v>#VALUE!</v>
      </c>
    </row>
    <row r="6148">
      <c r="A6148" s="11" t="s">
        <v>42</v>
      </c>
      <c r="B6148" s="12">
        <v>1365.597</v>
      </c>
      <c r="C6148" s="12">
        <v>0</v>
      </c>
      <c r="D6148" s="13">
        <v>0</v>
      </c>
      <c r="E6148" s="12">
        <v>0</v>
      </c>
      <c r="F6148" s="14">
        <v>0</v>
      </c>
      <c r="G6148" s="13">
        <v>33538780.2232</v>
      </c>
      <c r="H6148" s="14">
        <v>45800457656.46125</v>
      </c>
      <c r="I6148" s="14" t="e">
        <f>=Round(3441291.21740000,0)</f>
        <v>#VALUE!</v>
      </c>
      <c r="J6148" s="14" t="e">
        <f>=Round(0.00000000,0)</f>
        <v>#VALUE!</v>
      </c>
    </row>
    <row r="6149">
      <c r="A6149" s="11" t="s">
        <v>43</v>
      </c>
      <c r="B6149" s="12">
        <v>1365.597</v>
      </c>
      <c r="C6149" s="12">
        <v>0</v>
      </c>
      <c r="D6149" s="13">
        <v>0</v>
      </c>
      <c r="E6149" s="12">
        <v>0</v>
      </c>
      <c r="F6149" s="14">
        <v>0</v>
      </c>
      <c r="G6149" s="13">
        <v>33538780.2232</v>
      </c>
      <c r="H6149" s="14">
        <v>45800457656.46125</v>
      </c>
      <c r="I6149" s="14" t="e">
        <f>=Round(3441291.21740000,0)</f>
        <v>#VALUE!</v>
      </c>
      <c r="J6149" s="14" t="e">
        <f>=Round(0.00000000,0)</f>
        <v>#VALUE!</v>
      </c>
    </row>
    <row r="6150">
      <c r="A6150" s="11" t="s">
        <v>44</v>
      </c>
      <c r="B6150" s="12">
        <v>1367.091</v>
      </c>
      <c r="C6150" s="12">
        <v>0</v>
      </c>
      <c r="D6150" s="13">
        <v>0</v>
      </c>
      <c r="E6150" s="12">
        <v>0</v>
      </c>
      <c r="F6150" s="14">
        <v>0</v>
      </c>
      <c r="G6150" s="13">
        <v>33538780.2232</v>
      </c>
      <c r="H6150" s="14">
        <v>45850564594.114716</v>
      </c>
      <c r="I6150" s="14" t="e">
        <f>=Round(3441291.21740000,0)</f>
        <v>#VALUE!</v>
      </c>
      <c r="J6150" s="14" t="e">
        <f>=Round(0.00000000,0)</f>
        <v>#VALUE!</v>
      </c>
    </row>
    <row r="6151">
      <c r="A6151" s="11" t="s">
        <v>45</v>
      </c>
      <c r="B6151" s="12">
        <v>1369.482</v>
      </c>
      <c r="C6151" s="12">
        <v>0</v>
      </c>
      <c r="D6151" s="13">
        <v>0</v>
      </c>
      <c r="E6151" s="12">
        <v>0</v>
      </c>
      <c r="F6151" s="14">
        <v>0</v>
      </c>
      <c r="G6151" s="13">
        <v>33538780.2232</v>
      </c>
      <c r="H6151" s="14">
        <v>45930755817.628387</v>
      </c>
      <c r="I6151" s="14" t="e">
        <f>=Round(3445056.08290000,0)</f>
        <v>#VALUE!</v>
      </c>
      <c r="J6151" s="14" t="e">
        <f>=Round(0.00000000,0)</f>
        <v>#VALUE!</v>
      </c>
    </row>
    <row r="6152">
      <c r="A6152" s="11" t="s">
        <v>46</v>
      </c>
      <c r="B6152" s="12">
        <v>1371.803</v>
      </c>
      <c r="C6152" s="12">
        <v>0</v>
      </c>
      <c r="D6152" s="13">
        <v>0</v>
      </c>
      <c r="E6152" s="12">
        <v>0</v>
      </c>
      <c r="F6152" s="14">
        <v>0</v>
      </c>
      <c r="G6152" s="13">
        <v>33538780.2232</v>
      </c>
      <c r="H6152" s="14">
        <v>46008599326.526428</v>
      </c>
      <c r="I6152" s="14" t="e">
        <f>=Round(3451081.37970000,0)</f>
        <v>#VALUE!</v>
      </c>
      <c r="J6152" s="14" t="e">
        <f>=Round(0.00000000,0)</f>
        <v>#VALUE!</v>
      </c>
    </row>
    <row r="6153">
      <c r="A6153" s="11" t="s">
        <v>47</v>
      </c>
      <c r="B6153" s="12">
        <v>1373.557</v>
      </c>
      <c r="C6153" s="12">
        <v>0</v>
      </c>
      <c r="D6153" s="13">
        <v>0</v>
      </c>
      <c r="E6153" s="12">
        <v>0</v>
      </c>
      <c r="F6153" s="14">
        <v>0</v>
      </c>
      <c r="G6153" s="13">
        <v>33538780.2232</v>
      </c>
      <c r="H6153" s="14">
        <v>46067426347.037918</v>
      </c>
      <c r="I6153" s="14" t="e">
        <f>=Round(3456930.27730000,0)</f>
        <v>#VALUE!</v>
      </c>
      <c r="J6153" s="14" t="e">
        <f>=Round(0.00000000,0)</f>
        <v>#VALUE!</v>
      </c>
    </row>
    <row r="6154">
      <c r="A6154" s="11" t="s">
        <v>48</v>
      </c>
      <c r="B6154" s="12">
        <v>1370.226</v>
      </c>
      <c r="C6154" s="12">
        <v>0</v>
      </c>
      <c r="D6154" s="13">
        <v>0</v>
      </c>
      <c r="E6154" s="12">
        <v>0</v>
      </c>
      <c r="F6154" s="14">
        <v>0</v>
      </c>
      <c r="G6154" s="13">
        <v>33538780.2232</v>
      </c>
      <c r="H6154" s="14">
        <v>45955708670.114441</v>
      </c>
      <c r="I6154" s="14" t="e">
        <f>=Round(3461350.34030000,0)</f>
        <v>#VALUE!</v>
      </c>
      <c r="J6154" s="14" t="e">
        <f>=Round(0.00000000,0)</f>
        <v>#VALUE!</v>
      </c>
    </row>
    <row r="6155">
      <c r="A6155" s="11" t="s">
        <v>49</v>
      </c>
      <c r="B6155" s="12">
        <v>1370.226</v>
      </c>
      <c r="C6155" s="12">
        <v>0</v>
      </c>
      <c r="D6155" s="13">
        <v>0</v>
      </c>
      <c r="E6155" s="12">
        <v>0</v>
      </c>
      <c r="F6155" s="14">
        <v>0</v>
      </c>
      <c r="G6155" s="13">
        <v>33538780.2232</v>
      </c>
      <c r="H6155" s="14">
        <v>45955708670.114441</v>
      </c>
      <c r="I6155" s="14" t="e">
        <f>=Round(3452956.25250000,0)</f>
        <v>#VALUE!</v>
      </c>
      <c r="J6155" s="14" t="e">
        <f>=Round(0.00000000,0)</f>
        <v>#VALUE!</v>
      </c>
    </row>
    <row r="6156">
      <c r="A6156" s="11" t="s">
        <v>50</v>
      </c>
      <c r="B6156" s="12">
        <v>1370.226</v>
      </c>
      <c r="C6156" s="12">
        <v>0</v>
      </c>
      <c r="D6156" s="13">
        <v>0</v>
      </c>
      <c r="E6156" s="12">
        <v>0</v>
      </c>
      <c r="F6156" s="14">
        <v>0</v>
      </c>
      <c r="G6156" s="13">
        <v>33538780.2232</v>
      </c>
      <c r="H6156" s="14">
        <v>45955708670.114441</v>
      </c>
      <c r="I6156" s="14" t="e">
        <f>=Round(3452956.25250000,0)</f>
        <v>#VALUE!</v>
      </c>
      <c r="J6156" s="14" t="e">
        <f>=Round(0.00000000,0)</f>
        <v>#VALUE!</v>
      </c>
    </row>
    <row r="6157">
      <c r="A6157" s="11" t="s">
        <v>51</v>
      </c>
      <c r="B6157" s="12">
        <v>1364.358</v>
      </c>
      <c r="C6157" s="12">
        <v>0</v>
      </c>
      <c r="D6157" s="13">
        <v>0</v>
      </c>
      <c r="E6157" s="12">
        <v>0</v>
      </c>
      <c r="F6157" s="14">
        <v>0</v>
      </c>
      <c r="G6157" s="13">
        <v>33538780.2232</v>
      </c>
      <c r="H6157" s="14">
        <v>45758903107.7647</v>
      </c>
      <c r="I6157" s="14" t="e">
        <f>=Round(3452956.25250000,0)</f>
        <v>#VALUE!</v>
      </c>
      <c r="J6157" s="14" t="e">
        <f>=Round(0.00000000,0)</f>
        <v>#VALUE!</v>
      </c>
    </row>
    <row r="6158">
      <c r="A6158" s="11" t="s">
        <v>52</v>
      </c>
      <c r="B6158" s="12">
        <v>1366.171</v>
      </c>
      <c r="C6158" s="12">
        <v>0</v>
      </c>
      <c r="D6158" s="13">
        <v>0</v>
      </c>
      <c r="E6158" s="12">
        <v>0</v>
      </c>
      <c r="F6158" s="14">
        <v>0</v>
      </c>
      <c r="G6158" s="13">
        <v>33538780.2232</v>
      </c>
      <c r="H6158" s="14">
        <v>45819708916.309364</v>
      </c>
      <c r="I6158" s="14" t="e">
        <f>=Round(3438168.94940000,0)</f>
        <v>#VALUE!</v>
      </c>
      <c r="J6158" s="14" t="e">
        <f>=Round(0.00000000,0)</f>
        <v>#VALUE!</v>
      </c>
    </row>
    <row r="6159">
      <c r="A6159" s="11" t="s">
        <v>53</v>
      </c>
      <c r="B6159" s="12">
        <v>1361.098</v>
      </c>
      <c r="C6159" s="12">
        <v>0</v>
      </c>
      <c r="D6159" s="13">
        <v>0</v>
      </c>
      <c r="E6159" s="12">
        <v>0</v>
      </c>
      <c r="F6159" s="14">
        <v>0</v>
      </c>
      <c r="G6159" s="13">
        <v>33538780.2232</v>
      </c>
      <c r="H6159" s="14">
        <v>45649566684.237076</v>
      </c>
      <c r="I6159" s="14" t="e">
        <f>=Round(3442737.69180000,0)</f>
        <v>#VALUE!</v>
      </c>
      <c r="J6159" s="14" t="e">
        <f>=Round(0.00000000,0)</f>
        <v>#VALUE!</v>
      </c>
    </row>
    <row r="6160">
      <c r="A6160" s="11" t="s">
        <v>54</v>
      </c>
      <c r="B6160" s="12">
        <v>1351.626</v>
      </c>
      <c r="C6160" s="12">
        <v>0</v>
      </c>
      <c r="D6160" s="13">
        <v>0</v>
      </c>
      <c r="E6160" s="12">
        <v>0</v>
      </c>
      <c r="F6160" s="14">
        <v>0</v>
      </c>
      <c r="G6160" s="13">
        <v>33538780.2232</v>
      </c>
      <c r="H6160" s="14">
        <v>45331887357.962921</v>
      </c>
      <c r="I6160" s="14" t="e">
        <f>=Round(3429953.78090000,0)</f>
        <v>#VALUE!</v>
      </c>
      <c r="J6160" s="14" t="e">
        <f>=Round(0.00000000,0)</f>
        <v>#VALUE!</v>
      </c>
    </row>
    <row r="6161">
      <c r="A6161" s="11" t="s">
        <v>55</v>
      </c>
      <c r="B6161" s="12">
        <v>1343.8</v>
      </c>
      <c r="C6161" s="12">
        <v>0</v>
      </c>
      <c r="D6161" s="13">
        <v>0</v>
      </c>
      <c r="E6161" s="12">
        <v>0</v>
      </c>
      <c r="F6161" s="14">
        <v>0</v>
      </c>
      <c r="G6161" s="13">
        <v>33538780.2232</v>
      </c>
      <c r="H6161" s="14">
        <v>45069412863.936157</v>
      </c>
      <c r="I6161" s="14" t="e">
        <f>=Round(3406084.43260000,0)</f>
        <v>#VALUE!</v>
      </c>
      <c r="J6161" s="14" t="e">
        <f>=Round(0.00000000,0)</f>
        <v>#VALUE!</v>
      </c>
    </row>
    <row r="6162" ht="-1">
      <c r="A6162" s="15"/>
      <c r="B6162" s="16" t="s">
        <v>56</v>
      </c>
      <c r="C6162" s="15"/>
      <c r="D6162" s="15"/>
      <c r="E6162" s="15"/>
      <c r="F6162" s="15"/>
      <c r="G6162" s="15"/>
      <c r="H6162" s="15"/>
      <c r="I6162" s="17" t="e">
        <f>=Round(SUM(I6136:I6161),0)</f>
        <v>#VALUE!</v>
      </c>
      <c r="J6162" s="17" t="e">
        <f>=Round(SUM(J6136:J6161),0)</f>
        <v>#VALUE!</v>
      </c>
    </row>
    <row r="6163">
      <c r="A6163" s="1" t="s">
        <v>0</v>
      </c>
      <c r="B6163" s="1"/>
      <c r="C6163" s="1"/>
      <c r="D6163" s="1"/>
    </row>
    <row r="6164">
      <c r="A6164" s="0" t="s">
        <v>1</v>
      </c>
      <c r="C6164" s="0" t="s">
        <v>230</v>
      </c>
      <c r="H6164" s="2" t="s">
        <v>3</v>
      </c>
    </row>
    <row r="6165">
      <c r="A6165" s="0" t="s">
        <v>4</v>
      </c>
      <c r="C6165" s="0" t="s">
        <v>231</v>
      </c>
      <c r="H6165" s="3" t="s">
        <v>6</v>
      </c>
    </row>
    <row r="6166">
      <c r="A6166" s="0" t="s">
        <v>7</v>
      </c>
      <c r="C6166" s="4" t="s">
        <v>232</v>
      </c>
      <c r="H6166" s="2" t="s">
        <v>9</v>
      </c>
    </row>
    <row r="6167">
      <c r="A6167" s="0" t="s">
        <v>10</v>
      </c>
      <c r="C6167" s="4" t="s">
        <v>11</v>
      </c>
      <c r="H6167" s="2" t="s">
        <v>12</v>
      </c>
    </row>
    <row r="6168">
      <c r="A6168" s="0" t="s">
        <v>13</v>
      </c>
      <c r="C6168" s="0" t="s">
        <v>14</v>
      </c>
    </row>
    <row r="6169">
      <c r="A6169" s="0" t="s">
        <v>15</v>
      </c>
      <c r="C6169" s="0" t="s">
        <v>16</v>
      </c>
    </row>
    <row r="6170">
      <c r="A6170" s="0" t="s">
        <v>17</v>
      </c>
      <c r="C6170" s="0" t="s">
        <v>18</v>
      </c>
    </row>
    <row r="6173">
      <c r="A6173" s="5" t="s">
        <v>19</v>
      </c>
      <c r="B6173" s="5" t="s">
        <v>20</v>
      </c>
      <c r="C6173" s="7" t="s">
        <v>21</v>
      </c>
      <c r="D6173" s="9"/>
      <c r="E6173" s="7" t="s">
        <v>22</v>
      </c>
      <c r="F6173" s="9"/>
      <c r="G6173" s="5" t="s">
        <v>23</v>
      </c>
      <c r="H6173" s="5" t="s">
        <v>24</v>
      </c>
      <c r="I6173" s="5" t="s">
        <v>233</v>
      </c>
      <c r="J6173" s="5" t="s">
        <v>26</v>
      </c>
    </row>
    <row r="6174">
      <c r="A6174" s="6"/>
      <c r="B6174" s="6"/>
      <c r="C6174" s="8" t="s">
        <v>27</v>
      </c>
      <c r="D6174" s="8" t="s">
        <v>28</v>
      </c>
      <c r="E6174" s="8" t="s">
        <v>27</v>
      </c>
      <c r="F6174" s="8" t="s">
        <v>28</v>
      </c>
      <c r="G6174" s="6"/>
      <c r="H6174" s="6"/>
      <c r="I6174" s="10" t="s">
        <v>29</v>
      </c>
      <c r="J6174" s="6"/>
    </row>
    <row r="6175">
      <c r="A6175" s="11" t="s">
        <v>30</v>
      </c>
      <c r="B6175" s="12">
        <v>1163.051</v>
      </c>
      <c r="C6175" s="12">
        <v>0</v>
      </c>
      <c r="D6175" s="13">
        <v>0</v>
      </c>
      <c r="E6175" s="12">
        <v>0</v>
      </c>
      <c r="F6175" s="14">
        <v>0</v>
      </c>
      <c r="G6175" s="13">
        <v>36775479.6225</v>
      </c>
      <c r="H6175" s="14">
        <v>42771758350.428246</v>
      </c>
      <c r="I6175" s="14" t="e">
        <f>=Round(2062317.45180000,0)</f>
        <v>#VALUE!</v>
      </c>
      <c r="J6175" s="14" t="e">
        <f>=Round(0.00000000,0)</f>
        <v>#VALUE!</v>
      </c>
    </row>
    <row r="6176">
      <c r="A6176" s="11" t="s">
        <v>31</v>
      </c>
      <c r="B6176" s="12">
        <v>1168.542</v>
      </c>
      <c r="C6176" s="12">
        <v>0</v>
      </c>
      <c r="D6176" s="13">
        <v>0</v>
      </c>
      <c r="E6176" s="12">
        <v>0</v>
      </c>
      <c r="F6176" s="14">
        <v>0</v>
      </c>
      <c r="G6176" s="13">
        <v>36775479.6225</v>
      </c>
      <c r="H6176" s="14">
        <v>42973692509.035393</v>
      </c>
      <c r="I6176" s="14" t="e">
        <f>=Round(2056784.00810000,0)</f>
        <v>#VALUE!</v>
      </c>
      <c r="J6176" s="14" t="e">
        <f>=Round(0.00000000,0)</f>
        <v>#VALUE!</v>
      </c>
    </row>
    <row r="6177">
      <c r="A6177" s="11" t="s">
        <v>32</v>
      </c>
      <c r="B6177" s="12">
        <v>1170.468</v>
      </c>
      <c r="C6177" s="12">
        <v>0</v>
      </c>
      <c r="D6177" s="13">
        <v>0</v>
      </c>
      <c r="E6177" s="12">
        <v>0</v>
      </c>
      <c r="F6177" s="14">
        <v>0</v>
      </c>
      <c r="G6177" s="13">
        <v>36775479.6225</v>
      </c>
      <c r="H6177" s="14">
        <v>43044522082.78833</v>
      </c>
      <c r="I6177" s="14" t="e">
        <f>=Round(2066494.50320000,0)</f>
        <v>#VALUE!</v>
      </c>
      <c r="J6177" s="14" t="e">
        <f>=Round(0.00000000,0)</f>
        <v>#VALUE!</v>
      </c>
    </row>
    <row r="6178">
      <c r="A6178" s="11" t="s">
        <v>33</v>
      </c>
      <c r="B6178" s="12">
        <v>1172.447</v>
      </c>
      <c r="C6178" s="12">
        <v>0</v>
      </c>
      <c r="D6178" s="13">
        <v>0</v>
      </c>
      <c r="E6178" s="12">
        <v>0</v>
      </c>
      <c r="F6178" s="14">
        <v>0</v>
      </c>
      <c r="G6178" s="13">
        <v>36775479.6225</v>
      </c>
      <c r="H6178" s="14">
        <v>43117300756.961258</v>
      </c>
      <c r="I6178" s="14" t="e">
        <f>=Round(2069900.51550000,0)</f>
        <v>#VALUE!</v>
      </c>
      <c r="J6178" s="14" t="e">
        <f>=Round(0.00000000,0)</f>
        <v>#VALUE!</v>
      </c>
    </row>
    <row r="6179">
      <c r="A6179" s="11" t="s">
        <v>34</v>
      </c>
      <c r="B6179" s="12">
        <v>1172.879</v>
      </c>
      <c r="C6179" s="12">
        <v>0</v>
      </c>
      <c r="D6179" s="13">
        <v>0</v>
      </c>
      <c r="E6179" s="12">
        <v>0</v>
      </c>
      <c r="F6179" s="14">
        <v>0</v>
      </c>
      <c r="G6179" s="13">
        <v>36775479.6225</v>
      </c>
      <c r="H6179" s="14">
        <v>43133187764.158173</v>
      </c>
      <c r="I6179" s="14" t="e">
        <f>=Round(2073400.25500000,0)</f>
        <v>#VALUE!</v>
      </c>
      <c r="J6179" s="14" t="e">
        <f>=Round(0.00000000,0)</f>
        <v>#VALUE!</v>
      </c>
    </row>
    <row r="6180">
      <c r="A6180" s="11" t="s">
        <v>35</v>
      </c>
      <c r="B6180" s="12">
        <v>1172.879</v>
      </c>
      <c r="C6180" s="12">
        <v>0</v>
      </c>
      <c r="D6180" s="13">
        <v>0</v>
      </c>
      <c r="E6180" s="12">
        <v>0</v>
      </c>
      <c r="F6180" s="14">
        <v>0</v>
      </c>
      <c r="G6180" s="13">
        <v>36775479.6225</v>
      </c>
      <c r="H6180" s="14">
        <v>43133187764.158173</v>
      </c>
      <c r="I6180" s="14" t="e">
        <f>=Round(2074164.22040000,0)</f>
        <v>#VALUE!</v>
      </c>
      <c r="J6180" s="14" t="e">
        <f>=Round(0.00000000,0)</f>
        <v>#VALUE!</v>
      </c>
    </row>
    <row r="6181">
      <c r="A6181" s="11" t="s">
        <v>36</v>
      </c>
      <c r="B6181" s="12">
        <v>1172.879</v>
      </c>
      <c r="C6181" s="12">
        <v>0</v>
      </c>
      <c r="D6181" s="13">
        <v>0</v>
      </c>
      <c r="E6181" s="12">
        <v>0</v>
      </c>
      <c r="F6181" s="14">
        <v>0</v>
      </c>
      <c r="G6181" s="13">
        <v>36775479.6225</v>
      </c>
      <c r="H6181" s="14">
        <v>43133187764.158173</v>
      </c>
      <c r="I6181" s="14" t="e">
        <f>=Round(2074164.22040000,0)</f>
        <v>#VALUE!</v>
      </c>
      <c r="J6181" s="14" t="e">
        <f>=Round(0.00000000,0)</f>
        <v>#VALUE!</v>
      </c>
    </row>
    <row r="6182">
      <c r="A6182" s="11" t="s">
        <v>37</v>
      </c>
      <c r="B6182" s="12">
        <v>1171.334</v>
      </c>
      <c r="C6182" s="12">
        <v>0</v>
      </c>
      <c r="D6182" s="13">
        <v>0</v>
      </c>
      <c r="E6182" s="12">
        <v>0</v>
      </c>
      <c r="F6182" s="14">
        <v>0</v>
      </c>
      <c r="G6182" s="13">
        <v>36775479.6225</v>
      </c>
      <c r="H6182" s="14">
        <v>43076369648.141418</v>
      </c>
      <c r="I6182" s="14" t="e">
        <f>=Round(2074164.22040000,0)</f>
        <v>#VALUE!</v>
      </c>
      <c r="J6182" s="14" t="e">
        <f>=Round(0.00000000,0)</f>
        <v>#VALUE!</v>
      </c>
    </row>
    <row r="6183">
      <c r="A6183" s="11" t="s">
        <v>38</v>
      </c>
      <c r="B6183" s="12">
        <v>1170.622</v>
      </c>
      <c r="C6183" s="12">
        <v>0</v>
      </c>
      <c r="D6183" s="13">
        <v>0</v>
      </c>
      <c r="E6183" s="12">
        <v>0</v>
      </c>
      <c r="F6183" s="14">
        <v>0</v>
      </c>
      <c r="G6183" s="13">
        <v>36775479.6225</v>
      </c>
      <c r="H6183" s="14">
        <v>43050185506.650192</v>
      </c>
      <c r="I6183" s="14" t="e">
        <f>=Round(2071431.98310000,0)</f>
        <v>#VALUE!</v>
      </c>
      <c r="J6183" s="14" t="e">
        <f>=Round(0.00000000,0)</f>
        <v>#VALUE!</v>
      </c>
    </row>
    <row r="6184">
      <c r="A6184" s="11" t="s">
        <v>39</v>
      </c>
      <c r="B6184" s="12">
        <v>1171.371</v>
      </c>
      <c r="C6184" s="12">
        <v>0</v>
      </c>
      <c r="D6184" s="13">
        <v>0</v>
      </c>
      <c r="E6184" s="12">
        <v>0</v>
      </c>
      <c r="F6184" s="14">
        <v>0</v>
      </c>
      <c r="G6184" s="13">
        <v>36775479.6225</v>
      </c>
      <c r="H6184" s="14">
        <v>43077730340.887451</v>
      </c>
      <c r="I6184" s="14" t="e">
        <f>=Round(2070172.85500000,0)</f>
        <v>#VALUE!</v>
      </c>
      <c r="J6184" s="14" t="e">
        <f>=Round(0.00000000,0)</f>
        <v>#VALUE!</v>
      </c>
    </row>
    <row r="6185">
      <c r="A6185" s="11" t="s">
        <v>40</v>
      </c>
      <c r="B6185" s="12">
        <v>1169.975</v>
      </c>
      <c r="C6185" s="12">
        <v>0</v>
      </c>
      <c r="D6185" s="13">
        <v>0</v>
      </c>
      <c r="E6185" s="12">
        <v>0</v>
      </c>
      <c r="F6185" s="14">
        <v>0</v>
      </c>
      <c r="G6185" s="13">
        <v>36775479.6225</v>
      </c>
      <c r="H6185" s="14">
        <v>43026391771.334442</v>
      </c>
      <c r="I6185" s="14" t="e">
        <f>=Round(2071497.41530000,0)</f>
        <v>#VALUE!</v>
      </c>
      <c r="J6185" s="14" t="e">
        <f>=Round(0.00000000,0)</f>
        <v>#VALUE!</v>
      </c>
    </row>
    <row r="6186">
      <c r="A6186" s="11" t="s">
        <v>41</v>
      </c>
      <c r="B6186" s="12">
        <v>1169.959</v>
      </c>
      <c r="C6186" s="12">
        <v>0</v>
      </c>
      <c r="D6186" s="13">
        <v>0</v>
      </c>
      <c r="E6186" s="12">
        <v>0</v>
      </c>
      <c r="F6186" s="14">
        <v>0</v>
      </c>
      <c r="G6186" s="13">
        <v>36775479.6225</v>
      </c>
      <c r="H6186" s="14">
        <v>43025803363.660477</v>
      </c>
      <c r="I6186" s="14" t="e">
        <f>=Round(2069028.67530000,0)</f>
        <v>#VALUE!</v>
      </c>
      <c r="J6186" s="14" t="e">
        <f>=Round(0.00000000,0)</f>
        <v>#VALUE!</v>
      </c>
    </row>
    <row r="6187">
      <c r="A6187" s="11" t="s">
        <v>42</v>
      </c>
      <c r="B6187" s="12">
        <v>1169.959</v>
      </c>
      <c r="C6187" s="12">
        <v>0</v>
      </c>
      <c r="D6187" s="13">
        <v>0</v>
      </c>
      <c r="E6187" s="12">
        <v>0</v>
      </c>
      <c r="F6187" s="14">
        <v>0</v>
      </c>
      <c r="G6187" s="13">
        <v>36775479.6225</v>
      </c>
      <c r="H6187" s="14">
        <v>43025803363.660477</v>
      </c>
      <c r="I6187" s="14" t="e">
        <f>=Round(2069000.38030000,0)</f>
        <v>#VALUE!</v>
      </c>
      <c r="J6187" s="14" t="e">
        <f>=Round(0.00000000,0)</f>
        <v>#VALUE!</v>
      </c>
    </row>
    <row r="6188">
      <c r="A6188" s="11" t="s">
        <v>43</v>
      </c>
      <c r="B6188" s="12">
        <v>1169.959</v>
      </c>
      <c r="C6188" s="12">
        <v>0</v>
      </c>
      <c r="D6188" s="13">
        <v>0</v>
      </c>
      <c r="E6188" s="12">
        <v>0</v>
      </c>
      <c r="F6188" s="14">
        <v>0</v>
      </c>
      <c r="G6188" s="13">
        <v>36775479.6225</v>
      </c>
      <c r="H6188" s="14">
        <v>43025803363.660477</v>
      </c>
      <c r="I6188" s="14" t="e">
        <f>=Round(2069000.38030000,0)</f>
        <v>#VALUE!</v>
      </c>
      <c r="J6188" s="14" t="e">
        <f>=Round(0.00000000,0)</f>
        <v>#VALUE!</v>
      </c>
    </row>
    <row r="6189">
      <c r="A6189" s="11" t="s">
        <v>44</v>
      </c>
      <c r="B6189" s="12">
        <v>1170.886</v>
      </c>
      <c r="C6189" s="12">
        <v>0</v>
      </c>
      <c r="D6189" s="13">
        <v>0</v>
      </c>
      <c r="E6189" s="12">
        <v>0</v>
      </c>
      <c r="F6189" s="14">
        <v>0</v>
      </c>
      <c r="G6189" s="13">
        <v>36775479.6225</v>
      </c>
      <c r="H6189" s="14">
        <v>43059894233.270538</v>
      </c>
      <c r="I6189" s="14" t="e">
        <f>=Round(2069000.38030000,0)</f>
        <v>#VALUE!</v>
      </c>
      <c r="J6189" s="14" t="e">
        <f>=Round(0.00000000,0)</f>
        <v>#VALUE!</v>
      </c>
    </row>
    <row r="6190">
      <c r="A6190" s="11" t="s">
        <v>45</v>
      </c>
      <c r="B6190" s="12">
        <v>1173.275</v>
      </c>
      <c r="C6190" s="12">
        <v>0</v>
      </c>
      <c r="D6190" s="13">
        <v>0</v>
      </c>
      <c r="E6190" s="12">
        <v>0</v>
      </c>
      <c r="F6190" s="14">
        <v>0</v>
      </c>
      <c r="G6190" s="13">
        <v>36775479.6225</v>
      </c>
      <c r="H6190" s="14">
        <v>43147750854.088692</v>
      </c>
      <c r="I6190" s="14" t="e">
        <f>=Round(2070639.72270000,0)</f>
        <v>#VALUE!</v>
      </c>
      <c r="J6190" s="14" t="e">
        <f>=Round(0.00000000,0)</f>
        <v>#VALUE!</v>
      </c>
    </row>
    <row r="6191">
      <c r="A6191" s="11" t="s">
        <v>46</v>
      </c>
      <c r="B6191" s="12">
        <v>1175.446</v>
      </c>
      <c r="C6191" s="12">
        <v>0</v>
      </c>
      <c r="D6191" s="13">
        <v>0</v>
      </c>
      <c r="E6191" s="12">
        <v>0</v>
      </c>
      <c r="F6191" s="14">
        <v>0</v>
      </c>
      <c r="G6191" s="13">
        <v>36775479.6225</v>
      </c>
      <c r="H6191" s="14">
        <v>43227590420.349136</v>
      </c>
      <c r="I6191" s="14" t="e">
        <f>=Round(2074864.52190000,0)</f>
        <v>#VALUE!</v>
      </c>
      <c r="J6191" s="14" t="e">
        <f>=Round(0.00000000,0)</f>
        <v>#VALUE!</v>
      </c>
    </row>
    <row r="6192">
      <c r="A6192" s="11" t="s">
        <v>47</v>
      </c>
      <c r="B6192" s="12">
        <v>1176.562</v>
      </c>
      <c r="C6192" s="12">
        <v>0</v>
      </c>
      <c r="D6192" s="13">
        <v>0</v>
      </c>
      <c r="E6192" s="12">
        <v>0</v>
      </c>
      <c r="F6192" s="14">
        <v>0</v>
      </c>
      <c r="G6192" s="13">
        <v>36775479.6225</v>
      </c>
      <c r="H6192" s="14">
        <v>43268631855.607849</v>
      </c>
      <c r="I6192" s="14" t="e">
        <f>=Round(2078703.80160000,0)</f>
        <v>#VALUE!</v>
      </c>
      <c r="J6192" s="14" t="e">
        <f>=Round(0.00000000,0)</f>
        <v>#VALUE!</v>
      </c>
    </row>
    <row r="6193">
      <c r="A6193" s="11" t="s">
        <v>48</v>
      </c>
      <c r="B6193" s="12">
        <v>1174.716</v>
      </c>
      <c r="C6193" s="12">
        <v>0</v>
      </c>
      <c r="D6193" s="13">
        <v>0</v>
      </c>
      <c r="E6193" s="12">
        <v>0</v>
      </c>
      <c r="F6193" s="14">
        <v>0</v>
      </c>
      <c r="G6193" s="13">
        <v>36775479.6225</v>
      </c>
      <c r="H6193" s="14">
        <v>43200744320.224709</v>
      </c>
      <c r="I6193" s="14" t="e">
        <f>=Round(2080677.37880000,0)</f>
        <v>#VALUE!</v>
      </c>
      <c r="J6193" s="14" t="e">
        <f>=Round(0.00000000,0)</f>
        <v>#VALUE!</v>
      </c>
    </row>
    <row r="6194">
      <c r="A6194" s="11" t="s">
        <v>49</v>
      </c>
      <c r="B6194" s="12">
        <v>1174.716</v>
      </c>
      <c r="C6194" s="12">
        <v>0</v>
      </c>
      <c r="D6194" s="13">
        <v>0</v>
      </c>
      <c r="E6194" s="12">
        <v>0</v>
      </c>
      <c r="F6194" s="14">
        <v>0</v>
      </c>
      <c r="G6194" s="13">
        <v>36775479.6225</v>
      </c>
      <c r="H6194" s="14">
        <v>43200744320.224709</v>
      </c>
      <c r="I6194" s="14" t="e">
        <f>=Round(2077412.84160000,0)</f>
        <v>#VALUE!</v>
      </c>
      <c r="J6194" s="14" t="e">
        <f>=Round(0.00000000,0)</f>
        <v>#VALUE!</v>
      </c>
    </row>
    <row r="6195">
      <c r="A6195" s="11" t="s">
        <v>50</v>
      </c>
      <c r="B6195" s="12">
        <v>1174.716</v>
      </c>
      <c r="C6195" s="12">
        <v>0</v>
      </c>
      <c r="D6195" s="13">
        <v>0</v>
      </c>
      <c r="E6195" s="12">
        <v>0</v>
      </c>
      <c r="F6195" s="14">
        <v>0</v>
      </c>
      <c r="G6195" s="13">
        <v>36775479.6225</v>
      </c>
      <c r="H6195" s="14">
        <v>43200744320.224709</v>
      </c>
      <c r="I6195" s="14" t="e">
        <f>=Round(2077412.84160000,0)</f>
        <v>#VALUE!</v>
      </c>
      <c r="J6195" s="14" t="e">
        <f>=Round(0.00000000,0)</f>
        <v>#VALUE!</v>
      </c>
    </row>
    <row r="6196">
      <c r="A6196" s="11" t="s">
        <v>51</v>
      </c>
      <c r="B6196" s="12">
        <v>1170.39</v>
      </c>
      <c r="C6196" s="12">
        <v>0</v>
      </c>
      <c r="D6196" s="13">
        <v>0</v>
      </c>
      <c r="E6196" s="12">
        <v>0</v>
      </c>
      <c r="F6196" s="14">
        <v>0</v>
      </c>
      <c r="G6196" s="13">
        <v>36775479.6225</v>
      </c>
      <c r="H6196" s="14">
        <v>43041653595.377777</v>
      </c>
      <c r="I6196" s="14" t="e">
        <f>=Round(2077412.84160000,0)</f>
        <v>#VALUE!</v>
      </c>
      <c r="J6196" s="14" t="e">
        <f>=Round(0.00000000,0)</f>
        <v>#VALUE!</v>
      </c>
    </row>
    <row r="6197">
      <c r="A6197" s="11" t="s">
        <v>52</v>
      </c>
      <c r="B6197" s="12">
        <v>1170.718</v>
      </c>
      <c r="C6197" s="12">
        <v>0</v>
      </c>
      <c r="D6197" s="13">
        <v>0</v>
      </c>
      <c r="E6197" s="12">
        <v>0</v>
      </c>
      <c r="F6197" s="14">
        <v>0</v>
      </c>
      <c r="G6197" s="13">
        <v>36775479.6225</v>
      </c>
      <c r="H6197" s="14">
        <v>43053715952.693954</v>
      </c>
      <c r="I6197" s="14" t="e">
        <f>=Round(2069762.57730000,0)</f>
        <v>#VALUE!</v>
      </c>
      <c r="J6197" s="14" t="e">
        <f>=Round(0.00000000,0)</f>
        <v>#VALUE!</v>
      </c>
    </row>
    <row r="6198">
      <c r="A6198" s="11" t="s">
        <v>53</v>
      </c>
      <c r="B6198" s="12">
        <v>1166.676</v>
      </c>
      <c r="C6198" s="12">
        <v>0</v>
      </c>
      <c r="D6198" s="13">
        <v>0</v>
      </c>
      <c r="E6198" s="12">
        <v>0</v>
      </c>
      <c r="F6198" s="14">
        <v>0</v>
      </c>
      <c r="G6198" s="13">
        <v>36775479.6225</v>
      </c>
      <c r="H6198" s="14">
        <v>42905069464.059807</v>
      </c>
      <c r="I6198" s="14" t="e">
        <f>=Round(2070342.62500000,0)</f>
        <v>#VALUE!</v>
      </c>
      <c r="J6198" s="14" t="e">
        <f>=Round(0.00000000,0)</f>
        <v>#VALUE!</v>
      </c>
    </row>
    <row r="6199">
      <c r="A6199" s="11" t="s">
        <v>54</v>
      </c>
      <c r="B6199" s="12">
        <v>1158.932</v>
      </c>
      <c r="C6199" s="12">
        <v>0</v>
      </c>
      <c r="D6199" s="13">
        <v>0</v>
      </c>
      <c r="E6199" s="12">
        <v>0</v>
      </c>
      <c r="F6199" s="14">
        <v>0</v>
      </c>
      <c r="G6199" s="13">
        <v>36775479.6225</v>
      </c>
      <c r="H6199" s="14">
        <v>42620280149.863167</v>
      </c>
      <c r="I6199" s="14" t="e">
        <f>=Round(2063194.59720000,0)</f>
        <v>#VALUE!</v>
      </c>
      <c r="J6199" s="14" t="e">
        <f>=Round(0.00000000,0)</f>
        <v>#VALUE!</v>
      </c>
    </row>
    <row r="6200">
      <c r="A6200" s="11" t="s">
        <v>55</v>
      </c>
      <c r="B6200" s="12">
        <v>1152.954</v>
      </c>
      <c r="C6200" s="12">
        <v>0</v>
      </c>
      <c r="D6200" s="13">
        <v>0</v>
      </c>
      <c r="E6200" s="12">
        <v>0</v>
      </c>
      <c r="F6200" s="14">
        <v>0</v>
      </c>
      <c r="G6200" s="13">
        <v>36775479.6225</v>
      </c>
      <c r="H6200" s="14">
        <v>42400436332.679863</v>
      </c>
      <c r="I6200" s="14" t="e">
        <f>=Round(2049499.81050000,0)</f>
        <v>#VALUE!</v>
      </c>
      <c r="J6200" s="14" t="e">
        <f>=Round(0.00000000,0)</f>
        <v>#VALUE!</v>
      </c>
    </row>
    <row r="6201" ht="-1">
      <c r="A6201" s="15"/>
      <c r="B6201" s="16" t="s">
        <v>56</v>
      </c>
      <c r="C6201" s="15"/>
      <c r="D6201" s="15"/>
      <c r="E6201" s="15"/>
      <c r="F6201" s="15"/>
      <c r="G6201" s="15"/>
      <c r="H6201" s="15"/>
      <c r="I6201" s="17" t="e">
        <f>=Round(SUM(I6175:I6200),0)</f>
        <v>#VALUE!</v>
      </c>
      <c r="J6201" s="17" t="e">
        <f>=Round(SUM(J6175:J6200),0)</f>
        <v>#VALUE!</v>
      </c>
    </row>
    <row r="6202">
      <c r="A6202" s="1" t="s">
        <v>0</v>
      </c>
      <c r="B6202" s="1"/>
      <c r="C6202" s="1"/>
      <c r="D6202" s="1"/>
    </row>
    <row r="6203">
      <c r="A6203" s="0" t="s">
        <v>1</v>
      </c>
      <c r="C6203" s="0" t="s">
        <v>234</v>
      </c>
      <c r="H6203" s="2" t="s">
        <v>3</v>
      </c>
    </row>
    <row r="6204">
      <c r="A6204" s="0" t="s">
        <v>4</v>
      </c>
      <c r="C6204" s="0" t="s">
        <v>235</v>
      </c>
      <c r="H6204" s="3" t="s">
        <v>6</v>
      </c>
    </row>
    <row r="6205">
      <c r="A6205" s="0" t="s">
        <v>7</v>
      </c>
      <c r="C6205" s="4" t="s">
        <v>205</v>
      </c>
      <c r="H6205" s="2" t="s">
        <v>9</v>
      </c>
    </row>
    <row r="6206">
      <c r="A6206" s="0" t="s">
        <v>10</v>
      </c>
      <c r="C6206" s="4" t="s">
        <v>11</v>
      </c>
      <c r="H6206" s="2" t="s">
        <v>12</v>
      </c>
    </row>
    <row r="6207">
      <c r="A6207" s="0" t="s">
        <v>13</v>
      </c>
      <c r="C6207" s="0" t="s">
        <v>14</v>
      </c>
    </row>
    <row r="6208">
      <c r="A6208" s="0" t="s">
        <v>15</v>
      </c>
      <c r="C6208" s="0" t="s">
        <v>16</v>
      </c>
    </row>
    <row r="6209">
      <c r="A6209" s="0" t="s">
        <v>17</v>
      </c>
      <c r="C6209" s="0" t="s">
        <v>18</v>
      </c>
    </row>
    <row r="6212">
      <c r="A6212" s="5" t="s">
        <v>19</v>
      </c>
      <c r="B6212" s="5" t="s">
        <v>20</v>
      </c>
      <c r="C6212" s="7" t="s">
        <v>21</v>
      </c>
      <c r="D6212" s="9"/>
      <c r="E6212" s="7" t="s">
        <v>22</v>
      </c>
      <c r="F6212" s="9"/>
      <c r="G6212" s="5" t="s">
        <v>23</v>
      </c>
      <c r="H6212" s="5" t="s">
        <v>24</v>
      </c>
      <c r="I6212" s="5" t="s">
        <v>206</v>
      </c>
      <c r="J6212" s="5" t="s">
        <v>26</v>
      </c>
    </row>
    <row r="6213">
      <c r="A6213" s="6"/>
      <c r="B6213" s="6"/>
      <c r="C6213" s="8" t="s">
        <v>27</v>
      </c>
      <c r="D6213" s="8" t="s">
        <v>28</v>
      </c>
      <c r="E6213" s="8" t="s">
        <v>27</v>
      </c>
      <c r="F6213" s="8" t="s">
        <v>28</v>
      </c>
      <c r="G6213" s="6"/>
      <c r="H6213" s="6"/>
      <c r="I6213" s="10" t="s">
        <v>29</v>
      </c>
      <c r="J6213" s="6"/>
    </row>
    <row r="6214">
      <c r="A6214" s="11" t="s">
        <v>30</v>
      </c>
      <c r="B6214" s="12">
        <v>1278.0261</v>
      </c>
      <c r="C6214" s="12">
        <v>0</v>
      </c>
      <c r="D6214" s="13">
        <v>0</v>
      </c>
      <c r="E6214" s="12">
        <v>0</v>
      </c>
      <c r="F6214" s="14">
        <v>0</v>
      </c>
      <c r="G6214" s="13">
        <v>127673.6565</v>
      </c>
      <c r="H6214" s="14">
        <v>163170265.289435</v>
      </c>
      <c r="I6214" s="14" t="e">
        <f>=Round(1715.58710000,0)</f>
        <v>#VALUE!</v>
      </c>
      <c r="J6214" s="14" t="e">
        <f>=Round(0.00000000,0)</f>
        <v>#VALUE!</v>
      </c>
    </row>
    <row r="6215">
      <c r="A6215" s="11" t="s">
        <v>31</v>
      </c>
      <c r="B6215" s="12">
        <v>1278.2299</v>
      </c>
      <c r="C6215" s="12">
        <v>0</v>
      </c>
      <c r="D6215" s="13">
        <v>0</v>
      </c>
      <c r="E6215" s="12">
        <v>0</v>
      </c>
      <c r="F6215" s="14">
        <v>0</v>
      </c>
      <c r="G6215" s="13">
        <v>127673.6565</v>
      </c>
      <c r="H6215" s="14">
        <v>163196285.180629</v>
      </c>
      <c r="I6215" s="14" t="e">
        <f>=Round(1716.40850000,0)</f>
        <v>#VALUE!</v>
      </c>
      <c r="J6215" s="14" t="e">
        <f>=Round(0.00000000,0)</f>
        <v>#VALUE!</v>
      </c>
    </row>
    <row r="6216">
      <c r="A6216" s="11" t="s">
        <v>32</v>
      </c>
      <c r="B6216" s="12">
        <v>1278.4335</v>
      </c>
      <c r="C6216" s="12">
        <v>0</v>
      </c>
      <c r="D6216" s="13">
        <v>0</v>
      </c>
      <c r="E6216" s="12">
        <v>0</v>
      </c>
      <c r="F6216" s="14">
        <v>0</v>
      </c>
      <c r="G6216" s="13">
        <v>127673.6565</v>
      </c>
      <c r="H6216" s="14">
        <v>163222279.537093</v>
      </c>
      <c r="I6216" s="14" t="e">
        <f>=Round(1716.68220000,0)</f>
        <v>#VALUE!</v>
      </c>
      <c r="J6216" s="14" t="e">
        <f>=Round(0.00000000,0)</f>
        <v>#VALUE!</v>
      </c>
    </row>
    <row r="6217">
      <c r="A6217" s="11" t="s">
        <v>33</v>
      </c>
      <c r="B6217" s="12">
        <v>1278.6325</v>
      </c>
      <c r="C6217" s="12">
        <v>0</v>
      </c>
      <c r="D6217" s="13">
        <v>0</v>
      </c>
      <c r="E6217" s="12">
        <v>0</v>
      </c>
      <c r="F6217" s="14">
        <v>0</v>
      </c>
      <c r="G6217" s="13">
        <v>127673.6565</v>
      </c>
      <c r="H6217" s="14">
        <v>163247686.594736</v>
      </c>
      <c r="I6217" s="14" t="e">
        <f>=Round(1716.95570000,0)</f>
        <v>#VALUE!</v>
      </c>
      <c r="J6217" s="14" t="e">
        <f>=Round(0.00000000,0)</f>
        <v>#VALUE!</v>
      </c>
    </row>
    <row r="6218">
      <c r="A6218" s="11" t="s">
        <v>34</v>
      </c>
      <c r="B6218" s="12">
        <v>1278.837</v>
      </c>
      <c r="C6218" s="12">
        <v>0</v>
      </c>
      <c r="D6218" s="13">
        <v>0</v>
      </c>
      <c r="E6218" s="12">
        <v>0</v>
      </c>
      <c r="F6218" s="14">
        <v>0</v>
      </c>
      <c r="G6218" s="13">
        <v>127673.6565</v>
      </c>
      <c r="H6218" s="14">
        <v>163273795.857491</v>
      </c>
      <c r="I6218" s="14" t="e">
        <f>=Round(1717.22290000,0)</f>
        <v>#VALUE!</v>
      </c>
      <c r="J6218" s="14" t="e">
        <f>=Round(0.00000000,0)</f>
        <v>#VALUE!</v>
      </c>
    </row>
    <row r="6219">
      <c r="A6219" s="11" t="s">
        <v>35</v>
      </c>
      <c r="B6219" s="12">
        <v>1278.837</v>
      </c>
      <c r="C6219" s="12">
        <v>0</v>
      </c>
      <c r="D6219" s="13">
        <v>0</v>
      </c>
      <c r="E6219" s="12">
        <v>0</v>
      </c>
      <c r="F6219" s="14">
        <v>0</v>
      </c>
      <c r="G6219" s="13">
        <v>127673.6565</v>
      </c>
      <c r="H6219" s="14">
        <v>163273795.857491</v>
      </c>
      <c r="I6219" s="14" t="e">
        <f>=Round(1717.49760000,0)</f>
        <v>#VALUE!</v>
      </c>
      <c r="J6219" s="14" t="e">
        <f>=Round(0.00000000,0)</f>
        <v>#VALUE!</v>
      </c>
    </row>
    <row r="6220">
      <c r="A6220" s="11" t="s">
        <v>36</v>
      </c>
      <c r="B6220" s="12">
        <v>1278.837</v>
      </c>
      <c r="C6220" s="12">
        <v>0</v>
      </c>
      <c r="D6220" s="13">
        <v>0</v>
      </c>
      <c r="E6220" s="12">
        <v>0</v>
      </c>
      <c r="F6220" s="14">
        <v>0</v>
      </c>
      <c r="G6220" s="13">
        <v>127673.6565</v>
      </c>
      <c r="H6220" s="14">
        <v>163273795.857491</v>
      </c>
      <c r="I6220" s="14" t="e">
        <f>=Round(1717.49760000,0)</f>
        <v>#VALUE!</v>
      </c>
      <c r="J6220" s="14" t="e">
        <f>=Round(0.00000000,0)</f>
        <v>#VALUE!</v>
      </c>
    </row>
    <row r="6221">
      <c r="A6221" s="11" t="s">
        <v>37</v>
      </c>
      <c r="B6221" s="12">
        <v>1279.4503</v>
      </c>
      <c r="C6221" s="12">
        <v>0</v>
      </c>
      <c r="D6221" s="13">
        <v>0</v>
      </c>
      <c r="E6221" s="12">
        <v>0</v>
      </c>
      <c r="F6221" s="14">
        <v>0</v>
      </c>
      <c r="G6221" s="13">
        <v>127673.6565</v>
      </c>
      <c r="H6221" s="14">
        <v>163352098.111022</v>
      </c>
      <c r="I6221" s="14" t="e">
        <f>=Round(1717.49760000,0)</f>
        <v>#VALUE!</v>
      </c>
      <c r="J6221" s="14" t="e">
        <f>=Round(0.00000000,0)</f>
        <v>#VALUE!</v>
      </c>
    </row>
    <row r="6222">
      <c r="A6222" s="11" t="s">
        <v>38</v>
      </c>
      <c r="B6222" s="12">
        <v>1279.6545</v>
      </c>
      <c r="C6222" s="12">
        <v>0</v>
      </c>
      <c r="D6222" s="13">
        <v>0</v>
      </c>
      <c r="E6222" s="12">
        <v>0</v>
      </c>
      <c r="F6222" s="14">
        <v>0</v>
      </c>
      <c r="G6222" s="13">
        <v>127673.6565</v>
      </c>
      <c r="H6222" s="14">
        <v>163378169.071679</v>
      </c>
      <c r="I6222" s="14" t="e">
        <f>=Round(1718.32130000,0)</f>
        <v>#VALUE!</v>
      </c>
      <c r="J6222" s="14" t="e">
        <f>=Round(0.00000000,0)</f>
        <v>#VALUE!</v>
      </c>
    </row>
    <row r="6223">
      <c r="A6223" s="11" t="s">
        <v>39</v>
      </c>
      <c r="B6223" s="12">
        <v>1279.8598</v>
      </c>
      <c r="C6223" s="12">
        <v>0</v>
      </c>
      <c r="D6223" s="13">
        <v>0</v>
      </c>
      <c r="E6223" s="12">
        <v>0</v>
      </c>
      <c r="F6223" s="14">
        <v>0</v>
      </c>
      <c r="G6223" s="13">
        <v>127673.6565</v>
      </c>
      <c r="H6223" s="14">
        <v>163404380.473359</v>
      </c>
      <c r="I6223" s="14" t="e">
        <f>=Round(1718.59550000,0)</f>
        <v>#VALUE!</v>
      </c>
      <c r="J6223" s="14" t="e">
        <f>=Round(0.00000000,0)</f>
        <v>#VALUE!</v>
      </c>
    </row>
    <row r="6224">
      <c r="A6224" s="11" t="s">
        <v>40</v>
      </c>
      <c r="B6224" s="12">
        <v>1280.0644</v>
      </c>
      <c r="C6224" s="12">
        <v>0</v>
      </c>
      <c r="D6224" s="13">
        <v>0</v>
      </c>
      <c r="E6224" s="12">
        <v>0</v>
      </c>
      <c r="F6224" s="14">
        <v>0</v>
      </c>
      <c r="G6224" s="13">
        <v>127673.6565</v>
      </c>
      <c r="H6224" s="14">
        <v>163430502.503479</v>
      </c>
      <c r="I6224" s="14" t="e">
        <f>=Round(1718.87120000,0)</f>
        <v>#VALUE!</v>
      </c>
      <c r="J6224" s="14" t="e">
        <f>=Round(0.00000000,0)</f>
        <v>#VALUE!</v>
      </c>
    </row>
    <row r="6225">
      <c r="A6225" s="11" t="s">
        <v>41</v>
      </c>
      <c r="B6225" s="12">
        <v>1280.2685</v>
      </c>
      <c r="C6225" s="12">
        <v>0</v>
      </c>
      <c r="D6225" s="13">
        <v>0</v>
      </c>
      <c r="E6225" s="12">
        <v>0</v>
      </c>
      <c r="F6225" s="14">
        <v>0</v>
      </c>
      <c r="G6225" s="13">
        <v>127673.6565</v>
      </c>
      <c r="H6225" s="14">
        <v>163456560.69677</v>
      </c>
      <c r="I6225" s="14" t="e">
        <f>=Round(1719.14600000,0)</f>
        <v>#VALUE!</v>
      </c>
      <c r="J6225" s="14" t="e">
        <f>=Round(0.00000000,0)</f>
        <v>#VALUE!</v>
      </c>
    </row>
    <row r="6226">
      <c r="A6226" s="11" t="s">
        <v>42</v>
      </c>
      <c r="B6226" s="12">
        <v>1280.2685</v>
      </c>
      <c r="C6226" s="12">
        <v>0</v>
      </c>
      <c r="D6226" s="13">
        <v>0</v>
      </c>
      <c r="E6226" s="12">
        <v>0</v>
      </c>
      <c r="F6226" s="14">
        <v>0</v>
      </c>
      <c r="G6226" s="13">
        <v>127673.6565</v>
      </c>
      <c r="H6226" s="14">
        <v>163456560.69677</v>
      </c>
      <c r="I6226" s="14" t="e">
        <f>=Round(1719.42010000,0)</f>
        <v>#VALUE!</v>
      </c>
      <c r="J6226" s="14" t="e">
        <f>=Round(0.00000000,0)</f>
        <v>#VALUE!</v>
      </c>
    </row>
    <row r="6227">
      <c r="A6227" s="11" t="s">
        <v>43</v>
      </c>
      <c r="B6227" s="12">
        <v>1280.2685</v>
      </c>
      <c r="C6227" s="12">
        <v>0</v>
      </c>
      <c r="D6227" s="13">
        <v>0</v>
      </c>
      <c r="E6227" s="12">
        <v>0</v>
      </c>
      <c r="F6227" s="14">
        <v>0</v>
      </c>
      <c r="G6227" s="13">
        <v>127673.6565</v>
      </c>
      <c r="H6227" s="14">
        <v>163456560.69677</v>
      </c>
      <c r="I6227" s="14" t="e">
        <f>=Round(1719.42010000,0)</f>
        <v>#VALUE!</v>
      </c>
      <c r="J6227" s="14" t="e">
        <f>=Round(0.00000000,0)</f>
        <v>#VALUE!</v>
      </c>
    </row>
    <row r="6228">
      <c r="A6228" s="11" t="s">
        <v>44</v>
      </c>
      <c r="B6228" s="12">
        <v>1280.8839</v>
      </c>
      <c r="C6228" s="12">
        <v>0</v>
      </c>
      <c r="D6228" s="13">
        <v>0</v>
      </c>
      <c r="E6228" s="12">
        <v>0</v>
      </c>
      <c r="F6228" s="14">
        <v>0</v>
      </c>
      <c r="G6228" s="13">
        <v>127673.6565</v>
      </c>
      <c r="H6228" s="14">
        <v>163535131.06498</v>
      </c>
      <c r="I6228" s="14" t="e">
        <f>=Round(1719.42010000,0)</f>
        <v>#VALUE!</v>
      </c>
      <c r="J6228" s="14" t="e">
        <f>=Round(0.00000000,0)</f>
        <v>#VALUE!</v>
      </c>
    </row>
    <row r="6229">
      <c r="A6229" s="11" t="s">
        <v>45</v>
      </c>
      <c r="B6229" s="12">
        <v>1281.0899</v>
      </c>
      <c r="C6229" s="12">
        <v>0</v>
      </c>
      <c r="D6229" s="13">
        <v>0</v>
      </c>
      <c r="E6229" s="12">
        <v>0</v>
      </c>
      <c r="F6229" s="14">
        <v>0</v>
      </c>
      <c r="G6229" s="13">
        <v>127673.6565</v>
      </c>
      <c r="H6229" s="14">
        <v>163561431.838219</v>
      </c>
      <c r="I6229" s="14" t="e">
        <f>=Round(1720.24660000,0)</f>
        <v>#VALUE!</v>
      </c>
      <c r="J6229" s="14" t="e">
        <f>=Round(0.00000000,0)</f>
        <v>#VALUE!</v>
      </c>
    </row>
    <row r="6230">
      <c r="A6230" s="11" t="s">
        <v>46</v>
      </c>
      <c r="B6230" s="12">
        <v>1281.2941</v>
      </c>
      <c r="C6230" s="12">
        <v>0</v>
      </c>
      <c r="D6230" s="13">
        <v>0</v>
      </c>
      <c r="E6230" s="12">
        <v>0</v>
      </c>
      <c r="F6230" s="14">
        <v>0</v>
      </c>
      <c r="G6230" s="13">
        <v>127673.6565</v>
      </c>
      <c r="H6230" s="14">
        <v>163587502.798877</v>
      </c>
      <c r="I6230" s="14" t="e">
        <f>=Round(1720.52330000,0)</f>
        <v>#VALUE!</v>
      </c>
      <c r="J6230" s="14" t="e">
        <f>=Round(0.00000000,0)</f>
        <v>#VALUE!</v>
      </c>
    </row>
    <row r="6231">
      <c r="A6231" s="11" t="s">
        <v>47</v>
      </c>
      <c r="B6231" s="12">
        <v>1281.4992</v>
      </c>
      <c r="C6231" s="12">
        <v>0</v>
      </c>
      <c r="D6231" s="13">
        <v>0</v>
      </c>
      <c r="E6231" s="12">
        <v>0</v>
      </c>
      <c r="F6231" s="14">
        <v>0</v>
      </c>
      <c r="G6231" s="13">
        <v>127673.6565</v>
      </c>
      <c r="H6231" s="14">
        <v>163613688.665825</v>
      </c>
      <c r="I6231" s="14" t="e">
        <f>=Round(1720.79750000,0)</f>
        <v>#VALUE!</v>
      </c>
      <c r="J6231" s="14" t="e">
        <f>=Round(0.00000000,0)</f>
        <v>#VALUE!</v>
      </c>
    </row>
    <row r="6232">
      <c r="A6232" s="11" t="s">
        <v>48</v>
      </c>
      <c r="B6232" s="12">
        <v>1281.706</v>
      </c>
      <c r="C6232" s="12">
        <v>0</v>
      </c>
      <c r="D6232" s="13">
        <v>0</v>
      </c>
      <c r="E6232" s="12">
        <v>0</v>
      </c>
      <c r="F6232" s="14">
        <v>0</v>
      </c>
      <c r="G6232" s="13">
        <v>127673.6565</v>
      </c>
      <c r="H6232" s="14">
        <v>163640091.577989</v>
      </c>
      <c r="I6232" s="14" t="e">
        <f>=Round(1721.07300000,0)</f>
        <v>#VALUE!</v>
      </c>
      <c r="J6232" s="14" t="e">
        <f>=Round(0.00000000,0)</f>
        <v>#VALUE!</v>
      </c>
    </row>
    <row r="6233">
      <c r="A6233" s="11" t="s">
        <v>49</v>
      </c>
      <c r="B6233" s="12">
        <v>1281.706</v>
      </c>
      <c r="C6233" s="12">
        <v>0</v>
      </c>
      <c r="D6233" s="13">
        <v>0</v>
      </c>
      <c r="E6233" s="12">
        <v>0</v>
      </c>
      <c r="F6233" s="14">
        <v>0</v>
      </c>
      <c r="G6233" s="13">
        <v>127673.6565</v>
      </c>
      <c r="H6233" s="14">
        <v>163640091.577989</v>
      </c>
      <c r="I6233" s="14" t="e">
        <f>=Round(1721.35070000,0)</f>
        <v>#VALUE!</v>
      </c>
      <c r="J6233" s="14" t="e">
        <f>=Round(0.00000000,0)</f>
        <v>#VALUE!</v>
      </c>
    </row>
    <row r="6234">
      <c r="A6234" s="11" t="s">
        <v>50</v>
      </c>
      <c r="B6234" s="12">
        <v>1281.706</v>
      </c>
      <c r="C6234" s="12">
        <v>0</v>
      </c>
      <c r="D6234" s="13">
        <v>0</v>
      </c>
      <c r="E6234" s="12">
        <v>0</v>
      </c>
      <c r="F6234" s="14">
        <v>0</v>
      </c>
      <c r="G6234" s="13">
        <v>127673.6565</v>
      </c>
      <c r="H6234" s="14">
        <v>163640091.577989</v>
      </c>
      <c r="I6234" s="14" t="e">
        <f>=Round(1721.35070000,0)</f>
        <v>#VALUE!</v>
      </c>
      <c r="J6234" s="14" t="e">
        <f>=Round(0.00000000,0)</f>
        <v>#VALUE!</v>
      </c>
    </row>
    <row r="6235">
      <c r="A6235" s="11" t="s">
        <v>51</v>
      </c>
      <c r="B6235" s="12">
        <v>1282.3206</v>
      </c>
      <c r="C6235" s="12">
        <v>0</v>
      </c>
      <c r="D6235" s="13">
        <v>0</v>
      </c>
      <c r="E6235" s="12">
        <v>0</v>
      </c>
      <c r="F6235" s="14">
        <v>0</v>
      </c>
      <c r="G6235" s="13">
        <v>127673.6565</v>
      </c>
      <c r="H6235" s="14">
        <v>163718559.807274</v>
      </c>
      <c r="I6235" s="14" t="e">
        <f>=Round(1721.35070000,0)</f>
        <v>#VALUE!</v>
      </c>
      <c r="J6235" s="14" t="e">
        <f>=Round(0.00000000,0)</f>
        <v>#VALUE!</v>
      </c>
    </row>
    <row r="6236">
      <c r="A6236" s="11" t="s">
        <v>52</v>
      </c>
      <c r="B6236" s="12">
        <v>1282.524</v>
      </c>
      <c r="C6236" s="12">
        <v>0</v>
      </c>
      <c r="D6236" s="13">
        <v>0</v>
      </c>
      <c r="E6236" s="12">
        <v>0</v>
      </c>
      <c r="F6236" s="14">
        <v>0</v>
      </c>
      <c r="G6236" s="13">
        <v>127673.6565</v>
      </c>
      <c r="H6236" s="14">
        <v>163744528.629006</v>
      </c>
      <c r="I6236" s="14" t="e">
        <f>=Round(1722.17610000,0)</f>
        <v>#VALUE!</v>
      </c>
      <c r="J6236" s="14" t="e">
        <f>=Round(0.00000000,0)</f>
        <v>#VALUE!</v>
      </c>
    </row>
    <row r="6237">
      <c r="A6237" s="11" t="s">
        <v>53</v>
      </c>
      <c r="B6237" s="12">
        <v>1282.7292</v>
      </c>
      <c r="C6237" s="12">
        <v>0</v>
      </c>
      <c r="D6237" s="13">
        <v>0</v>
      </c>
      <c r="E6237" s="12">
        <v>0</v>
      </c>
      <c r="F6237" s="14">
        <v>0</v>
      </c>
      <c r="G6237" s="13">
        <v>127673.6565</v>
      </c>
      <c r="H6237" s="14">
        <v>163770727.26332</v>
      </c>
      <c r="I6237" s="14" t="e">
        <f>=Round(1722.44930000,0)</f>
        <v>#VALUE!</v>
      </c>
      <c r="J6237" s="14" t="e">
        <f>=Round(0.00000000,0)</f>
        <v>#VALUE!</v>
      </c>
    </row>
    <row r="6238">
      <c r="A6238" s="11" t="s">
        <v>54</v>
      </c>
      <c r="B6238" s="12">
        <v>1282.9343</v>
      </c>
      <c r="C6238" s="12">
        <v>0</v>
      </c>
      <c r="D6238" s="13">
        <v>0</v>
      </c>
      <c r="E6238" s="12">
        <v>0</v>
      </c>
      <c r="F6238" s="14">
        <v>0</v>
      </c>
      <c r="G6238" s="13">
        <v>127673.6565</v>
      </c>
      <c r="H6238" s="14">
        <v>163796913.130268</v>
      </c>
      <c r="I6238" s="14" t="e">
        <f>=Round(1722.72490000,0)</f>
        <v>#VALUE!</v>
      </c>
      <c r="J6238" s="14" t="e">
        <f>=Round(0.00000000,0)</f>
        <v>#VALUE!</v>
      </c>
    </row>
    <row r="6239">
      <c r="A6239" s="11" t="s">
        <v>55</v>
      </c>
      <c r="B6239" s="12">
        <v>1283.1158</v>
      </c>
      <c r="C6239" s="12">
        <v>0</v>
      </c>
      <c r="D6239" s="13">
        <v>0</v>
      </c>
      <c r="E6239" s="12">
        <v>0</v>
      </c>
      <c r="F6239" s="14">
        <v>0</v>
      </c>
      <c r="G6239" s="13">
        <v>127673.6565</v>
      </c>
      <c r="H6239" s="14">
        <v>163820085.898923</v>
      </c>
      <c r="I6239" s="14" t="e">
        <f>=Round(1723.00030000,0)</f>
        <v>#VALUE!</v>
      </c>
      <c r="J6239" s="14" t="e">
        <f>=Round(0.00000000,0)</f>
        <v>#VALUE!</v>
      </c>
    </row>
    <row r="6240" ht="-1">
      <c r="A6240" s="15"/>
      <c r="B6240" s="16" t="s">
        <v>56</v>
      </c>
      <c r="C6240" s="15"/>
      <c r="D6240" s="15"/>
      <c r="E6240" s="15"/>
      <c r="F6240" s="15"/>
      <c r="G6240" s="15"/>
      <c r="H6240" s="15"/>
      <c r="I6240" s="17" t="e">
        <f>=Round(SUM(I6214:I6239),0)</f>
        <v>#VALUE!</v>
      </c>
      <c r="J6240" s="17" t="e">
        <f>=Round(SUM(J6214:J6239),0)</f>
        <v>#VALUE!</v>
      </c>
    </row>
    <row r="6241">
      <c r="A6241" s="1" t="s">
        <v>0</v>
      </c>
      <c r="B6241" s="1"/>
      <c r="C6241" s="1"/>
      <c r="D6241" s="1"/>
    </row>
    <row r="6242">
      <c r="A6242" s="0" t="s">
        <v>1</v>
      </c>
      <c r="C6242" s="0" t="s">
        <v>234</v>
      </c>
      <c r="H6242" s="2" t="s">
        <v>3</v>
      </c>
    </row>
    <row r="6243">
      <c r="A6243" s="0" t="s">
        <v>4</v>
      </c>
      <c r="C6243" s="0" t="s">
        <v>236</v>
      </c>
      <c r="H6243" s="3" t="s">
        <v>6</v>
      </c>
    </row>
    <row r="6244">
      <c r="A6244" s="0" t="s">
        <v>7</v>
      </c>
      <c r="C6244" s="4" t="s">
        <v>205</v>
      </c>
      <c r="H6244" s="2" t="s">
        <v>9</v>
      </c>
    </row>
    <row r="6245">
      <c r="A6245" s="0" t="s">
        <v>10</v>
      </c>
      <c r="C6245" s="4" t="s">
        <v>11</v>
      </c>
      <c r="H6245" s="2" t="s">
        <v>12</v>
      </c>
    </row>
    <row r="6246">
      <c r="A6246" s="0" t="s">
        <v>13</v>
      </c>
      <c r="C6246" s="0" t="s">
        <v>14</v>
      </c>
    </row>
    <row r="6247">
      <c r="A6247" s="0" t="s">
        <v>15</v>
      </c>
      <c r="C6247" s="0" t="s">
        <v>16</v>
      </c>
    </row>
    <row r="6248">
      <c r="A6248" s="0" t="s">
        <v>17</v>
      </c>
      <c r="C6248" s="0" t="s">
        <v>18</v>
      </c>
    </row>
    <row r="6251">
      <c r="A6251" s="5" t="s">
        <v>19</v>
      </c>
      <c r="B6251" s="5" t="s">
        <v>20</v>
      </c>
      <c r="C6251" s="7" t="s">
        <v>21</v>
      </c>
      <c r="D6251" s="9"/>
      <c r="E6251" s="7" t="s">
        <v>22</v>
      </c>
      <c r="F6251" s="9"/>
      <c r="G6251" s="5" t="s">
        <v>23</v>
      </c>
      <c r="H6251" s="5" t="s">
        <v>24</v>
      </c>
      <c r="I6251" s="5" t="s">
        <v>206</v>
      </c>
      <c r="J6251" s="5" t="s">
        <v>26</v>
      </c>
    </row>
    <row r="6252">
      <c r="A6252" s="6"/>
      <c r="B6252" s="6"/>
      <c r="C6252" s="8" t="s">
        <v>27</v>
      </c>
      <c r="D6252" s="8" t="s">
        <v>28</v>
      </c>
      <c r="E6252" s="8" t="s">
        <v>27</v>
      </c>
      <c r="F6252" s="8" t="s">
        <v>28</v>
      </c>
      <c r="G6252" s="6"/>
      <c r="H6252" s="6"/>
      <c r="I6252" s="10" t="s">
        <v>29</v>
      </c>
      <c r="J6252" s="6"/>
    </row>
    <row r="6253">
      <c r="A6253" s="11" t="s">
        <v>30</v>
      </c>
      <c r="B6253" s="12">
        <v>1278.0261</v>
      </c>
      <c r="C6253" s="12">
        <v>0</v>
      </c>
      <c r="D6253" s="13">
        <v>0</v>
      </c>
      <c r="E6253" s="12">
        <v>0</v>
      </c>
      <c r="F6253" s="14">
        <v>0</v>
      </c>
      <c r="G6253" s="13">
        <v>31313.2503</v>
      </c>
      <c r="H6253" s="14">
        <v>40019151.159233</v>
      </c>
      <c r="I6253" s="14" t="e">
        <f>=Round(0.00000000,0)</f>
        <v>#VALUE!</v>
      </c>
      <c r="J6253" s="14" t="e">
        <f>=Round(0.00000000,0)</f>
        <v>#VALUE!</v>
      </c>
    </row>
    <row r="6254">
      <c r="A6254" s="11" t="s">
        <v>31</v>
      </c>
      <c r="B6254" s="12">
        <v>1278.2299</v>
      </c>
      <c r="C6254" s="12">
        <v>0</v>
      </c>
      <c r="D6254" s="13">
        <v>0</v>
      </c>
      <c r="E6254" s="12">
        <v>0</v>
      </c>
      <c r="F6254" s="14">
        <v>0</v>
      </c>
      <c r="G6254" s="13">
        <v>0</v>
      </c>
      <c r="H6254" s="14">
        <v>0</v>
      </c>
      <c r="I6254" s="14" t="e">
        <f>=Round(420.96650000,0)</f>
        <v>#VALUE!</v>
      </c>
      <c r="J6254" s="14" t="e">
        <f>=Round(0.00000000,0)</f>
        <v>#VALUE!</v>
      </c>
    </row>
    <row r="6255">
      <c r="A6255" s="11" t="s">
        <v>32</v>
      </c>
      <c r="B6255" s="12">
        <v>1278.4335</v>
      </c>
      <c r="C6255" s="12">
        <v>0</v>
      </c>
      <c r="D6255" s="13">
        <v>0</v>
      </c>
      <c r="E6255" s="12">
        <v>0</v>
      </c>
      <c r="F6255" s="14">
        <v>0</v>
      </c>
      <c r="G6255" s="13">
        <v>0</v>
      </c>
      <c r="H6255" s="14">
        <v>0</v>
      </c>
      <c r="I6255" s="14" t="e">
        <f>=Round(0.00000000,0)</f>
        <v>#VALUE!</v>
      </c>
      <c r="J6255" s="14" t="e">
        <f>=Round(0.00000000,0)</f>
        <v>#VALUE!</v>
      </c>
    </row>
    <row r="6256">
      <c r="A6256" s="11" t="s">
        <v>33</v>
      </c>
      <c r="B6256" s="12">
        <v>1278.6325</v>
      </c>
      <c r="C6256" s="12">
        <v>0</v>
      </c>
      <c r="D6256" s="13">
        <v>0</v>
      </c>
      <c r="E6256" s="12">
        <v>0</v>
      </c>
      <c r="F6256" s="14">
        <v>0</v>
      </c>
      <c r="G6256" s="13">
        <v>0</v>
      </c>
      <c r="H6256" s="14">
        <v>0</v>
      </c>
      <c r="I6256" s="14" t="e">
        <f>=Round(0.00000000,0)</f>
        <v>#VALUE!</v>
      </c>
      <c r="J6256" s="14" t="e">
        <f>=Round(0.00000000,0)</f>
        <v>#VALUE!</v>
      </c>
    </row>
    <row r="6257">
      <c r="A6257" s="11" t="s">
        <v>34</v>
      </c>
      <c r="B6257" s="12">
        <v>1278.837</v>
      </c>
      <c r="C6257" s="12">
        <v>0</v>
      </c>
      <c r="D6257" s="13">
        <v>0</v>
      </c>
      <c r="E6257" s="12">
        <v>0</v>
      </c>
      <c r="F6257" s="14">
        <v>0</v>
      </c>
      <c r="G6257" s="13">
        <v>0</v>
      </c>
      <c r="H6257" s="14">
        <v>0</v>
      </c>
      <c r="I6257" s="14" t="e">
        <f>=Round(0.00000000,0)</f>
        <v>#VALUE!</v>
      </c>
      <c r="J6257" s="14" t="e">
        <f>=Round(0.00000000,0)</f>
        <v>#VALUE!</v>
      </c>
    </row>
    <row r="6258">
      <c r="A6258" s="11" t="s">
        <v>35</v>
      </c>
      <c r="B6258" s="12">
        <v>1278.837</v>
      </c>
      <c r="C6258" s="12">
        <v>0</v>
      </c>
      <c r="D6258" s="13">
        <v>0</v>
      </c>
      <c r="E6258" s="12">
        <v>0</v>
      </c>
      <c r="F6258" s="14">
        <v>0</v>
      </c>
      <c r="G6258" s="13">
        <v>0</v>
      </c>
      <c r="H6258" s="14">
        <v>0</v>
      </c>
      <c r="I6258" s="14" t="e">
        <f>=Round(0.00000000,0)</f>
        <v>#VALUE!</v>
      </c>
      <c r="J6258" s="14" t="e">
        <f>=Round(0.00000000,0)</f>
        <v>#VALUE!</v>
      </c>
    </row>
    <row r="6259">
      <c r="A6259" s="11" t="s">
        <v>36</v>
      </c>
      <c r="B6259" s="12">
        <v>1278.837</v>
      </c>
      <c r="C6259" s="12">
        <v>0</v>
      </c>
      <c r="D6259" s="13">
        <v>0</v>
      </c>
      <c r="E6259" s="12">
        <v>0</v>
      </c>
      <c r="F6259" s="14">
        <v>0</v>
      </c>
      <c r="G6259" s="13">
        <v>0</v>
      </c>
      <c r="H6259" s="14">
        <v>0</v>
      </c>
      <c r="I6259" s="14" t="e">
        <f>=Round(0.00000000,0)</f>
        <v>#VALUE!</v>
      </c>
      <c r="J6259" s="14" t="e">
        <f>=Round(0.00000000,0)</f>
        <v>#VALUE!</v>
      </c>
    </row>
    <row r="6260">
      <c r="A6260" s="11" t="s">
        <v>37</v>
      </c>
      <c r="B6260" s="12">
        <v>1279.4503</v>
      </c>
      <c r="C6260" s="12">
        <v>0</v>
      </c>
      <c r="D6260" s="13">
        <v>0</v>
      </c>
      <c r="E6260" s="12">
        <v>0</v>
      </c>
      <c r="F6260" s="14">
        <v>0</v>
      </c>
      <c r="G6260" s="13">
        <v>0</v>
      </c>
      <c r="H6260" s="14">
        <v>0</v>
      </c>
      <c r="I6260" s="14" t="e">
        <f>=Round(0.00000000,0)</f>
        <v>#VALUE!</v>
      </c>
      <c r="J6260" s="14" t="e">
        <f>=Round(0.00000000,0)</f>
        <v>#VALUE!</v>
      </c>
    </row>
    <row r="6261">
      <c r="A6261" s="11" t="s">
        <v>38</v>
      </c>
      <c r="B6261" s="12">
        <v>1279.6545</v>
      </c>
      <c r="C6261" s="12">
        <v>0</v>
      </c>
      <c r="D6261" s="13">
        <v>0</v>
      </c>
      <c r="E6261" s="12">
        <v>0</v>
      </c>
      <c r="F6261" s="14">
        <v>0</v>
      </c>
      <c r="G6261" s="13">
        <v>0</v>
      </c>
      <c r="H6261" s="14">
        <v>0</v>
      </c>
      <c r="I6261" s="14" t="e">
        <f>=Round(0.00000000,0)</f>
        <v>#VALUE!</v>
      </c>
      <c r="J6261" s="14" t="e">
        <f>=Round(0.00000000,0)</f>
        <v>#VALUE!</v>
      </c>
    </row>
    <row r="6262">
      <c r="A6262" s="11" t="s">
        <v>39</v>
      </c>
      <c r="B6262" s="12">
        <v>1279.8598</v>
      </c>
      <c r="C6262" s="12">
        <v>0</v>
      </c>
      <c r="D6262" s="13">
        <v>0</v>
      </c>
      <c r="E6262" s="12">
        <v>0</v>
      </c>
      <c r="F6262" s="14">
        <v>0</v>
      </c>
      <c r="G6262" s="13">
        <v>0</v>
      </c>
      <c r="H6262" s="14">
        <v>0</v>
      </c>
      <c r="I6262" s="14" t="e">
        <f>=Round(0.00000000,0)</f>
        <v>#VALUE!</v>
      </c>
      <c r="J6262" s="14" t="e">
        <f>=Round(0.00000000,0)</f>
        <v>#VALUE!</v>
      </c>
    </row>
    <row r="6263">
      <c r="A6263" s="11" t="s">
        <v>40</v>
      </c>
      <c r="B6263" s="12">
        <v>1280.0644</v>
      </c>
      <c r="C6263" s="12">
        <v>0</v>
      </c>
      <c r="D6263" s="13">
        <v>0</v>
      </c>
      <c r="E6263" s="12">
        <v>0</v>
      </c>
      <c r="F6263" s="14">
        <v>0</v>
      </c>
      <c r="G6263" s="13">
        <v>0</v>
      </c>
      <c r="H6263" s="14">
        <v>0</v>
      </c>
      <c r="I6263" s="14" t="e">
        <f>=Round(0.00000000,0)</f>
        <v>#VALUE!</v>
      </c>
      <c r="J6263" s="14" t="e">
        <f>=Round(0.00000000,0)</f>
        <v>#VALUE!</v>
      </c>
    </row>
    <row r="6264">
      <c r="A6264" s="11" t="s">
        <v>41</v>
      </c>
      <c r="B6264" s="12">
        <v>1280.2685</v>
      </c>
      <c r="C6264" s="12">
        <v>0</v>
      </c>
      <c r="D6264" s="13">
        <v>0</v>
      </c>
      <c r="E6264" s="12">
        <v>0</v>
      </c>
      <c r="F6264" s="14">
        <v>0</v>
      </c>
      <c r="G6264" s="13">
        <v>0</v>
      </c>
      <c r="H6264" s="14">
        <v>0</v>
      </c>
      <c r="I6264" s="14" t="e">
        <f>=Round(0.00000000,0)</f>
        <v>#VALUE!</v>
      </c>
      <c r="J6264" s="14" t="e">
        <f>=Round(0.00000000,0)</f>
        <v>#VALUE!</v>
      </c>
    </row>
    <row r="6265">
      <c r="A6265" s="11" t="s">
        <v>42</v>
      </c>
      <c r="B6265" s="12">
        <v>1280.2685</v>
      </c>
      <c r="C6265" s="12">
        <v>0</v>
      </c>
      <c r="D6265" s="13">
        <v>0</v>
      </c>
      <c r="E6265" s="12">
        <v>0</v>
      </c>
      <c r="F6265" s="14">
        <v>0</v>
      </c>
      <c r="G6265" s="13">
        <v>0</v>
      </c>
      <c r="H6265" s="14">
        <v>0</v>
      </c>
      <c r="I6265" s="14" t="e">
        <f>=Round(0.00000000,0)</f>
        <v>#VALUE!</v>
      </c>
      <c r="J6265" s="14" t="e">
        <f>=Round(0.00000000,0)</f>
        <v>#VALUE!</v>
      </c>
    </row>
    <row r="6266">
      <c r="A6266" s="11" t="s">
        <v>43</v>
      </c>
      <c r="B6266" s="12">
        <v>1280.2685</v>
      </c>
      <c r="C6266" s="12">
        <v>0</v>
      </c>
      <c r="D6266" s="13">
        <v>0</v>
      </c>
      <c r="E6266" s="12">
        <v>0</v>
      </c>
      <c r="F6266" s="14">
        <v>0</v>
      </c>
      <c r="G6266" s="13">
        <v>0</v>
      </c>
      <c r="H6266" s="14">
        <v>0</v>
      </c>
      <c r="I6266" s="14" t="e">
        <f>=Round(0.00000000,0)</f>
        <v>#VALUE!</v>
      </c>
      <c r="J6266" s="14" t="e">
        <f>=Round(0.00000000,0)</f>
        <v>#VALUE!</v>
      </c>
    </row>
    <row r="6267">
      <c r="A6267" s="11" t="s">
        <v>44</v>
      </c>
      <c r="B6267" s="12">
        <v>1280.8839</v>
      </c>
      <c r="C6267" s="12">
        <v>0</v>
      </c>
      <c r="D6267" s="13">
        <v>0</v>
      </c>
      <c r="E6267" s="12">
        <v>0</v>
      </c>
      <c r="F6267" s="14">
        <v>0</v>
      </c>
      <c r="G6267" s="13">
        <v>0</v>
      </c>
      <c r="H6267" s="14">
        <v>0</v>
      </c>
      <c r="I6267" s="14" t="e">
        <f>=Round(0.00000000,0)</f>
        <v>#VALUE!</v>
      </c>
      <c r="J6267" s="14" t="e">
        <f>=Round(0.00000000,0)</f>
        <v>#VALUE!</v>
      </c>
    </row>
    <row r="6268">
      <c r="A6268" s="11" t="s">
        <v>45</v>
      </c>
      <c r="B6268" s="12">
        <v>1281.0899</v>
      </c>
      <c r="C6268" s="12">
        <v>0</v>
      </c>
      <c r="D6268" s="13">
        <v>0</v>
      </c>
      <c r="E6268" s="12">
        <v>0</v>
      </c>
      <c r="F6268" s="14">
        <v>0</v>
      </c>
      <c r="G6268" s="13">
        <v>0</v>
      </c>
      <c r="H6268" s="14">
        <v>0</v>
      </c>
      <c r="I6268" s="14" t="e">
        <f>=Round(0.00000000,0)</f>
        <v>#VALUE!</v>
      </c>
      <c r="J6268" s="14" t="e">
        <f>=Round(0.00000000,0)</f>
        <v>#VALUE!</v>
      </c>
    </row>
    <row r="6269">
      <c r="A6269" s="11" t="s">
        <v>46</v>
      </c>
      <c r="B6269" s="12">
        <v>1281.2941</v>
      </c>
      <c r="C6269" s="12">
        <v>0</v>
      </c>
      <c r="D6269" s="13">
        <v>0</v>
      </c>
      <c r="E6269" s="12">
        <v>0</v>
      </c>
      <c r="F6269" s="14">
        <v>0</v>
      </c>
      <c r="G6269" s="13">
        <v>0</v>
      </c>
      <c r="H6269" s="14">
        <v>0</v>
      </c>
      <c r="I6269" s="14" t="e">
        <f>=Round(0.00000000,0)</f>
        <v>#VALUE!</v>
      </c>
      <c r="J6269" s="14" t="e">
        <f>=Round(0.00000000,0)</f>
        <v>#VALUE!</v>
      </c>
    </row>
    <row r="6270">
      <c r="A6270" s="11" t="s">
        <v>47</v>
      </c>
      <c r="B6270" s="12">
        <v>1281.4992</v>
      </c>
      <c r="C6270" s="12">
        <v>0</v>
      </c>
      <c r="D6270" s="13">
        <v>0</v>
      </c>
      <c r="E6270" s="12">
        <v>0</v>
      </c>
      <c r="F6270" s="14">
        <v>0</v>
      </c>
      <c r="G6270" s="13">
        <v>0</v>
      </c>
      <c r="H6270" s="14">
        <v>0</v>
      </c>
      <c r="I6270" s="14" t="e">
        <f>=Round(0.00000000,0)</f>
        <v>#VALUE!</v>
      </c>
      <c r="J6270" s="14" t="e">
        <f>=Round(0.00000000,0)</f>
        <v>#VALUE!</v>
      </c>
    </row>
    <row r="6271">
      <c r="A6271" s="11" t="s">
        <v>48</v>
      </c>
      <c r="B6271" s="12">
        <v>1281.706</v>
      </c>
      <c r="C6271" s="12">
        <v>0</v>
      </c>
      <c r="D6271" s="13">
        <v>0</v>
      </c>
      <c r="E6271" s="12">
        <v>0</v>
      </c>
      <c r="F6271" s="14">
        <v>0</v>
      </c>
      <c r="G6271" s="13">
        <v>0</v>
      </c>
      <c r="H6271" s="14">
        <v>0</v>
      </c>
      <c r="I6271" s="14" t="e">
        <f>=Round(0.00000000,0)</f>
        <v>#VALUE!</v>
      </c>
      <c r="J6271" s="14" t="e">
        <f>=Round(0.00000000,0)</f>
        <v>#VALUE!</v>
      </c>
    </row>
    <row r="6272">
      <c r="A6272" s="11" t="s">
        <v>49</v>
      </c>
      <c r="B6272" s="12">
        <v>1281.706</v>
      </c>
      <c r="C6272" s="12">
        <v>0</v>
      </c>
      <c r="D6272" s="13">
        <v>0</v>
      </c>
      <c r="E6272" s="12">
        <v>0</v>
      </c>
      <c r="F6272" s="14">
        <v>0</v>
      </c>
      <c r="G6272" s="13">
        <v>0</v>
      </c>
      <c r="H6272" s="14">
        <v>0</v>
      </c>
      <c r="I6272" s="14" t="e">
        <f>=Round(0.00000000,0)</f>
        <v>#VALUE!</v>
      </c>
      <c r="J6272" s="14" t="e">
        <f>=Round(0.00000000,0)</f>
        <v>#VALUE!</v>
      </c>
    </row>
    <row r="6273">
      <c r="A6273" s="11" t="s">
        <v>50</v>
      </c>
      <c r="B6273" s="12">
        <v>1281.706</v>
      </c>
      <c r="C6273" s="12">
        <v>0</v>
      </c>
      <c r="D6273" s="13">
        <v>0</v>
      </c>
      <c r="E6273" s="12">
        <v>0</v>
      </c>
      <c r="F6273" s="14">
        <v>0</v>
      </c>
      <c r="G6273" s="13">
        <v>0</v>
      </c>
      <c r="H6273" s="14">
        <v>0</v>
      </c>
      <c r="I6273" s="14" t="e">
        <f>=Round(0.00000000,0)</f>
        <v>#VALUE!</v>
      </c>
      <c r="J6273" s="14" t="e">
        <f>=Round(0.00000000,0)</f>
        <v>#VALUE!</v>
      </c>
    </row>
    <row r="6274">
      <c r="A6274" s="11" t="s">
        <v>51</v>
      </c>
      <c r="B6274" s="12">
        <v>1282.3206</v>
      </c>
      <c r="C6274" s="12">
        <v>0</v>
      </c>
      <c r="D6274" s="13">
        <v>0</v>
      </c>
      <c r="E6274" s="12">
        <v>0</v>
      </c>
      <c r="F6274" s="14">
        <v>0</v>
      </c>
      <c r="G6274" s="13">
        <v>0</v>
      </c>
      <c r="H6274" s="14">
        <v>0</v>
      </c>
      <c r="I6274" s="14" t="e">
        <f>=Round(0.00000000,0)</f>
        <v>#VALUE!</v>
      </c>
      <c r="J6274" s="14" t="e">
        <f>=Round(0.00000000,0)</f>
        <v>#VALUE!</v>
      </c>
    </row>
    <row r="6275">
      <c r="A6275" s="11" t="s">
        <v>52</v>
      </c>
      <c r="B6275" s="12">
        <v>1282.524</v>
      </c>
      <c r="C6275" s="12">
        <v>0</v>
      </c>
      <c r="D6275" s="13">
        <v>0</v>
      </c>
      <c r="E6275" s="12">
        <v>0</v>
      </c>
      <c r="F6275" s="14">
        <v>0</v>
      </c>
      <c r="G6275" s="13">
        <v>0</v>
      </c>
      <c r="H6275" s="14">
        <v>0</v>
      </c>
      <c r="I6275" s="14" t="e">
        <f>=Round(0.00000000,0)</f>
        <v>#VALUE!</v>
      </c>
      <c r="J6275" s="14" t="e">
        <f>=Round(0.00000000,0)</f>
        <v>#VALUE!</v>
      </c>
    </row>
    <row r="6276">
      <c r="A6276" s="11" t="s">
        <v>53</v>
      </c>
      <c r="B6276" s="12">
        <v>1282.7292</v>
      </c>
      <c r="C6276" s="12">
        <v>0</v>
      </c>
      <c r="D6276" s="13">
        <v>0</v>
      </c>
      <c r="E6276" s="12">
        <v>0</v>
      </c>
      <c r="F6276" s="14">
        <v>0</v>
      </c>
      <c r="G6276" s="13">
        <v>0</v>
      </c>
      <c r="H6276" s="14">
        <v>0</v>
      </c>
      <c r="I6276" s="14" t="e">
        <f>=Round(0.00000000,0)</f>
        <v>#VALUE!</v>
      </c>
      <c r="J6276" s="14" t="e">
        <f>=Round(0.00000000,0)</f>
        <v>#VALUE!</v>
      </c>
    </row>
    <row r="6277">
      <c r="A6277" s="11" t="s">
        <v>54</v>
      </c>
      <c r="B6277" s="12">
        <v>1282.9343</v>
      </c>
      <c r="C6277" s="12">
        <v>0</v>
      </c>
      <c r="D6277" s="13">
        <v>0</v>
      </c>
      <c r="E6277" s="12">
        <v>0</v>
      </c>
      <c r="F6277" s="14">
        <v>0</v>
      </c>
      <c r="G6277" s="13">
        <v>0</v>
      </c>
      <c r="H6277" s="14">
        <v>0</v>
      </c>
      <c r="I6277" s="14" t="e">
        <f>=Round(0.00000000,0)</f>
        <v>#VALUE!</v>
      </c>
      <c r="J6277" s="14" t="e">
        <f>=Round(0.00000000,0)</f>
        <v>#VALUE!</v>
      </c>
    </row>
    <row r="6278">
      <c r="A6278" s="11" t="s">
        <v>55</v>
      </c>
      <c r="B6278" s="12">
        <v>1283.1158</v>
      </c>
      <c r="C6278" s="12">
        <v>0</v>
      </c>
      <c r="D6278" s="13">
        <v>0</v>
      </c>
      <c r="E6278" s="12">
        <v>0</v>
      </c>
      <c r="F6278" s="14">
        <v>0</v>
      </c>
      <c r="G6278" s="13">
        <v>0</v>
      </c>
      <c r="H6278" s="14">
        <v>0</v>
      </c>
      <c r="I6278" s="14" t="e">
        <f>=Round(0.00000000,0)</f>
        <v>#VALUE!</v>
      </c>
      <c r="J6278" s="14" t="e">
        <f>=Round(0.00000000,0)</f>
        <v>#VALUE!</v>
      </c>
    </row>
    <row r="6279" ht="-1">
      <c r="A6279" s="15"/>
      <c r="B6279" s="16" t="s">
        <v>56</v>
      </c>
      <c r="C6279" s="15"/>
      <c r="D6279" s="15"/>
      <c r="E6279" s="15"/>
      <c r="F6279" s="15"/>
      <c r="G6279" s="15"/>
      <c r="H6279" s="15"/>
      <c r="I6279" s="17" t="e">
        <f>=Round(SUM(I6253:I6278),0)</f>
        <v>#VALUE!</v>
      </c>
      <c r="J6279" s="17" t="e">
        <f>=Round(SUM(J6253:J6278),0)</f>
        <v>#VALUE!</v>
      </c>
    </row>
    <row r="6280">
      <c r="A6280" s="1" t="s">
        <v>0</v>
      </c>
      <c r="B6280" s="1"/>
      <c r="C6280" s="1"/>
      <c r="D6280" s="1"/>
    </row>
    <row r="6281">
      <c r="A6281" s="0" t="s">
        <v>1</v>
      </c>
      <c r="C6281" s="0" t="s">
        <v>234</v>
      </c>
      <c r="H6281" s="2" t="s">
        <v>3</v>
      </c>
    </row>
    <row r="6282">
      <c r="A6282" s="0" t="s">
        <v>4</v>
      </c>
      <c r="C6282" s="0" t="s">
        <v>237</v>
      </c>
      <c r="H6282" s="3" t="s">
        <v>6</v>
      </c>
    </row>
    <row r="6283">
      <c r="A6283" s="0" t="s">
        <v>7</v>
      </c>
      <c r="C6283" s="4" t="s">
        <v>205</v>
      </c>
      <c r="H6283" s="2" t="s">
        <v>9</v>
      </c>
    </row>
    <row r="6284">
      <c r="A6284" s="0" t="s">
        <v>10</v>
      </c>
      <c r="C6284" s="4" t="s">
        <v>11</v>
      </c>
      <c r="H6284" s="2" t="s">
        <v>12</v>
      </c>
    </row>
    <row r="6285">
      <c r="A6285" s="0" t="s">
        <v>13</v>
      </c>
      <c r="C6285" s="0" t="s">
        <v>14</v>
      </c>
    </row>
    <row r="6286">
      <c r="A6286" s="0" t="s">
        <v>15</v>
      </c>
      <c r="C6286" s="0" t="s">
        <v>16</v>
      </c>
    </row>
    <row r="6287">
      <c r="A6287" s="0" t="s">
        <v>17</v>
      </c>
      <c r="C6287" s="0" t="s">
        <v>18</v>
      </c>
    </row>
    <row r="6290">
      <c r="A6290" s="5" t="s">
        <v>19</v>
      </c>
      <c r="B6290" s="5" t="s">
        <v>20</v>
      </c>
      <c r="C6290" s="7" t="s">
        <v>21</v>
      </c>
      <c r="D6290" s="9"/>
      <c r="E6290" s="7" t="s">
        <v>22</v>
      </c>
      <c r="F6290" s="9"/>
      <c r="G6290" s="5" t="s">
        <v>23</v>
      </c>
      <c r="H6290" s="5" t="s">
        <v>24</v>
      </c>
      <c r="I6290" s="5" t="s">
        <v>206</v>
      </c>
      <c r="J6290" s="5" t="s">
        <v>26</v>
      </c>
    </row>
    <row r="6291">
      <c r="A6291" s="6"/>
      <c r="B6291" s="6"/>
      <c r="C6291" s="8" t="s">
        <v>27</v>
      </c>
      <c r="D6291" s="8" t="s">
        <v>28</v>
      </c>
      <c r="E6291" s="8" t="s">
        <v>27</v>
      </c>
      <c r="F6291" s="8" t="s">
        <v>28</v>
      </c>
      <c r="G6291" s="6"/>
      <c r="H6291" s="6"/>
      <c r="I6291" s="10" t="s">
        <v>29</v>
      </c>
      <c r="J6291" s="6"/>
    </row>
    <row r="6292">
      <c r="A6292" s="11" t="s">
        <v>30</v>
      </c>
      <c r="B6292" s="12">
        <v>1278.0261</v>
      </c>
      <c r="C6292" s="12">
        <v>0</v>
      </c>
      <c r="D6292" s="13">
        <v>0</v>
      </c>
      <c r="E6292" s="12">
        <v>0</v>
      </c>
      <c r="F6292" s="14">
        <v>0</v>
      </c>
      <c r="G6292" s="13">
        <v>489449.4233</v>
      </c>
      <c r="H6292" s="14">
        <v>625529137.607348</v>
      </c>
      <c r="I6292" s="14" t="e">
        <f>=Round(6576.87070000,0)</f>
        <v>#VALUE!</v>
      </c>
      <c r="J6292" s="14" t="e">
        <f>=Round(0.00000000,0)</f>
        <v>#VALUE!</v>
      </c>
    </row>
    <row r="6293">
      <c r="A6293" s="11" t="s">
        <v>31</v>
      </c>
      <c r="B6293" s="12">
        <v>1278.2299</v>
      </c>
      <c r="C6293" s="12">
        <v>0</v>
      </c>
      <c r="D6293" s="13">
        <v>0</v>
      </c>
      <c r="E6293" s="12">
        <v>0</v>
      </c>
      <c r="F6293" s="14">
        <v>0</v>
      </c>
      <c r="G6293" s="13">
        <v>489449.4233</v>
      </c>
      <c r="H6293" s="14">
        <v>625628887.399817</v>
      </c>
      <c r="I6293" s="14" t="e">
        <f>=Round(6580.01960000,0)</f>
        <v>#VALUE!</v>
      </c>
      <c r="J6293" s="14" t="e">
        <f>=Round(0.00000000,0)</f>
        <v>#VALUE!</v>
      </c>
    </row>
    <row r="6294">
      <c r="A6294" s="11" t="s">
        <v>32</v>
      </c>
      <c r="B6294" s="12">
        <v>1278.4335</v>
      </c>
      <c r="C6294" s="12">
        <v>0</v>
      </c>
      <c r="D6294" s="13">
        <v>0</v>
      </c>
      <c r="E6294" s="12">
        <v>0</v>
      </c>
      <c r="F6294" s="14">
        <v>0</v>
      </c>
      <c r="G6294" s="13">
        <v>489449.4233</v>
      </c>
      <c r="H6294" s="14">
        <v>625728539.302401</v>
      </c>
      <c r="I6294" s="14" t="e">
        <f>=Round(6581.06890000,0)</f>
        <v>#VALUE!</v>
      </c>
      <c r="J6294" s="14" t="e">
        <f>=Round(0.00000000,0)</f>
        <v>#VALUE!</v>
      </c>
    </row>
    <row r="6295">
      <c r="A6295" s="11" t="s">
        <v>33</v>
      </c>
      <c r="B6295" s="12">
        <v>1278.6325</v>
      </c>
      <c r="C6295" s="12">
        <v>0</v>
      </c>
      <c r="D6295" s="13">
        <v>0</v>
      </c>
      <c r="E6295" s="12">
        <v>0</v>
      </c>
      <c r="F6295" s="14">
        <v>0</v>
      </c>
      <c r="G6295" s="13">
        <v>489449.4233</v>
      </c>
      <c r="H6295" s="14">
        <v>625825939.737637</v>
      </c>
      <c r="I6295" s="14" t="e">
        <f>=Round(6582.11710000,0)</f>
        <v>#VALUE!</v>
      </c>
      <c r="J6295" s="14" t="e">
        <f>=Round(0.00000000,0)</f>
        <v>#VALUE!</v>
      </c>
    </row>
    <row r="6296">
      <c r="A6296" s="11" t="s">
        <v>34</v>
      </c>
      <c r="B6296" s="12">
        <v>1278.837</v>
      </c>
      <c r="C6296" s="12">
        <v>0</v>
      </c>
      <c r="D6296" s="13">
        <v>0</v>
      </c>
      <c r="E6296" s="12">
        <v>0</v>
      </c>
      <c r="F6296" s="14">
        <v>0</v>
      </c>
      <c r="G6296" s="13">
        <v>489449.4233</v>
      </c>
      <c r="H6296" s="14">
        <v>625926032.144702</v>
      </c>
      <c r="I6296" s="14" t="e">
        <f>=Round(6583.14170000,0)</f>
        <v>#VALUE!</v>
      </c>
      <c r="J6296" s="14" t="e">
        <f>=Round(0.00000000,0)</f>
        <v>#VALUE!</v>
      </c>
    </row>
    <row r="6297">
      <c r="A6297" s="11" t="s">
        <v>35</v>
      </c>
      <c r="B6297" s="12">
        <v>1278.837</v>
      </c>
      <c r="C6297" s="12">
        <v>0</v>
      </c>
      <c r="D6297" s="13">
        <v>0</v>
      </c>
      <c r="E6297" s="12">
        <v>0</v>
      </c>
      <c r="F6297" s="14">
        <v>0</v>
      </c>
      <c r="G6297" s="13">
        <v>489449.4233</v>
      </c>
      <c r="H6297" s="14">
        <v>625926032.144702</v>
      </c>
      <c r="I6297" s="14" t="e">
        <f>=Round(6584.19460000,0)</f>
        <v>#VALUE!</v>
      </c>
      <c r="J6297" s="14" t="e">
        <f>=Round(0.00000000,0)</f>
        <v>#VALUE!</v>
      </c>
    </row>
    <row r="6298">
      <c r="A6298" s="11" t="s">
        <v>36</v>
      </c>
      <c r="B6298" s="12">
        <v>1278.837</v>
      </c>
      <c r="C6298" s="12">
        <v>0</v>
      </c>
      <c r="D6298" s="13">
        <v>0</v>
      </c>
      <c r="E6298" s="12">
        <v>0</v>
      </c>
      <c r="F6298" s="14">
        <v>0</v>
      </c>
      <c r="G6298" s="13">
        <v>489449.4233</v>
      </c>
      <c r="H6298" s="14">
        <v>625926032.144702</v>
      </c>
      <c r="I6298" s="14" t="e">
        <f>=Round(6584.19460000,0)</f>
        <v>#VALUE!</v>
      </c>
      <c r="J6298" s="14" t="e">
        <f>=Round(0.00000000,0)</f>
        <v>#VALUE!</v>
      </c>
    </row>
    <row r="6299">
      <c r="A6299" s="11" t="s">
        <v>37</v>
      </c>
      <c r="B6299" s="12">
        <v>1279.4503</v>
      </c>
      <c r="C6299" s="12">
        <v>0</v>
      </c>
      <c r="D6299" s="13">
        <v>0</v>
      </c>
      <c r="E6299" s="12">
        <v>0</v>
      </c>
      <c r="F6299" s="14">
        <v>0</v>
      </c>
      <c r="G6299" s="13">
        <v>489449.4233</v>
      </c>
      <c r="H6299" s="14">
        <v>626226211.476012</v>
      </c>
      <c r="I6299" s="14" t="e">
        <f>=Round(6584.19460000,0)</f>
        <v>#VALUE!</v>
      </c>
      <c r="J6299" s="14" t="e">
        <f>=Round(0.00000000,0)</f>
        <v>#VALUE!</v>
      </c>
    </row>
    <row r="6300">
      <c r="A6300" s="11" t="s">
        <v>38</v>
      </c>
      <c r="B6300" s="12">
        <v>1279.6545</v>
      </c>
      <c r="C6300" s="12">
        <v>0</v>
      </c>
      <c r="D6300" s="13">
        <v>0</v>
      </c>
      <c r="E6300" s="12">
        <v>0</v>
      </c>
      <c r="F6300" s="14">
        <v>0</v>
      </c>
      <c r="G6300" s="13">
        <v>489449.4233</v>
      </c>
      <c r="H6300" s="14">
        <v>626326157.04825</v>
      </c>
      <c r="I6300" s="14" t="e">
        <f>=Round(6587.35220000,0)</f>
        <v>#VALUE!</v>
      </c>
      <c r="J6300" s="14" t="e">
        <f>=Round(0.00000000,0)</f>
        <v>#VALUE!</v>
      </c>
    </row>
    <row r="6301">
      <c r="A6301" s="11" t="s">
        <v>39</v>
      </c>
      <c r="B6301" s="12">
        <v>1279.8598</v>
      </c>
      <c r="C6301" s="12">
        <v>0</v>
      </c>
      <c r="D6301" s="13">
        <v>0</v>
      </c>
      <c r="E6301" s="12">
        <v>0</v>
      </c>
      <c r="F6301" s="14">
        <v>0</v>
      </c>
      <c r="G6301" s="13">
        <v>489449.4233</v>
      </c>
      <c r="H6301" s="14">
        <v>626426641.014853</v>
      </c>
      <c r="I6301" s="14" t="e">
        <f>=Round(6588.40360000,0)</f>
        <v>#VALUE!</v>
      </c>
      <c r="J6301" s="14" t="e">
        <f>=Round(0.00000000,0)</f>
        <v>#VALUE!</v>
      </c>
    </row>
    <row r="6302">
      <c r="A6302" s="11" t="s">
        <v>40</v>
      </c>
      <c r="B6302" s="12">
        <v>1280.0644</v>
      </c>
      <c r="C6302" s="12">
        <v>0</v>
      </c>
      <c r="D6302" s="13">
        <v>0</v>
      </c>
      <c r="E6302" s="12">
        <v>0</v>
      </c>
      <c r="F6302" s="14">
        <v>0</v>
      </c>
      <c r="G6302" s="13">
        <v>489449.4233</v>
      </c>
      <c r="H6302" s="14">
        <v>626526782.366861</v>
      </c>
      <c r="I6302" s="14" t="e">
        <f>=Round(6589.46060000,0)</f>
        <v>#VALUE!</v>
      </c>
      <c r="J6302" s="14" t="e">
        <f>=Round(0.00000000,0)</f>
        <v>#VALUE!</v>
      </c>
    </row>
    <row r="6303">
      <c r="A6303" s="11" t="s">
        <v>41</v>
      </c>
      <c r="B6303" s="12">
        <v>1280.2685</v>
      </c>
      <c r="C6303" s="12">
        <v>0</v>
      </c>
      <c r="D6303" s="13">
        <v>0</v>
      </c>
      <c r="E6303" s="12">
        <v>0</v>
      </c>
      <c r="F6303" s="14">
        <v>0</v>
      </c>
      <c r="G6303" s="13">
        <v>489449.4233</v>
      </c>
      <c r="H6303" s="14">
        <v>626626678.994156</v>
      </c>
      <c r="I6303" s="14" t="e">
        <f>=Round(6590.51400000,0)</f>
        <v>#VALUE!</v>
      </c>
      <c r="J6303" s="14" t="e">
        <f>=Round(0.00000000,0)</f>
        <v>#VALUE!</v>
      </c>
    </row>
    <row r="6304">
      <c r="A6304" s="11" t="s">
        <v>42</v>
      </c>
      <c r="B6304" s="12">
        <v>1280.2685</v>
      </c>
      <c r="C6304" s="12">
        <v>0</v>
      </c>
      <c r="D6304" s="13">
        <v>0</v>
      </c>
      <c r="E6304" s="12">
        <v>0</v>
      </c>
      <c r="F6304" s="14">
        <v>0</v>
      </c>
      <c r="G6304" s="13">
        <v>489449.4233</v>
      </c>
      <c r="H6304" s="14">
        <v>626626678.994156</v>
      </c>
      <c r="I6304" s="14" t="e">
        <f>=Round(6591.56480000,0)</f>
        <v>#VALUE!</v>
      </c>
      <c r="J6304" s="14" t="e">
        <f>=Round(0.00000000,0)</f>
        <v>#VALUE!</v>
      </c>
    </row>
    <row r="6305">
      <c r="A6305" s="11" t="s">
        <v>43</v>
      </c>
      <c r="B6305" s="12">
        <v>1280.2685</v>
      </c>
      <c r="C6305" s="12">
        <v>0</v>
      </c>
      <c r="D6305" s="13">
        <v>0</v>
      </c>
      <c r="E6305" s="12">
        <v>0</v>
      </c>
      <c r="F6305" s="14">
        <v>0</v>
      </c>
      <c r="G6305" s="13">
        <v>489449.4233</v>
      </c>
      <c r="H6305" s="14">
        <v>626626678.994156</v>
      </c>
      <c r="I6305" s="14" t="e">
        <f>=Round(6591.56480000,0)</f>
        <v>#VALUE!</v>
      </c>
      <c r="J6305" s="14" t="e">
        <f>=Round(0.00000000,0)</f>
        <v>#VALUE!</v>
      </c>
    </row>
    <row r="6306">
      <c r="A6306" s="11" t="s">
        <v>44</v>
      </c>
      <c r="B6306" s="12">
        <v>1280.8839</v>
      </c>
      <c r="C6306" s="12">
        <v>0</v>
      </c>
      <c r="D6306" s="13">
        <v>0</v>
      </c>
      <c r="E6306" s="12">
        <v>0</v>
      </c>
      <c r="F6306" s="14">
        <v>0</v>
      </c>
      <c r="G6306" s="13">
        <v>489449.4233</v>
      </c>
      <c r="H6306" s="14">
        <v>626927886.169255</v>
      </c>
      <c r="I6306" s="14" t="e">
        <f>=Round(6591.56480000,0)</f>
        <v>#VALUE!</v>
      </c>
      <c r="J6306" s="14" t="e">
        <f>=Round(0.00000000,0)</f>
        <v>#VALUE!</v>
      </c>
    </row>
    <row r="6307">
      <c r="A6307" s="11" t="s">
        <v>45</v>
      </c>
      <c r="B6307" s="12">
        <v>1281.0899</v>
      </c>
      <c r="C6307" s="12">
        <v>0</v>
      </c>
      <c r="D6307" s="13">
        <v>0</v>
      </c>
      <c r="E6307" s="12">
        <v>0</v>
      </c>
      <c r="F6307" s="14">
        <v>0</v>
      </c>
      <c r="G6307" s="13">
        <v>489449.4233</v>
      </c>
      <c r="H6307" s="14">
        <v>627028712.750455</v>
      </c>
      <c r="I6307" s="14" t="e">
        <f>=Round(6594.73320000,0)</f>
        <v>#VALUE!</v>
      </c>
      <c r="J6307" s="14" t="e">
        <f>=Round(0.00000000,0)</f>
        <v>#VALUE!</v>
      </c>
    </row>
    <row r="6308">
      <c r="A6308" s="11" t="s">
        <v>46</v>
      </c>
      <c r="B6308" s="12">
        <v>1281.2941</v>
      </c>
      <c r="C6308" s="12">
        <v>0</v>
      </c>
      <c r="D6308" s="13">
        <v>0</v>
      </c>
      <c r="E6308" s="12">
        <v>0</v>
      </c>
      <c r="F6308" s="14">
        <v>0</v>
      </c>
      <c r="G6308" s="13">
        <v>489449.4233</v>
      </c>
      <c r="H6308" s="14">
        <v>627128658.322693</v>
      </c>
      <c r="I6308" s="14" t="e">
        <f>=Round(6595.79380000,0)</f>
        <v>#VALUE!</v>
      </c>
      <c r="J6308" s="14" t="e">
        <f>=Round(0.00000000,0)</f>
        <v>#VALUE!</v>
      </c>
    </row>
    <row r="6309">
      <c r="A6309" s="11" t="s">
        <v>47</v>
      </c>
      <c r="B6309" s="12">
        <v>1281.4992</v>
      </c>
      <c r="C6309" s="12">
        <v>0</v>
      </c>
      <c r="D6309" s="13">
        <v>0</v>
      </c>
      <c r="E6309" s="12">
        <v>0</v>
      </c>
      <c r="F6309" s="14">
        <v>0</v>
      </c>
      <c r="G6309" s="13">
        <v>489449.4233</v>
      </c>
      <c r="H6309" s="14">
        <v>627229044.399411</v>
      </c>
      <c r="I6309" s="14" t="e">
        <f>=Round(6596.84520000,0)</f>
        <v>#VALUE!</v>
      </c>
      <c r="J6309" s="14" t="e">
        <f>=Round(0.00000000,0)</f>
        <v>#VALUE!</v>
      </c>
    </row>
    <row r="6310">
      <c r="A6310" s="11" t="s">
        <v>48</v>
      </c>
      <c r="B6310" s="12">
        <v>1281.706</v>
      </c>
      <c r="C6310" s="12">
        <v>0</v>
      </c>
      <c r="D6310" s="13">
        <v>0</v>
      </c>
      <c r="E6310" s="12">
        <v>0</v>
      </c>
      <c r="F6310" s="14">
        <v>0</v>
      </c>
      <c r="G6310" s="13">
        <v>489449.4233</v>
      </c>
      <c r="H6310" s="14">
        <v>627330262.54015</v>
      </c>
      <c r="I6310" s="14" t="e">
        <f>=Round(6597.90120000,0)</f>
        <v>#VALUE!</v>
      </c>
      <c r="J6310" s="14" t="e">
        <f>=Round(0.00000000,0)</f>
        <v>#VALUE!</v>
      </c>
    </row>
    <row r="6311">
      <c r="A6311" s="11" t="s">
        <v>49</v>
      </c>
      <c r="B6311" s="12">
        <v>1281.706</v>
      </c>
      <c r="C6311" s="12">
        <v>0</v>
      </c>
      <c r="D6311" s="13">
        <v>0</v>
      </c>
      <c r="E6311" s="12">
        <v>0</v>
      </c>
      <c r="F6311" s="14">
        <v>0</v>
      </c>
      <c r="G6311" s="13">
        <v>489449.4233</v>
      </c>
      <c r="H6311" s="14">
        <v>627330262.54015</v>
      </c>
      <c r="I6311" s="14" t="e">
        <f>=Round(6598.96590000,0)</f>
        <v>#VALUE!</v>
      </c>
      <c r="J6311" s="14" t="e">
        <f>=Round(0.00000000,0)</f>
        <v>#VALUE!</v>
      </c>
    </row>
    <row r="6312">
      <c r="A6312" s="11" t="s">
        <v>50</v>
      </c>
      <c r="B6312" s="12">
        <v>1281.706</v>
      </c>
      <c r="C6312" s="12">
        <v>0</v>
      </c>
      <c r="D6312" s="13">
        <v>0</v>
      </c>
      <c r="E6312" s="12">
        <v>0</v>
      </c>
      <c r="F6312" s="14">
        <v>0</v>
      </c>
      <c r="G6312" s="13">
        <v>489449.4233</v>
      </c>
      <c r="H6312" s="14">
        <v>627330262.54015</v>
      </c>
      <c r="I6312" s="14" t="e">
        <f>=Round(6598.96590000,0)</f>
        <v>#VALUE!</v>
      </c>
      <c r="J6312" s="14" t="e">
        <f>=Round(0.00000000,0)</f>
        <v>#VALUE!</v>
      </c>
    </row>
    <row r="6313">
      <c r="A6313" s="11" t="s">
        <v>51</v>
      </c>
      <c r="B6313" s="12">
        <v>1282.3206</v>
      </c>
      <c r="C6313" s="12">
        <v>0</v>
      </c>
      <c r="D6313" s="13">
        <v>0</v>
      </c>
      <c r="E6313" s="12">
        <v>0</v>
      </c>
      <c r="F6313" s="14">
        <v>0</v>
      </c>
      <c r="G6313" s="13">
        <v>489449.4233</v>
      </c>
      <c r="H6313" s="14">
        <v>627631078.15571</v>
      </c>
      <c r="I6313" s="14" t="e">
        <f>=Round(6598.96590000,0)</f>
        <v>#VALUE!</v>
      </c>
      <c r="J6313" s="14" t="e">
        <f>=Round(0.00000000,0)</f>
        <v>#VALUE!</v>
      </c>
    </row>
    <row r="6314">
      <c r="A6314" s="11" t="s">
        <v>52</v>
      </c>
      <c r="B6314" s="12">
        <v>1282.524</v>
      </c>
      <c r="C6314" s="12">
        <v>0</v>
      </c>
      <c r="D6314" s="13">
        <v>0</v>
      </c>
      <c r="E6314" s="12">
        <v>0</v>
      </c>
      <c r="F6314" s="14">
        <v>0</v>
      </c>
      <c r="G6314" s="13">
        <v>489449.4233</v>
      </c>
      <c r="H6314" s="14">
        <v>627730632.168409</v>
      </c>
      <c r="I6314" s="14" t="e">
        <f>=Round(6602.13020000,0)</f>
        <v>#VALUE!</v>
      </c>
      <c r="J6314" s="14" t="e">
        <f>=Round(0.00000000,0)</f>
        <v>#VALUE!</v>
      </c>
    </row>
    <row r="6315">
      <c r="A6315" s="11" t="s">
        <v>53</v>
      </c>
      <c r="B6315" s="12">
        <v>1282.7292</v>
      </c>
      <c r="C6315" s="12">
        <v>0</v>
      </c>
      <c r="D6315" s="13">
        <v>0</v>
      </c>
      <c r="E6315" s="12">
        <v>0</v>
      </c>
      <c r="F6315" s="14">
        <v>0</v>
      </c>
      <c r="G6315" s="13">
        <v>489449.4233</v>
      </c>
      <c r="H6315" s="14">
        <v>627831067.19007</v>
      </c>
      <c r="I6315" s="14" t="e">
        <f>=Round(6603.17740000,0)</f>
        <v>#VALUE!</v>
      </c>
      <c r="J6315" s="14" t="e">
        <f>=Round(0.00000000,0)</f>
        <v>#VALUE!</v>
      </c>
    </row>
    <row r="6316">
      <c r="A6316" s="11" t="s">
        <v>54</v>
      </c>
      <c r="B6316" s="12">
        <v>1282.9343</v>
      </c>
      <c r="C6316" s="12">
        <v>0</v>
      </c>
      <c r="D6316" s="13">
        <v>0</v>
      </c>
      <c r="E6316" s="12">
        <v>0</v>
      </c>
      <c r="F6316" s="14">
        <v>0</v>
      </c>
      <c r="G6316" s="13">
        <v>489449.4233</v>
      </c>
      <c r="H6316" s="14">
        <v>627931453.266789</v>
      </c>
      <c r="I6316" s="14" t="e">
        <f>=Round(6604.23390000,0)</f>
        <v>#VALUE!</v>
      </c>
      <c r="J6316" s="14" t="e">
        <f>=Round(0.00000000,0)</f>
        <v>#VALUE!</v>
      </c>
    </row>
    <row r="6317">
      <c r="A6317" s="11" t="s">
        <v>55</v>
      </c>
      <c r="B6317" s="12">
        <v>1283.1158</v>
      </c>
      <c r="C6317" s="12">
        <v>0</v>
      </c>
      <c r="D6317" s="13">
        <v>0</v>
      </c>
      <c r="E6317" s="12">
        <v>0</v>
      </c>
      <c r="F6317" s="14">
        <v>0</v>
      </c>
      <c r="G6317" s="13">
        <v>489449.4233</v>
      </c>
      <c r="H6317" s="14">
        <v>628020288.337118</v>
      </c>
      <c r="I6317" s="14" t="e">
        <f>=Round(6605.28990000,0)</f>
        <v>#VALUE!</v>
      </c>
      <c r="J6317" s="14" t="e">
        <f>=Round(0.00000000,0)</f>
        <v>#VALUE!</v>
      </c>
    </row>
    <row r="6318" ht="-1">
      <c r="A6318" s="15"/>
      <c r="B6318" s="16" t="s">
        <v>56</v>
      </c>
      <c r="C6318" s="15"/>
      <c r="D6318" s="15"/>
      <c r="E6318" s="15"/>
      <c r="F6318" s="15"/>
      <c r="G6318" s="15"/>
      <c r="H6318" s="15"/>
      <c r="I6318" s="17" t="e">
        <f>=Round(SUM(I6292:I6317),0)</f>
        <v>#VALUE!</v>
      </c>
      <c r="J6318" s="17" t="e">
        <f>=Round(SUM(J6292:J6317),0)</f>
        <v>#VALUE!</v>
      </c>
    </row>
    <row r="6319">
      <c r="A6319" s="1" t="s">
        <v>0</v>
      </c>
      <c r="B6319" s="1"/>
      <c r="C6319" s="1"/>
      <c r="D6319" s="1"/>
    </row>
    <row r="6320">
      <c r="A6320" s="0" t="s">
        <v>1</v>
      </c>
      <c r="C6320" s="0" t="s">
        <v>234</v>
      </c>
      <c r="H6320" s="2" t="s">
        <v>3</v>
      </c>
    </row>
    <row r="6321">
      <c r="A6321" s="0" t="s">
        <v>4</v>
      </c>
      <c r="C6321" s="0" t="s">
        <v>238</v>
      </c>
      <c r="H6321" s="3" t="s">
        <v>6</v>
      </c>
    </row>
    <row r="6322">
      <c r="A6322" s="0" t="s">
        <v>7</v>
      </c>
      <c r="C6322" s="4" t="s">
        <v>205</v>
      </c>
      <c r="H6322" s="2" t="s">
        <v>9</v>
      </c>
    </row>
    <row r="6323">
      <c r="A6323" s="0" t="s">
        <v>10</v>
      </c>
      <c r="C6323" s="4" t="s">
        <v>11</v>
      </c>
      <c r="H6323" s="2" t="s">
        <v>12</v>
      </c>
    </row>
    <row r="6324">
      <c r="A6324" s="0" t="s">
        <v>13</v>
      </c>
      <c r="C6324" s="0" t="s">
        <v>14</v>
      </c>
    </row>
    <row r="6325">
      <c r="A6325" s="0" t="s">
        <v>15</v>
      </c>
      <c r="C6325" s="0" t="s">
        <v>16</v>
      </c>
    </row>
    <row r="6326">
      <c r="A6326" s="0" t="s">
        <v>17</v>
      </c>
      <c r="C6326" s="0" t="s">
        <v>18</v>
      </c>
    </row>
    <row r="6329">
      <c r="A6329" s="5" t="s">
        <v>19</v>
      </c>
      <c r="B6329" s="5" t="s">
        <v>20</v>
      </c>
      <c r="C6329" s="7" t="s">
        <v>21</v>
      </c>
      <c r="D6329" s="9"/>
      <c r="E6329" s="7" t="s">
        <v>22</v>
      </c>
      <c r="F6329" s="9"/>
      <c r="G6329" s="5" t="s">
        <v>23</v>
      </c>
      <c r="H6329" s="5" t="s">
        <v>24</v>
      </c>
      <c r="I6329" s="5" t="s">
        <v>206</v>
      </c>
      <c r="J6329" s="5" t="s">
        <v>26</v>
      </c>
    </row>
    <row r="6330">
      <c r="A6330" s="6"/>
      <c r="B6330" s="6"/>
      <c r="C6330" s="8" t="s">
        <v>27</v>
      </c>
      <c r="D6330" s="8" t="s">
        <v>28</v>
      </c>
      <c r="E6330" s="8" t="s">
        <v>27</v>
      </c>
      <c r="F6330" s="8" t="s">
        <v>28</v>
      </c>
      <c r="G6330" s="6"/>
      <c r="H6330" s="6"/>
      <c r="I6330" s="10" t="s">
        <v>29</v>
      </c>
      <c r="J6330" s="6"/>
    </row>
    <row r="6331">
      <c r="A6331" s="11" t="s">
        <v>30</v>
      </c>
      <c r="B6331" s="12">
        <v>1278.0261</v>
      </c>
      <c r="C6331" s="12">
        <v>0</v>
      </c>
      <c r="D6331" s="13">
        <v>0</v>
      </c>
      <c r="E6331" s="12">
        <v>0</v>
      </c>
      <c r="F6331" s="14">
        <v>0</v>
      </c>
      <c r="G6331" s="13">
        <v>6396819.2464</v>
      </c>
      <c r="H6331" s="14">
        <v>8175301953.8815308</v>
      </c>
      <c r="I6331" s="14" t="e">
        <f>=Round(85955.87480000,0)</f>
        <v>#VALUE!</v>
      </c>
      <c r="J6331" s="14" t="e">
        <f>=Round(0.00000000,0)</f>
        <v>#VALUE!</v>
      </c>
    </row>
    <row r="6332">
      <c r="A6332" s="11" t="s">
        <v>31</v>
      </c>
      <c r="B6332" s="12">
        <v>1278.2299</v>
      </c>
      <c r="C6332" s="12">
        <v>0</v>
      </c>
      <c r="D6332" s="13">
        <v>0</v>
      </c>
      <c r="E6332" s="12">
        <v>0</v>
      </c>
      <c r="F6332" s="14">
        <v>0</v>
      </c>
      <c r="G6332" s="13">
        <v>6396819.2464</v>
      </c>
      <c r="H6332" s="14">
        <v>8176605625.6439466</v>
      </c>
      <c r="I6332" s="14" t="e">
        <f>=Round(85997.02870000,0)</f>
        <v>#VALUE!</v>
      </c>
      <c r="J6332" s="14" t="e">
        <f>=Round(0.00000000,0)</f>
        <v>#VALUE!</v>
      </c>
    </row>
    <row r="6333">
      <c r="A6333" s="11" t="s">
        <v>32</v>
      </c>
      <c r="B6333" s="12">
        <v>1278.4335</v>
      </c>
      <c r="C6333" s="12">
        <v>0</v>
      </c>
      <c r="D6333" s="13">
        <v>0</v>
      </c>
      <c r="E6333" s="12">
        <v>0</v>
      </c>
      <c r="F6333" s="14">
        <v>0</v>
      </c>
      <c r="G6333" s="13">
        <v>6396819.2464</v>
      </c>
      <c r="H6333" s="14">
        <v>8177908018.0425138</v>
      </c>
      <c r="I6333" s="14" t="e">
        <f>=Round(86010.74220000,0)</f>
        <v>#VALUE!</v>
      </c>
      <c r="J6333" s="14" t="e">
        <f>=Round(0.00000000,0)</f>
        <v>#VALUE!</v>
      </c>
    </row>
    <row r="6334">
      <c r="A6334" s="11" t="s">
        <v>33</v>
      </c>
      <c r="B6334" s="12">
        <v>1278.6325</v>
      </c>
      <c r="C6334" s="12">
        <v>0</v>
      </c>
      <c r="D6334" s="13">
        <v>0</v>
      </c>
      <c r="E6334" s="12">
        <v>0</v>
      </c>
      <c r="F6334" s="14">
        <v>0</v>
      </c>
      <c r="G6334" s="13">
        <v>6396819.2464</v>
      </c>
      <c r="H6334" s="14">
        <v>8179180985.0725479</v>
      </c>
      <c r="I6334" s="14" t="e">
        <f>=Round(86024.44230000,0)</f>
        <v>#VALUE!</v>
      </c>
      <c r="J6334" s="14" t="e">
        <f>=Round(0.00000000,0)</f>
        <v>#VALUE!</v>
      </c>
    </row>
    <row r="6335">
      <c r="A6335" s="11" t="s">
        <v>34</v>
      </c>
      <c r="B6335" s="12">
        <v>1278.837</v>
      </c>
      <c r="C6335" s="12">
        <v>0</v>
      </c>
      <c r="D6335" s="13">
        <v>0</v>
      </c>
      <c r="E6335" s="12">
        <v>0</v>
      </c>
      <c r="F6335" s="14">
        <v>0</v>
      </c>
      <c r="G6335" s="13">
        <v>6396819.2464</v>
      </c>
      <c r="H6335" s="14">
        <v>8180489134.6084366</v>
      </c>
      <c r="I6335" s="14" t="e">
        <f>=Round(86037.83280000,0)</f>
        <v>#VALUE!</v>
      </c>
      <c r="J6335" s="14" t="e">
        <f>=Round(0.00000000,0)</f>
        <v>#VALUE!</v>
      </c>
    </row>
    <row r="6336">
      <c r="A6336" s="11" t="s">
        <v>35</v>
      </c>
      <c r="B6336" s="12">
        <v>1278.837</v>
      </c>
      <c r="C6336" s="12">
        <v>0</v>
      </c>
      <c r="D6336" s="13">
        <v>0</v>
      </c>
      <c r="E6336" s="12">
        <v>0</v>
      </c>
      <c r="F6336" s="14">
        <v>0</v>
      </c>
      <c r="G6336" s="13">
        <v>6396819.2464</v>
      </c>
      <c r="H6336" s="14">
        <v>8180489134.6084366</v>
      </c>
      <c r="I6336" s="14" t="e">
        <f>=Round(86051.59340000,0)</f>
        <v>#VALUE!</v>
      </c>
      <c r="J6336" s="14" t="e">
        <f>=Round(0.00000000,0)</f>
        <v>#VALUE!</v>
      </c>
    </row>
    <row r="6337">
      <c r="A6337" s="11" t="s">
        <v>36</v>
      </c>
      <c r="B6337" s="12">
        <v>1278.837</v>
      </c>
      <c r="C6337" s="12">
        <v>0</v>
      </c>
      <c r="D6337" s="13">
        <v>0</v>
      </c>
      <c r="E6337" s="12">
        <v>0</v>
      </c>
      <c r="F6337" s="14">
        <v>0</v>
      </c>
      <c r="G6337" s="13">
        <v>6396819.2464</v>
      </c>
      <c r="H6337" s="14">
        <v>8180489134.6084366</v>
      </c>
      <c r="I6337" s="14" t="e">
        <f>=Round(86051.59340000,0)</f>
        <v>#VALUE!</v>
      </c>
      <c r="J6337" s="14" t="e">
        <f>=Round(0.00000000,0)</f>
        <v>#VALUE!</v>
      </c>
    </row>
    <row r="6338">
      <c r="A6338" s="11" t="s">
        <v>37</v>
      </c>
      <c r="B6338" s="12">
        <v>1279.4503</v>
      </c>
      <c r="C6338" s="12">
        <v>0</v>
      </c>
      <c r="D6338" s="13">
        <v>0</v>
      </c>
      <c r="E6338" s="12">
        <v>0</v>
      </c>
      <c r="F6338" s="14">
        <v>0</v>
      </c>
      <c r="G6338" s="13">
        <v>6396819.2464</v>
      </c>
      <c r="H6338" s="14">
        <v>8184412303.8522539</v>
      </c>
      <c r="I6338" s="14" t="e">
        <f>=Round(86051.59340000,0)</f>
        <v>#VALUE!</v>
      </c>
      <c r="J6338" s="14" t="e">
        <f>=Round(0.00000000,0)</f>
        <v>#VALUE!</v>
      </c>
    </row>
    <row r="6339">
      <c r="A6339" s="11" t="s">
        <v>38</v>
      </c>
      <c r="B6339" s="12">
        <v>1279.6545</v>
      </c>
      <c r="C6339" s="12">
        <v>0</v>
      </c>
      <c r="D6339" s="13">
        <v>0</v>
      </c>
      <c r="E6339" s="12">
        <v>0</v>
      </c>
      <c r="F6339" s="14">
        <v>0</v>
      </c>
      <c r="G6339" s="13">
        <v>6396819.2464</v>
      </c>
      <c r="H6339" s="14">
        <v>8185718534.3423691</v>
      </c>
      <c r="I6339" s="14" t="e">
        <f>=Round(86092.86170000,0)</f>
        <v>#VALUE!</v>
      </c>
      <c r="J6339" s="14" t="e">
        <f>=Round(0.00000000,0)</f>
        <v>#VALUE!</v>
      </c>
    </row>
    <row r="6340">
      <c r="A6340" s="11" t="s">
        <v>39</v>
      </c>
      <c r="B6340" s="12">
        <v>1279.8598</v>
      </c>
      <c r="C6340" s="12">
        <v>0</v>
      </c>
      <c r="D6340" s="13">
        <v>0</v>
      </c>
      <c r="E6340" s="12">
        <v>0</v>
      </c>
      <c r="F6340" s="14">
        <v>0</v>
      </c>
      <c r="G6340" s="13">
        <v>6396819.2464</v>
      </c>
      <c r="H6340" s="14">
        <v>8187031801.3336554</v>
      </c>
      <c r="I6340" s="14" t="e">
        <f>=Round(86106.60210000,0)</f>
        <v>#VALUE!</v>
      </c>
      <c r="J6340" s="14" t="e">
        <f>=Round(0.00000000,0)</f>
        <v>#VALUE!</v>
      </c>
    </row>
    <row r="6341">
      <c r="A6341" s="11" t="s">
        <v>40</v>
      </c>
      <c r="B6341" s="12">
        <v>1280.0644</v>
      </c>
      <c r="C6341" s="12">
        <v>0</v>
      </c>
      <c r="D6341" s="13">
        <v>0</v>
      </c>
      <c r="E6341" s="12">
        <v>0</v>
      </c>
      <c r="F6341" s="14">
        <v>0</v>
      </c>
      <c r="G6341" s="13">
        <v>6396819.2464</v>
      </c>
      <c r="H6341" s="14">
        <v>8188340590.5514679</v>
      </c>
      <c r="I6341" s="14" t="e">
        <f>=Round(86120.41650000,0)</f>
        <v>#VALUE!</v>
      </c>
      <c r="J6341" s="14" t="e">
        <f>=Round(0.00000000,0)</f>
        <v>#VALUE!</v>
      </c>
    </row>
    <row r="6342">
      <c r="A6342" s="11" t="s">
        <v>41</v>
      </c>
      <c r="B6342" s="12">
        <v>1280.2685</v>
      </c>
      <c r="C6342" s="12">
        <v>0</v>
      </c>
      <c r="D6342" s="13">
        <v>0</v>
      </c>
      <c r="E6342" s="12">
        <v>0</v>
      </c>
      <c r="F6342" s="14">
        <v>0</v>
      </c>
      <c r="G6342" s="13">
        <v>6396819.2464</v>
      </c>
      <c r="H6342" s="14">
        <v>8189646181.3596582</v>
      </c>
      <c r="I6342" s="14" t="e">
        <f>=Round(86134.18380000,0)</f>
        <v>#VALUE!</v>
      </c>
      <c r="J6342" s="14" t="e">
        <f>=Round(0.00000000,0)</f>
        <v>#VALUE!</v>
      </c>
    </row>
    <row r="6343">
      <c r="A6343" s="11" t="s">
        <v>42</v>
      </c>
      <c r="B6343" s="12">
        <v>1280.2685</v>
      </c>
      <c r="C6343" s="12">
        <v>0</v>
      </c>
      <c r="D6343" s="13">
        <v>0</v>
      </c>
      <c r="E6343" s="12">
        <v>0</v>
      </c>
      <c r="F6343" s="14">
        <v>0</v>
      </c>
      <c r="G6343" s="13">
        <v>6396819.2464</v>
      </c>
      <c r="H6343" s="14">
        <v>8189646181.3596582</v>
      </c>
      <c r="I6343" s="14" t="e">
        <f>=Round(86147.91750000,0)</f>
        <v>#VALUE!</v>
      </c>
      <c r="J6343" s="14" t="e">
        <f>=Round(0.00000000,0)</f>
        <v>#VALUE!</v>
      </c>
    </row>
    <row r="6344">
      <c r="A6344" s="11" t="s">
        <v>43</v>
      </c>
      <c r="B6344" s="12">
        <v>1280.2685</v>
      </c>
      <c r="C6344" s="12">
        <v>0</v>
      </c>
      <c r="D6344" s="13">
        <v>0</v>
      </c>
      <c r="E6344" s="12">
        <v>0</v>
      </c>
      <c r="F6344" s="14">
        <v>0</v>
      </c>
      <c r="G6344" s="13">
        <v>6396819.2464</v>
      </c>
      <c r="H6344" s="14">
        <v>8189646181.3596582</v>
      </c>
      <c r="I6344" s="14" t="e">
        <f>=Round(86147.91750000,0)</f>
        <v>#VALUE!</v>
      </c>
      <c r="J6344" s="14" t="e">
        <f>=Round(0.00000000,0)</f>
        <v>#VALUE!</v>
      </c>
    </row>
    <row r="6345">
      <c r="A6345" s="11" t="s">
        <v>44</v>
      </c>
      <c r="B6345" s="12">
        <v>1280.8839</v>
      </c>
      <c r="C6345" s="12">
        <v>0</v>
      </c>
      <c r="D6345" s="13">
        <v>0</v>
      </c>
      <c r="E6345" s="12">
        <v>0</v>
      </c>
      <c r="F6345" s="14">
        <v>0</v>
      </c>
      <c r="G6345" s="13">
        <v>6396819.2464</v>
      </c>
      <c r="H6345" s="14">
        <v>8193582783.923893</v>
      </c>
      <c r="I6345" s="14" t="e">
        <f>=Round(86147.91750000,0)</f>
        <v>#VALUE!</v>
      </c>
      <c r="J6345" s="14" t="e">
        <f>=Round(0.00000000,0)</f>
        <v>#VALUE!</v>
      </c>
    </row>
    <row r="6346">
      <c r="A6346" s="11" t="s">
        <v>45</v>
      </c>
      <c r="B6346" s="12">
        <v>1281.0899</v>
      </c>
      <c r="C6346" s="12">
        <v>0</v>
      </c>
      <c r="D6346" s="13">
        <v>0</v>
      </c>
      <c r="E6346" s="12">
        <v>0</v>
      </c>
      <c r="F6346" s="14">
        <v>0</v>
      </c>
      <c r="G6346" s="13">
        <v>6396819.2464</v>
      </c>
      <c r="H6346" s="14">
        <v>8194900528.6886511</v>
      </c>
      <c r="I6346" s="14" t="e">
        <f>=Round(86189.32710000,0)</f>
        <v>#VALUE!</v>
      </c>
      <c r="J6346" s="14" t="e">
        <f>=Round(0.00000000,0)</f>
        <v>#VALUE!</v>
      </c>
    </row>
    <row r="6347">
      <c r="A6347" s="11" t="s">
        <v>46</v>
      </c>
      <c r="B6347" s="12">
        <v>1281.2941</v>
      </c>
      <c r="C6347" s="12">
        <v>0</v>
      </c>
      <c r="D6347" s="13">
        <v>0</v>
      </c>
      <c r="E6347" s="12">
        <v>0</v>
      </c>
      <c r="F6347" s="14">
        <v>0</v>
      </c>
      <c r="G6347" s="13">
        <v>6396819.2464</v>
      </c>
      <c r="H6347" s="14">
        <v>8196206759.1787663</v>
      </c>
      <c r="I6347" s="14" t="e">
        <f>=Round(86203.18860000,0)</f>
        <v>#VALUE!</v>
      </c>
      <c r="J6347" s="14" t="e">
        <f>=Round(0.00000000,0)</f>
        <v>#VALUE!</v>
      </c>
    </row>
    <row r="6348">
      <c r="A6348" s="11" t="s">
        <v>47</v>
      </c>
      <c r="B6348" s="12">
        <v>1281.4992</v>
      </c>
      <c r="C6348" s="12">
        <v>0</v>
      </c>
      <c r="D6348" s="13">
        <v>0</v>
      </c>
      <c r="E6348" s="12">
        <v>0</v>
      </c>
      <c r="F6348" s="14">
        <v>0</v>
      </c>
      <c r="G6348" s="13">
        <v>6396819.2464</v>
      </c>
      <c r="H6348" s="14">
        <v>8197518746.8062029</v>
      </c>
      <c r="I6348" s="14" t="e">
        <f>=Round(86216.92900000,0)</f>
        <v>#VALUE!</v>
      </c>
      <c r="J6348" s="14" t="e">
        <f>=Round(0.00000000,0)</f>
        <v>#VALUE!</v>
      </c>
    </row>
    <row r="6349">
      <c r="A6349" s="11" t="s">
        <v>48</v>
      </c>
      <c r="B6349" s="12">
        <v>1281.706</v>
      </c>
      <c r="C6349" s="12">
        <v>0</v>
      </c>
      <c r="D6349" s="13">
        <v>0</v>
      </c>
      <c r="E6349" s="12">
        <v>0</v>
      </c>
      <c r="F6349" s="14">
        <v>0</v>
      </c>
      <c r="G6349" s="13">
        <v>6396819.2464</v>
      </c>
      <c r="H6349" s="14">
        <v>8198841609.0263577</v>
      </c>
      <c r="I6349" s="14" t="e">
        <f>=Round(86230.73000000,0)</f>
        <v>#VALUE!</v>
      </c>
      <c r="J6349" s="14" t="e">
        <f>=Round(0.00000000,0)</f>
        <v>#VALUE!</v>
      </c>
    </row>
    <row r="6350">
      <c r="A6350" s="11" t="s">
        <v>49</v>
      </c>
      <c r="B6350" s="12">
        <v>1281.706</v>
      </c>
      <c r="C6350" s="12">
        <v>0</v>
      </c>
      <c r="D6350" s="13">
        <v>0</v>
      </c>
      <c r="E6350" s="12">
        <v>0</v>
      </c>
      <c r="F6350" s="14">
        <v>0</v>
      </c>
      <c r="G6350" s="13">
        <v>6396819.2464</v>
      </c>
      <c r="H6350" s="14">
        <v>8198841609.0263577</v>
      </c>
      <c r="I6350" s="14" t="e">
        <f>=Round(86244.64530000,0)</f>
        <v>#VALUE!</v>
      </c>
      <c r="J6350" s="14" t="e">
        <f>=Round(0.00000000,0)</f>
        <v>#VALUE!</v>
      </c>
    </row>
    <row r="6351">
      <c r="A6351" s="11" t="s">
        <v>50</v>
      </c>
      <c r="B6351" s="12">
        <v>1281.706</v>
      </c>
      <c r="C6351" s="12">
        <v>0</v>
      </c>
      <c r="D6351" s="13">
        <v>0</v>
      </c>
      <c r="E6351" s="12">
        <v>0</v>
      </c>
      <c r="F6351" s="14">
        <v>0</v>
      </c>
      <c r="G6351" s="13">
        <v>6396819.2464</v>
      </c>
      <c r="H6351" s="14">
        <v>8198841609.0263577</v>
      </c>
      <c r="I6351" s="14" t="e">
        <f>=Round(86244.64530000,0)</f>
        <v>#VALUE!</v>
      </c>
      <c r="J6351" s="14" t="e">
        <f>=Round(0.00000000,0)</f>
        <v>#VALUE!</v>
      </c>
    </row>
    <row r="6352">
      <c r="A6352" s="11" t="s">
        <v>51</v>
      </c>
      <c r="B6352" s="12">
        <v>1282.3206</v>
      </c>
      <c r="C6352" s="12">
        <v>0</v>
      </c>
      <c r="D6352" s="13">
        <v>0</v>
      </c>
      <c r="E6352" s="12">
        <v>0</v>
      </c>
      <c r="F6352" s="14">
        <v>0</v>
      </c>
      <c r="G6352" s="13">
        <v>6396819.2464</v>
      </c>
      <c r="H6352" s="14">
        <v>8202773094.1351957</v>
      </c>
      <c r="I6352" s="14" t="e">
        <f>=Round(86244.64530000,0)</f>
        <v>#VALUE!</v>
      </c>
      <c r="J6352" s="14" t="e">
        <f>=Round(0.00000000,0)</f>
        <v>#VALUE!</v>
      </c>
    </row>
    <row r="6353">
      <c r="A6353" s="11" t="s">
        <v>52</v>
      </c>
      <c r="B6353" s="12">
        <v>1282.524</v>
      </c>
      <c r="C6353" s="12">
        <v>0</v>
      </c>
      <c r="D6353" s="13">
        <v>0</v>
      </c>
      <c r="E6353" s="12">
        <v>0</v>
      </c>
      <c r="F6353" s="14">
        <v>0</v>
      </c>
      <c r="G6353" s="13">
        <v>6396819.2464</v>
      </c>
      <c r="H6353" s="14">
        <v>8204074207.1699142</v>
      </c>
      <c r="I6353" s="14" t="e">
        <f>=Round(86286.00110000,0)</f>
        <v>#VALUE!</v>
      </c>
      <c r="J6353" s="14" t="e">
        <f>=Round(0.00000000,0)</f>
        <v>#VALUE!</v>
      </c>
    </row>
    <row r="6354">
      <c r="A6354" s="11" t="s">
        <v>53</v>
      </c>
      <c r="B6354" s="12">
        <v>1282.7292</v>
      </c>
      <c r="C6354" s="12">
        <v>0</v>
      </c>
      <c r="D6354" s="13">
        <v>0</v>
      </c>
      <c r="E6354" s="12">
        <v>0</v>
      </c>
      <c r="F6354" s="14">
        <v>0</v>
      </c>
      <c r="G6354" s="13">
        <v>6396819.2464</v>
      </c>
      <c r="H6354" s="14">
        <v>8205386834.4792748</v>
      </c>
      <c r="I6354" s="14" t="e">
        <f>=Round(86299.68770000,0)</f>
        <v>#VALUE!</v>
      </c>
      <c r="J6354" s="14" t="e">
        <f>=Round(0.00000000,0)</f>
        <v>#VALUE!</v>
      </c>
    </row>
    <row r="6355">
      <c r="A6355" s="11" t="s">
        <v>54</v>
      </c>
      <c r="B6355" s="12">
        <v>1282.9343</v>
      </c>
      <c r="C6355" s="12">
        <v>0</v>
      </c>
      <c r="D6355" s="13">
        <v>0</v>
      </c>
      <c r="E6355" s="12">
        <v>0</v>
      </c>
      <c r="F6355" s="14">
        <v>0</v>
      </c>
      <c r="G6355" s="13">
        <v>6396819.2464</v>
      </c>
      <c r="H6355" s="14">
        <v>8206698822.1067123</v>
      </c>
      <c r="I6355" s="14" t="e">
        <f>=Round(86313.49540000,0)</f>
        <v>#VALUE!</v>
      </c>
      <c r="J6355" s="14" t="e">
        <f>=Round(0.00000000,0)</f>
        <v>#VALUE!</v>
      </c>
    </row>
    <row r="6356">
      <c r="A6356" s="11" t="s">
        <v>55</v>
      </c>
      <c r="B6356" s="12">
        <v>1283.1158</v>
      </c>
      <c r="C6356" s="12">
        <v>0</v>
      </c>
      <c r="D6356" s="13">
        <v>0</v>
      </c>
      <c r="E6356" s="12">
        <v>0</v>
      </c>
      <c r="F6356" s="14">
        <v>0</v>
      </c>
      <c r="G6356" s="13">
        <v>6396819.2464</v>
      </c>
      <c r="H6356" s="14">
        <v>8207859844.7999334</v>
      </c>
      <c r="I6356" s="14" t="e">
        <f>=Round(86327.29640000,0)</f>
        <v>#VALUE!</v>
      </c>
      <c r="J6356" s="14" t="e">
        <f>=Round(0.00000000,0)</f>
        <v>#VALUE!</v>
      </c>
    </row>
    <row r="6357" ht="-1">
      <c r="A6357" s="15"/>
      <c r="B6357" s="16" t="s">
        <v>56</v>
      </c>
      <c r="C6357" s="15"/>
      <c r="D6357" s="15"/>
      <c r="E6357" s="15"/>
      <c r="F6357" s="15"/>
      <c r="G6357" s="15"/>
      <c r="H6357" s="15"/>
      <c r="I6357" s="17" t="e">
        <f>=Round(SUM(I6331:I6356),0)</f>
        <v>#VALUE!</v>
      </c>
      <c r="J6357" s="17" t="e">
        <f>=Round(SUM(J6331:J6356),0)</f>
        <v>#VALUE!</v>
      </c>
    </row>
    <row r="6358">
      <c r="A6358" s="1" t="s">
        <v>0</v>
      </c>
      <c r="B6358" s="1"/>
      <c r="C6358" s="1"/>
      <c r="D6358" s="1"/>
    </row>
    <row r="6359">
      <c r="A6359" s="0" t="s">
        <v>1</v>
      </c>
      <c r="C6359" s="0" t="s">
        <v>234</v>
      </c>
      <c r="H6359" s="2" t="s">
        <v>3</v>
      </c>
    </row>
    <row r="6360">
      <c r="A6360" s="0" t="s">
        <v>4</v>
      </c>
      <c r="C6360" s="0" t="s">
        <v>239</v>
      </c>
      <c r="H6360" s="3" t="s">
        <v>6</v>
      </c>
    </row>
    <row r="6361">
      <c r="A6361" s="0" t="s">
        <v>7</v>
      </c>
      <c r="C6361" s="4" t="s">
        <v>205</v>
      </c>
      <c r="H6361" s="2" t="s">
        <v>9</v>
      </c>
    </row>
    <row r="6362">
      <c r="A6362" s="0" t="s">
        <v>10</v>
      </c>
      <c r="C6362" s="4" t="s">
        <v>11</v>
      </c>
      <c r="H6362" s="2" t="s">
        <v>12</v>
      </c>
    </row>
    <row r="6363">
      <c r="A6363" s="0" t="s">
        <v>13</v>
      </c>
      <c r="C6363" s="0" t="s">
        <v>14</v>
      </c>
    </row>
    <row r="6364">
      <c r="A6364" s="0" t="s">
        <v>15</v>
      </c>
      <c r="C6364" s="0" t="s">
        <v>16</v>
      </c>
    </row>
    <row r="6365">
      <c r="A6365" s="0" t="s">
        <v>17</v>
      </c>
      <c r="C6365" s="0" t="s">
        <v>18</v>
      </c>
    </row>
    <row r="6368">
      <c r="A6368" s="5" t="s">
        <v>19</v>
      </c>
      <c r="B6368" s="5" t="s">
        <v>20</v>
      </c>
      <c r="C6368" s="7" t="s">
        <v>21</v>
      </c>
      <c r="D6368" s="9"/>
      <c r="E6368" s="7" t="s">
        <v>22</v>
      </c>
      <c r="F6368" s="9"/>
      <c r="G6368" s="5" t="s">
        <v>23</v>
      </c>
      <c r="H6368" s="5" t="s">
        <v>24</v>
      </c>
      <c r="I6368" s="5" t="s">
        <v>206</v>
      </c>
      <c r="J6368" s="5" t="s">
        <v>26</v>
      </c>
    </row>
    <row r="6369">
      <c r="A6369" s="6"/>
      <c r="B6369" s="6"/>
      <c r="C6369" s="8" t="s">
        <v>27</v>
      </c>
      <c r="D6369" s="8" t="s">
        <v>28</v>
      </c>
      <c r="E6369" s="8" t="s">
        <v>27</v>
      </c>
      <c r="F6369" s="8" t="s">
        <v>28</v>
      </c>
      <c r="G6369" s="6"/>
      <c r="H6369" s="6"/>
      <c r="I6369" s="10" t="s">
        <v>29</v>
      </c>
      <c r="J6369" s="6"/>
    </row>
    <row r="6370">
      <c r="A6370" s="11" t="s">
        <v>30</v>
      </c>
      <c r="B6370" s="12">
        <v>1278.0261</v>
      </c>
      <c r="C6370" s="12">
        <v>0</v>
      </c>
      <c r="D6370" s="13">
        <v>0</v>
      </c>
      <c r="E6370" s="12">
        <v>0</v>
      </c>
      <c r="F6370" s="14">
        <v>0</v>
      </c>
      <c r="G6370" s="13">
        <v>4486369.9281</v>
      </c>
      <c r="H6370" s="14">
        <v>5733697862.3669233</v>
      </c>
      <c r="I6370" s="14" t="e">
        <f>=Round(60284.62540000,0)</f>
        <v>#VALUE!</v>
      </c>
      <c r="J6370" s="14" t="e">
        <f>=Round(0.00000000,0)</f>
        <v>#VALUE!</v>
      </c>
    </row>
    <row r="6371">
      <c r="A6371" s="11" t="s">
        <v>31</v>
      </c>
      <c r="B6371" s="12">
        <v>1278.2299</v>
      </c>
      <c r="C6371" s="12">
        <v>0</v>
      </c>
      <c r="D6371" s="13">
        <v>0</v>
      </c>
      <c r="E6371" s="12">
        <v>0</v>
      </c>
      <c r="F6371" s="14">
        <v>0</v>
      </c>
      <c r="G6371" s="13">
        <v>4486369.9281</v>
      </c>
      <c r="H6371" s="14">
        <v>5734612184.55827</v>
      </c>
      <c r="I6371" s="14" t="e">
        <f>=Round(60313.48840000,0)</f>
        <v>#VALUE!</v>
      </c>
      <c r="J6371" s="14" t="e">
        <f>=Round(0.00000000,0)</f>
        <v>#VALUE!</v>
      </c>
    </row>
    <row r="6372">
      <c r="A6372" s="11" t="s">
        <v>32</v>
      </c>
      <c r="B6372" s="12">
        <v>1278.4335</v>
      </c>
      <c r="C6372" s="12">
        <v>0</v>
      </c>
      <c r="D6372" s="13">
        <v>0</v>
      </c>
      <c r="E6372" s="12">
        <v>0</v>
      </c>
      <c r="F6372" s="14">
        <v>0</v>
      </c>
      <c r="G6372" s="13">
        <v>4486369.9281</v>
      </c>
      <c r="H6372" s="14">
        <v>5735525609.4756308</v>
      </c>
      <c r="I6372" s="14" t="e">
        <f>=Round(60323.10630000,0)</f>
        <v>#VALUE!</v>
      </c>
      <c r="J6372" s="14" t="e">
        <f>=Round(0.00000000,0)</f>
        <v>#VALUE!</v>
      </c>
    </row>
    <row r="6373">
      <c r="A6373" s="11" t="s">
        <v>33</v>
      </c>
      <c r="B6373" s="12">
        <v>1278.6325</v>
      </c>
      <c r="C6373" s="12">
        <v>0</v>
      </c>
      <c r="D6373" s="13">
        <v>0</v>
      </c>
      <c r="E6373" s="12">
        <v>0</v>
      </c>
      <c r="F6373" s="14">
        <v>0</v>
      </c>
      <c r="G6373" s="13">
        <v>4486369.9281</v>
      </c>
      <c r="H6373" s="14">
        <v>5736418397.0913229</v>
      </c>
      <c r="I6373" s="14" t="e">
        <f>=Round(60332.71470000,0)</f>
        <v>#VALUE!</v>
      </c>
      <c r="J6373" s="14" t="e">
        <f>=Round(0.00000000,0)</f>
        <v>#VALUE!</v>
      </c>
    </row>
    <row r="6374">
      <c r="A6374" s="11" t="s">
        <v>34</v>
      </c>
      <c r="B6374" s="12">
        <v>1278.837</v>
      </c>
      <c r="C6374" s="12">
        <v>0</v>
      </c>
      <c r="D6374" s="13">
        <v>0</v>
      </c>
      <c r="E6374" s="12">
        <v>0</v>
      </c>
      <c r="F6374" s="14">
        <v>0</v>
      </c>
      <c r="G6374" s="13">
        <v>4486369.9281</v>
      </c>
      <c r="H6374" s="14">
        <v>5737335859.74162</v>
      </c>
      <c r="I6374" s="14" t="e">
        <f>=Round(60342.10610000,0)</f>
        <v>#VALUE!</v>
      </c>
      <c r="J6374" s="14" t="e">
        <f>=Round(0.00000000,0)</f>
        <v>#VALUE!</v>
      </c>
    </row>
    <row r="6375">
      <c r="A6375" s="11" t="s">
        <v>35</v>
      </c>
      <c r="B6375" s="12">
        <v>1278.837</v>
      </c>
      <c r="C6375" s="12">
        <v>0</v>
      </c>
      <c r="D6375" s="13">
        <v>0</v>
      </c>
      <c r="E6375" s="12">
        <v>0</v>
      </c>
      <c r="F6375" s="14">
        <v>0</v>
      </c>
      <c r="G6375" s="13">
        <v>4486369.9281</v>
      </c>
      <c r="H6375" s="14">
        <v>5737335859.74162</v>
      </c>
      <c r="I6375" s="14" t="e">
        <f>=Round(60351.75700000,0)</f>
        <v>#VALUE!</v>
      </c>
      <c r="J6375" s="14" t="e">
        <f>=Round(0.00000000,0)</f>
        <v>#VALUE!</v>
      </c>
    </row>
    <row r="6376">
      <c r="A6376" s="11" t="s">
        <v>36</v>
      </c>
      <c r="B6376" s="12">
        <v>1278.837</v>
      </c>
      <c r="C6376" s="12">
        <v>0</v>
      </c>
      <c r="D6376" s="13">
        <v>0</v>
      </c>
      <c r="E6376" s="12">
        <v>0</v>
      </c>
      <c r="F6376" s="14">
        <v>0</v>
      </c>
      <c r="G6376" s="13">
        <v>4486369.9281</v>
      </c>
      <c r="H6376" s="14">
        <v>5737335859.74162</v>
      </c>
      <c r="I6376" s="14" t="e">
        <f>=Round(60351.75700000,0)</f>
        <v>#VALUE!</v>
      </c>
      <c r="J6376" s="14" t="e">
        <f>=Round(0.00000000,0)</f>
        <v>#VALUE!</v>
      </c>
    </row>
    <row r="6377">
      <c r="A6377" s="11" t="s">
        <v>37</v>
      </c>
      <c r="B6377" s="12">
        <v>1279.4503</v>
      </c>
      <c r="C6377" s="12">
        <v>0</v>
      </c>
      <c r="D6377" s="13">
        <v>0</v>
      </c>
      <c r="E6377" s="12">
        <v>0</v>
      </c>
      <c r="F6377" s="14">
        <v>0</v>
      </c>
      <c r="G6377" s="13">
        <v>4486369.9281</v>
      </c>
      <c r="H6377" s="14">
        <v>5740087350.4185228</v>
      </c>
      <c r="I6377" s="14" t="e">
        <f>=Round(60351.75700000,0)</f>
        <v>#VALUE!</v>
      </c>
      <c r="J6377" s="14" t="e">
        <f>=Round(0.00000000,0)</f>
        <v>#VALUE!</v>
      </c>
    </row>
    <row r="6378">
      <c r="A6378" s="11" t="s">
        <v>38</v>
      </c>
      <c r="B6378" s="12">
        <v>1279.6545</v>
      </c>
      <c r="C6378" s="12">
        <v>0</v>
      </c>
      <c r="D6378" s="13">
        <v>0</v>
      </c>
      <c r="E6378" s="12">
        <v>0</v>
      </c>
      <c r="F6378" s="14">
        <v>0</v>
      </c>
      <c r="G6378" s="13">
        <v>4486369.9281</v>
      </c>
      <c r="H6378" s="14">
        <v>5741003467.1578407</v>
      </c>
      <c r="I6378" s="14" t="e">
        <f>=Round(60380.70030000,0)</f>
        <v>#VALUE!</v>
      </c>
      <c r="J6378" s="14" t="e">
        <f>=Round(0.00000000,0)</f>
        <v>#VALUE!</v>
      </c>
    </row>
    <row r="6379">
      <c r="A6379" s="11" t="s">
        <v>39</v>
      </c>
      <c r="B6379" s="12">
        <v>1279.8598</v>
      </c>
      <c r="C6379" s="12">
        <v>0</v>
      </c>
      <c r="D6379" s="13">
        <v>0</v>
      </c>
      <c r="E6379" s="12">
        <v>0</v>
      </c>
      <c r="F6379" s="14">
        <v>0</v>
      </c>
      <c r="G6379" s="13">
        <v>4486369.9281</v>
      </c>
      <c r="H6379" s="14">
        <v>5741924518.90408</v>
      </c>
      <c r="I6379" s="14" t="e">
        <f>=Round(60390.33700000,0)</f>
        <v>#VALUE!</v>
      </c>
      <c r="J6379" s="14" t="e">
        <f>=Round(0.00000000,0)</f>
        <v>#VALUE!</v>
      </c>
    </row>
    <row r="6380">
      <c r="A6380" s="11" t="s">
        <v>40</v>
      </c>
      <c r="B6380" s="12">
        <v>1280.0644</v>
      </c>
      <c r="C6380" s="12">
        <v>0</v>
      </c>
      <c r="D6380" s="13">
        <v>0</v>
      </c>
      <c r="E6380" s="12">
        <v>0</v>
      </c>
      <c r="F6380" s="14">
        <v>0</v>
      </c>
      <c r="G6380" s="13">
        <v>4486369.9281</v>
      </c>
      <c r="H6380" s="14">
        <v>5742842430.19137</v>
      </c>
      <c r="I6380" s="14" t="e">
        <f>=Round(60400.02570000,0)</f>
        <v>#VALUE!</v>
      </c>
      <c r="J6380" s="14" t="e">
        <f>=Round(0.00000000,0)</f>
        <v>#VALUE!</v>
      </c>
    </row>
    <row r="6381">
      <c r="A6381" s="11" t="s">
        <v>41</v>
      </c>
      <c r="B6381" s="12">
        <v>1280.2685</v>
      </c>
      <c r="C6381" s="12">
        <v>0</v>
      </c>
      <c r="D6381" s="13">
        <v>0</v>
      </c>
      <c r="E6381" s="12">
        <v>0</v>
      </c>
      <c r="F6381" s="14">
        <v>0</v>
      </c>
      <c r="G6381" s="13">
        <v>4486369.9281</v>
      </c>
      <c r="H6381" s="14">
        <v>5743758098.2936954</v>
      </c>
      <c r="I6381" s="14" t="e">
        <f>=Round(60409.68130000,0)</f>
        <v>#VALUE!</v>
      </c>
      <c r="J6381" s="14" t="e">
        <f>=Round(0.00000000,0)</f>
        <v>#VALUE!</v>
      </c>
    </row>
    <row r="6382">
      <c r="A6382" s="11" t="s">
        <v>42</v>
      </c>
      <c r="B6382" s="12">
        <v>1280.2685</v>
      </c>
      <c r="C6382" s="12">
        <v>0</v>
      </c>
      <c r="D6382" s="13">
        <v>0</v>
      </c>
      <c r="E6382" s="12">
        <v>0</v>
      </c>
      <c r="F6382" s="14">
        <v>0</v>
      </c>
      <c r="G6382" s="13">
        <v>4486369.9281</v>
      </c>
      <c r="H6382" s="14">
        <v>5743758098.2936954</v>
      </c>
      <c r="I6382" s="14" t="e">
        <f>=Round(60419.31330000,0)</f>
        <v>#VALUE!</v>
      </c>
      <c r="J6382" s="14" t="e">
        <f>=Round(0.00000000,0)</f>
        <v>#VALUE!</v>
      </c>
    </row>
    <row r="6383">
      <c r="A6383" s="11" t="s">
        <v>43</v>
      </c>
      <c r="B6383" s="12">
        <v>1280.2685</v>
      </c>
      <c r="C6383" s="12">
        <v>0</v>
      </c>
      <c r="D6383" s="13">
        <v>0</v>
      </c>
      <c r="E6383" s="12">
        <v>0</v>
      </c>
      <c r="F6383" s="14">
        <v>0</v>
      </c>
      <c r="G6383" s="13">
        <v>4486369.9281</v>
      </c>
      <c r="H6383" s="14">
        <v>5743758098.2936954</v>
      </c>
      <c r="I6383" s="14" t="e">
        <f>=Round(60419.31330000,0)</f>
        <v>#VALUE!</v>
      </c>
      <c r="J6383" s="14" t="e">
        <f>=Round(0.00000000,0)</f>
        <v>#VALUE!</v>
      </c>
    </row>
    <row r="6384">
      <c r="A6384" s="11" t="s">
        <v>44</v>
      </c>
      <c r="B6384" s="12">
        <v>1280.8839</v>
      </c>
      <c r="C6384" s="12">
        <v>0</v>
      </c>
      <c r="D6384" s="13">
        <v>0</v>
      </c>
      <c r="E6384" s="12">
        <v>0</v>
      </c>
      <c r="F6384" s="14">
        <v>0</v>
      </c>
      <c r="G6384" s="13">
        <v>4486369.9281</v>
      </c>
      <c r="H6384" s="14">
        <v>5746519010.3474483</v>
      </c>
      <c r="I6384" s="14" t="e">
        <f>=Round(60419.31330000,0)</f>
        <v>#VALUE!</v>
      </c>
      <c r="J6384" s="14" t="e">
        <f>=Round(0.00000000,0)</f>
        <v>#VALUE!</v>
      </c>
    </row>
    <row r="6385">
      <c r="A6385" s="11" t="s">
        <v>45</v>
      </c>
      <c r="B6385" s="12">
        <v>1281.0899</v>
      </c>
      <c r="C6385" s="12">
        <v>0</v>
      </c>
      <c r="D6385" s="13">
        <v>0</v>
      </c>
      <c r="E6385" s="12">
        <v>0</v>
      </c>
      <c r="F6385" s="14">
        <v>0</v>
      </c>
      <c r="G6385" s="13">
        <v>4486369.9281</v>
      </c>
      <c r="H6385" s="14">
        <v>5747443202.5526361</v>
      </c>
      <c r="I6385" s="14" t="e">
        <f>=Round(60448.35570000,0)</f>
        <v>#VALUE!</v>
      </c>
      <c r="J6385" s="14" t="e">
        <f>=Round(0.00000000,0)</f>
        <v>#VALUE!</v>
      </c>
    </row>
    <row r="6386">
      <c r="A6386" s="11" t="s">
        <v>46</v>
      </c>
      <c r="B6386" s="12">
        <v>1281.2941</v>
      </c>
      <c r="C6386" s="12">
        <v>0</v>
      </c>
      <c r="D6386" s="13">
        <v>0</v>
      </c>
      <c r="E6386" s="12">
        <v>0</v>
      </c>
      <c r="F6386" s="14">
        <v>0</v>
      </c>
      <c r="G6386" s="13">
        <v>4486369.9281</v>
      </c>
      <c r="H6386" s="14">
        <v>5748359319.291954</v>
      </c>
      <c r="I6386" s="14" t="e">
        <f>=Round(60458.07740000,0)</f>
        <v>#VALUE!</v>
      </c>
      <c r="J6386" s="14" t="e">
        <f>=Round(0.00000000,0)</f>
        <v>#VALUE!</v>
      </c>
    </row>
    <row r="6387">
      <c r="A6387" s="11" t="s">
        <v>47</v>
      </c>
      <c r="B6387" s="12">
        <v>1281.4992</v>
      </c>
      <c r="C6387" s="12">
        <v>0</v>
      </c>
      <c r="D6387" s="13">
        <v>0</v>
      </c>
      <c r="E6387" s="12">
        <v>0</v>
      </c>
      <c r="F6387" s="14">
        <v>0</v>
      </c>
      <c r="G6387" s="13">
        <v>4486369.9281</v>
      </c>
      <c r="H6387" s="14">
        <v>5749279473.7642078</v>
      </c>
      <c r="I6387" s="14" t="e">
        <f>=Round(60467.71420000,0)</f>
        <v>#VALUE!</v>
      </c>
      <c r="J6387" s="14" t="e">
        <f>=Round(0.00000000,0)</f>
        <v>#VALUE!</v>
      </c>
    </row>
    <row r="6388">
      <c r="A6388" s="11" t="s">
        <v>48</v>
      </c>
      <c r="B6388" s="12">
        <v>1281.706</v>
      </c>
      <c r="C6388" s="12">
        <v>0</v>
      </c>
      <c r="D6388" s="13">
        <v>0</v>
      </c>
      <c r="E6388" s="12">
        <v>0</v>
      </c>
      <c r="F6388" s="14">
        <v>0</v>
      </c>
      <c r="G6388" s="13">
        <v>4486369.9281</v>
      </c>
      <c r="H6388" s="14">
        <v>5750207255.0653391</v>
      </c>
      <c r="I6388" s="14" t="e">
        <f>=Round(60477.39340000,0)</f>
        <v>#VALUE!</v>
      </c>
      <c r="J6388" s="14" t="e">
        <f>=Round(0.00000000,0)</f>
        <v>#VALUE!</v>
      </c>
    </row>
    <row r="6389">
      <c r="A6389" s="11" t="s">
        <v>49</v>
      </c>
      <c r="B6389" s="12">
        <v>1281.706</v>
      </c>
      <c r="C6389" s="12">
        <v>0</v>
      </c>
      <c r="D6389" s="13">
        <v>0</v>
      </c>
      <c r="E6389" s="12">
        <v>0</v>
      </c>
      <c r="F6389" s="14">
        <v>0</v>
      </c>
      <c r="G6389" s="13">
        <v>4486369.9281</v>
      </c>
      <c r="H6389" s="14">
        <v>5750207255.0653391</v>
      </c>
      <c r="I6389" s="14" t="e">
        <f>=Round(60487.15280000,0)</f>
        <v>#VALUE!</v>
      </c>
      <c r="J6389" s="14" t="e">
        <f>=Round(0.00000000,0)</f>
        <v>#VALUE!</v>
      </c>
    </row>
    <row r="6390">
      <c r="A6390" s="11" t="s">
        <v>50</v>
      </c>
      <c r="B6390" s="12">
        <v>1281.706</v>
      </c>
      <c r="C6390" s="12">
        <v>0</v>
      </c>
      <c r="D6390" s="13">
        <v>0</v>
      </c>
      <c r="E6390" s="12">
        <v>0</v>
      </c>
      <c r="F6390" s="14">
        <v>0</v>
      </c>
      <c r="G6390" s="13">
        <v>4486369.9281</v>
      </c>
      <c r="H6390" s="14">
        <v>5750207255.0653391</v>
      </c>
      <c r="I6390" s="14" t="e">
        <f>=Round(60487.15280000,0)</f>
        <v>#VALUE!</v>
      </c>
      <c r="J6390" s="14" t="e">
        <f>=Round(0.00000000,0)</f>
        <v>#VALUE!</v>
      </c>
    </row>
    <row r="6391">
      <c r="A6391" s="11" t="s">
        <v>51</v>
      </c>
      <c r="B6391" s="12">
        <v>1282.3206</v>
      </c>
      <c r="C6391" s="12">
        <v>0</v>
      </c>
      <c r="D6391" s="13">
        <v>0</v>
      </c>
      <c r="E6391" s="12">
        <v>0</v>
      </c>
      <c r="F6391" s="14">
        <v>0</v>
      </c>
      <c r="G6391" s="13">
        <v>4486369.9281</v>
      </c>
      <c r="H6391" s="14">
        <v>5752964578.0231485</v>
      </c>
      <c r="I6391" s="14" t="e">
        <f>=Round(60487.15280000,0)</f>
        <v>#VALUE!</v>
      </c>
      <c r="J6391" s="14" t="e">
        <f>=Round(0.00000000,0)</f>
        <v>#VALUE!</v>
      </c>
    </row>
    <row r="6392">
      <c r="A6392" s="11" t="s">
        <v>52</v>
      </c>
      <c r="B6392" s="12">
        <v>1282.524</v>
      </c>
      <c r="C6392" s="12">
        <v>0</v>
      </c>
      <c r="D6392" s="13">
        <v>0</v>
      </c>
      <c r="E6392" s="12">
        <v>0</v>
      </c>
      <c r="F6392" s="14">
        <v>0</v>
      </c>
      <c r="G6392" s="13">
        <v>4486369.9281</v>
      </c>
      <c r="H6392" s="14">
        <v>5753877105.6665239</v>
      </c>
      <c r="I6392" s="14" t="e">
        <f>=Round(60516.15740000,0)</f>
        <v>#VALUE!</v>
      </c>
      <c r="J6392" s="14" t="e">
        <f>=Round(0.00000000,0)</f>
        <v>#VALUE!</v>
      </c>
    </row>
    <row r="6393">
      <c r="A6393" s="11" t="s">
        <v>53</v>
      </c>
      <c r="B6393" s="12">
        <v>1282.7292</v>
      </c>
      <c r="C6393" s="12">
        <v>0</v>
      </c>
      <c r="D6393" s="13">
        <v>0</v>
      </c>
      <c r="E6393" s="12">
        <v>0</v>
      </c>
      <c r="F6393" s="14">
        <v>0</v>
      </c>
      <c r="G6393" s="13">
        <v>4486369.9281</v>
      </c>
      <c r="H6393" s="14">
        <v>5754797708.7757711</v>
      </c>
      <c r="I6393" s="14" t="e">
        <f>=Round(60525.75640000,0)</f>
        <v>#VALUE!</v>
      </c>
      <c r="J6393" s="14" t="e">
        <f>=Round(0.00000000,0)</f>
        <v>#VALUE!</v>
      </c>
    </row>
    <row r="6394">
      <c r="A6394" s="11" t="s">
        <v>54</v>
      </c>
      <c r="B6394" s="12">
        <v>1282.9343</v>
      </c>
      <c r="C6394" s="12">
        <v>0</v>
      </c>
      <c r="D6394" s="13">
        <v>0</v>
      </c>
      <c r="E6394" s="12">
        <v>0</v>
      </c>
      <c r="F6394" s="14">
        <v>0</v>
      </c>
      <c r="G6394" s="13">
        <v>4486369.9281</v>
      </c>
      <c r="H6394" s="14">
        <v>5755717863.248024</v>
      </c>
      <c r="I6394" s="14" t="e">
        <f>=Round(60535.44040000,0)</f>
        <v>#VALUE!</v>
      </c>
      <c r="J6394" s="14" t="e">
        <f>=Round(0.00000000,0)</f>
        <v>#VALUE!</v>
      </c>
    </row>
    <row r="6395">
      <c r="A6395" s="11" t="s">
        <v>55</v>
      </c>
      <c r="B6395" s="12">
        <v>1283.1158</v>
      </c>
      <c r="C6395" s="12">
        <v>0</v>
      </c>
      <c r="D6395" s="13">
        <v>0</v>
      </c>
      <c r="E6395" s="12">
        <v>0</v>
      </c>
      <c r="F6395" s="14">
        <v>0</v>
      </c>
      <c r="G6395" s="13">
        <v>4486369.9281</v>
      </c>
      <c r="H6395" s="14">
        <v>5756532139.3899736</v>
      </c>
      <c r="I6395" s="14" t="e">
        <f>=Round(60545.11960000,0)</f>
        <v>#VALUE!</v>
      </c>
      <c r="J6395" s="14" t="e">
        <f>=Round(0.00000000,0)</f>
        <v>#VALUE!</v>
      </c>
    </row>
    <row r="6396" ht="-1">
      <c r="A6396" s="15"/>
      <c r="B6396" s="16" t="s">
        <v>56</v>
      </c>
      <c r="C6396" s="15"/>
      <c r="D6396" s="15"/>
      <c r="E6396" s="15"/>
      <c r="F6396" s="15"/>
      <c r="G6396" s="15"/>
      <c r="H6396" s="15"/>
      <c r="I6396" s="17" t="e">
        <f>=Round(SUM(I6370:I6395),0)</f>
        <v>#VALUE!</v>
      </c>
      <c r="J6396" s="17" t="e">
        <f>=Round(SUM(J6370:J6395),0)</f>
        <v>#VALUE!</v>
      </c>
    </row>
    <row r="6397">
      <c r="A6397" s="1" t="s">
        <v>0</v>
      </c>
      <c r="B6397" s="1"/>
      <c r="C6397" s="1"/>
      <c r="D6397" s="1"/>
    </row>
    <row r="6398">
      <c r="A6398" s="0" t="s">
        <v>1</v>
      </c>
      <c r="C6398" s="0" t="s">
        <v>234</v>
      </c>
      <c r="H6398" s="2" t="s">
        <v>3</v>
      </c>
    </row>
    <row r="6399">
      <c r="A6399" s="0" t="s">
        <v>4</v>
      </c>
      <c r="C6399" s="0" t="s">
        <v>240</v>
      </c>
      <c r="H6399" s="3" t="s">
        <v>6</v>
      </c>
    </row>
    <row r="6400">
      <c r="A6400" s="0" t="s">
        <v>7</v>
      </c>
      <c r="C6400" s="4" t="s">
        <v>205</v>
      </c>
      <c r="H6400" s="2" t="s">
        <v>9</v>
      </c>
    </row>
    <row r="6401">
      <c r="A6401" s="0" t="s">
        <v>10</v>
      </c>
      <c r="C6401" s="4" t="s">
        <v>11</v>
      </c>
      <c r="H6401" s="2" t="s">
        <v>12</v>
      </c>
    </row>
    <row r="6402">
      <c r="A6402" s="0" t="s">
        <v>13</v>
      </c>
      <c r="C6402" s="0" t="s">
        <v>14</v>
      </c>
    </row>
    <row r="6403">
      <c r="A6403" s="0" t="s">
        <v>15</v>
      </c>
      <c r="C6403" s="0" t="s">
        <v>16</v>
      </c>
    </row>
    <row r="6404">
      <c r="A6404" s="0" t="s">
        <v>17</v>
      </c>
      <c r="C6404" s="0" t="s">
        <v>18</v>
      </c>
    </row>
    <row r="6407">
      <c r="A6407" s="5" t="s">
        <v>19</v>
      </c>
      <c r="B6407" s="5" t="s">
        <v>20</v>
      </c>
      <c r="C6407" s="7" t="s">
        <v>21</v>
      </c>
      <c r="D6407" s="9"/>
      <c r="E6407" s="7" t="s">
        <v>22</v>
      </c>
      <c r="F6407" s="9"/>
      <c r="G6407" s="5" t="s">
        <v>23</v>
      </c>
      <c r="H6407" s="5" t="s">
        <v>24</v>
      </c>
      <c r="I6407" s="5" t="s">
        <v>206</v>
      </c>
      <c r="J6407" s="5" t="s">
        <v>26</v>
      </c>
    </row>
    <row r="6408">
      <c r="A6408" s="6"/>
      <c r="B6408" s="6"/>
      <c r="C6408" s="8" t="s">
        <v>27</v>
      </c>
      <c r="D6408" s="8" t="s">
        <v>28</v>
      </c>
      <c r="E6408" s="8" t="s">
        <v>27</v>
      </c>
      <c r="F6408" s="8" t="s">
        <v>28</v>
      </c>
      <c r="G6408" s="6"/>
      <c r="H6408" s="6"/>
      <c r="I6408" s="10" t="s">
        <v>29</v>
      </c>
      <c r="J6408" s="6"/>
    </row>
    <row r="6409">
      <c r="A6409" s="11" t="s">
        <v>30</v>
      </c>
      <c r="B6409" s="12">
        <v>1278.0261</v>
      </c>
      <c r="C6409" s="12">
        <v>0</v>
      </c>
      <c r="D6409" s="13">
        <v>0</v>
      </c>
      <c r="E6409" s="12">
        <v>0</v>
      </c>
      <c r="F6409" s="14">
        <v>0</v>
      </c>
      <c r="G6409" s="13">
        <v>3952598.5432</v>
      </c>
      <c r="H6409" s="14">
        <v>5051524101.0315781</v>
      </c>
      <c r="I6409" s="14" t="e">
        <f>=Round(53112.18790000,0)</f>
        <v>#VALUE!</v>
      </c>
      <c r="J6409" s="14" t="e">
        <f>=Round(0.00000000,0)</f>
        <v>#VALUE!</v>
      </c>
    </row>
    <row r="6410">
      <c r="A6410" s="11" t="s">
        <v>31</v>
      </c>
      <c r="B6410" s="12">
        <v>1278.2299</v>
      </c>
      <c r="C6410" s="12">
        <v>0</v>
      </c>
      <c r="D6410" s="13">
        <v>0</v>
      </c>
      <c r="E6410" s="12">
        <v>0</v>
      </c>
      <c r="F6410" s="14">
        <v>0</v>
      </c>
      <c r="G6410" s="13">
        <v>3952598.5432</v>
      </c>
      <c r="H6410" s="14">
        <v>5052329640.6146822</v>
      </c>
      <c r="I6410" s="14" t="e">
        <f>=Round(53137.61690000,0)</f>
        <v>#VALUE!</v>
      </c>
      <c r="J6410" s="14" t="e">
        <f>=Round(0.00000000,0)</f>
        <v>#VALUE!</v>
      </c>
    </row>
    <row r="6411">
      <c r="A6411" s="11" t="s">
        <v>32</v>
      </c>
      <c r="B6411" s="12">
        <v>1278.4335</v>
      </c>
      <c r="C6411" s="12">
        <v>0</v>
      </c>
      <c r="D6411" s="13">
        <v>0</v>
      </c>
      <c r="E6411" s="12">
        <v>0</v>
      </c>
      <c r="F6411" s="14">
        <v>0</v>
      </c>
      <c r="G6411" s="13">
        <v>3952598.5432</v>
      </c>
      <c r="H6411" s="14">
        <v>5053134389.6780767</v>
      </c>
      <c r="I6411" s="14" t="e">
        <f>=Round(53146.09050000,0)</f>
        <v>#VALUE!</v>
      </c>
      <c r="J6411" s="14" t="e">
        <f>=Round(0.00000000,0)</f>
        <v>#VALUE!</v>
      </c>
    </row>
    <row r="6412">
      <c r="A6412" s="11" t="s">
        <v>33</v>
      </c>
      <c r="B6412" s="12">
        <v>1278.6325</v>
      </c>
      <c r="C6412" s="12">
        <v>0</v>
      </c>
      <c r="D6412" s="13">
        <v>0</v>
      </c>
      <c r="E6412" s="12">
        <v>0</v>
      </c>
      <c r="F6412" s="14">
        <v>0</v>
      </c>
      <c r="G6412" s="13">
        <v>3952598.5432</v>
      </c>
      <c r="H6412" s="14">
        <v>5053920956.7881737</v>
      </c>
      <c r="I6412" s="14" t="e">
        <f>=Round(53154.55570000,0)</f>
        <v>#VALUE!</v>
      </c>
      <c r="J6412" s="14" t="e">
        <f>=Round(0.00000000,0)</f>
        <v>#VALUE!</v>
      </c>
    </row>
    <row r="6413">
      <c r="A6413" s="11" t="s">
        <v>34</v>
      </c>
      <c r="B6413" s="12">
        <v>1278.837</v>
      </c>
      <c r="C6413" s="12">
        <v>0</v>
      </c>
      <c r="D6413" s="13">
        <v>0</v>
      </c>
      <c r="E6413" s="12">
        <v>0</v>
      </c>
      <c r="F6413" s="14">
        <v>0</v>
      </c>
      <c r="G6413" s="13">
        <v>3952598.5432</v>
      </c>
      <c r="H6413" s="14">
        <v>5054729263.190258</v>
      </c>
      <c r="I6413" s="14" t="e">
        <f>=Round(53162.82970000,0)</f>
        <v>#VALUE!</v>
      </c>
      <c r="J6413" s="14" t="e">
        <f>=Round(0.00000000,0)</f>
        <v>#VALUE!</v>
      </c>
    </row>
    <row r="6414">
      <c r="A6414" s="11" t="s">
        <v>35</v>
      </c>
      <c r="B6414" s="12">
        <v>1278.837</v>
      </c>
      <c r="C6414" s="12">
        <v>0</v>
      </c>
      <c r="D6414" s="13">
        <v>0</v>
      </c>
      <c r="E6414" s="12">
        <v>0</v>
      </c>
      <c r="F6414" s="14">
        <v>0</v>
      </c>
      <c r="G6414" s="13">
        <v>3952598.5432</v>
      </c>
      <c r="H6414" s="14">
        <v>5054729263.190258</v>
      </c>
      <c r="I6414" s="14" t="e">
        <f>=Round(53171.33240000,0)</f>
        <v>#VALUE!</v>
      </c>
      <c r="J6414" s="14" t="e">
        <f>=Round(0.00000000,0)</f>
        <v>#VALUE!</v>
      </c>
    </row>
    <row r="6415">
      <c r="A6415" s="11" t="s">
        <v>36</v>
      </c>
      <c r="B6415" s="12">
        <v>1278.837</v>
      </c>
      <c r="C6415" s="12">
        <v>0</v>
      </c>
      <c r="D6415" s="13">
        <v>0</v>
      </c>
      <c r="E6415" s="12">
        <v>0</v>
      </c>
      <c r="F6415" s="14">
        <v>0</v>
      </c>
      <c r="G6415" s="13">
        <v>3952598.5432</v>
      </c>
      <c r="H6415" s="14">
        <v>5054729263.190258</v>
      </c>
      <c r="I6415" s="14" t="e">
        <f>=Round(53171.33240000,0)</f>
        <v>#VALUE!</v>
      </c>
      <c r="J6415" s="14" t="e">
        <f>=Round(0.00000000,0)</f>
        <v>#VALUE!</v>
      </c>
    </row>
    <row r="6416">
      <c r="A6416" s="11" t="s">
        <v>37</v>
      </c>
      <c r="B6416" s="12">
        <v>1279.4503</v>
      </c>
      <c r="C6416" s="12">
        <v>0</v>
      </c>
      <c r="D6416" s="13">
        <v>0</v>
      </c>
      <c r="E6416" s="12">
        <v>0</v>
      </c>
      <c r="F6416" s="14">
        <v>0</v>
      </c>
      <c r="G6416" s="13">
        <v>3952598.5432</v>
      </c>
      <c r="H6416" s="14">
        <v>5057153391.8768034</v>
      </c>
      <c r="I6416" s="14" t="e">
        <f>=Round(53171.33240000,0)</f>
        <v>#VALUE!</v>
      </c>
      <c r="J6416" s="14" t="e">
        <f>=Round(0.00000000,0)</f>
        <v>#VALUE!</v>
      </c>
    </row>
    <row r="6417">
      <c r="A6417" s="11" t="s">
        <v>38</v>
      </c>
      <c r="B6417" s="12">
        <v>1279.6545</v>
      </c>
      <c r="C6417" s="12">
        <v>0</v>
      </c>
      <c r="D6417" s="13">
        <v>0</v>
      </c>
      <c r="E6417" s="12">
        <v>0</v>
      </c>
      <c r="F6417" s="14">
        <v>0</v>
      </c>
      <c r="G6417" s="13">
        <v>3952598.5432</v>
      </c>
      <c r="H6417" s="14">
        <v>5057960512.4993238</v>
      </c>
      <c r="I6417" s="14" t="e">
        <f>=Round(53196.83210000,0)</f>
        <v>#VALUE!</v>
      </c>
      <c r="J6417" s="14" t="e">
        <f>=Round(0.00000000,0)</f>
        <v>#VALUE!</v>
      </c>
    </row>
    <row r="6418">
      <c r="A6418" s="11" t="s">
        <v>39</v>
      </c>
      <c r="B6418" s="12">
        <v>1279.8598</v>
      </c>
      <c r="C6418" s="12">
        <v>0</v>
      </c>
      <c r="D6418" s="13">
        <v>0</v>
      </c>
      <c r="E6418" s="12">
        <v>0</v>
      </c>
      <c r="F6418" s="14">
        <v>0</v>
      </c>
      <c r="G6418" s="13">
        <v>3952598.5432</v>
      </c>
      <c r="H6418" s="14">
        <v>5058771980.9802427</v>
      </c>
      <c r="I6418" s="14" t="e">
        <f>=Round(53205.32230000,0)</f>
        <v>#VALUE!</v>
      </c>
      <c r="J6418" s="14" t="e">
        <f>=Round(0.00000000,0)</f>
        <v>#VALUE!</v>
      </c>
    </row>
    <row r="6419">
      <c r="A6419" s="11" t="s">
        <v>40</v>
      </c>
      <c r="B6419" s="12">
        <v>1280.0644</v>
      </c>
      <c r="C6419" s="12">
        <v>0</v>
      </c>
      <c r="D6419" s="13">
        <v>0</v>
      </c>
      <c r="E6419" s="12">
        <v>0</v>
      </c>
      <c r="F6419" s="14">
        <v>0</v>
      </c>
      <c r="G6419" s="13">
        <v>3952598.5432</v>
      </c>
      <c r="H6419" s="14">
        <v>5059580682.6421824</v>
      </c>
      <c r="I6419" s="14" t="e">
        <f>=Round(53213.85830000,0)</f>
        <v>#VALUE!</v>
      </c>
      <c r="J6419" s="14" t="e">
        <f>=Round(0.00000000,0)</f>
        <v>#VALUE!</v>
      </c>
    </row>
    <row r="6420">
      <c r="A6420" s="11" t="s">
        <v>41</v>
      </c>
      <c r="B6420" s="12">
        <v>1280.2685</v>
      </c>
      <c r="C6420" s="12">
        <v>0</v>
      </c>
      <c r="D6420" s="13">
        <v>0</v>
      </c>
      <c r="E6420" s="12">
        <v>0</v>
      </c>
      <c r="F6420" s="14">
        <v>0</v>
      </c>
      <c r="G6420" s="13">
        <v>3952598.5432</v>
      </c>
      <c r="H6420" s="14">
        <v>5060387408.0048494</v>
      </c>
      <c r="I6420" s="14" t="e">
        <f>=Round(53222.36510000,0)</f>
        <v>#VALUE!</v>
      </c>
      <c r="J6420" s="14" t="e">
        <f>=Round(0.00000000,0)</f>
        <v>#VALUE!</v>
      </c>
    </row>
    <row r="6421">
      <c r="A6421" s="11" t="s">
        <v>42</v>
      </c>
      <c r="B6421" s="12">
        <v>1280.2685</v>
      </c>
      <c r="C6421" s="12">
        <v>0</v>
      </c>
      <c r="D6421" s="13">
        <v>0</v>
      </c>
      <c r="E6421" s="12">
        <v>0</v>
      </c>
      <c r="F6421" s="14">
        <v>0</v>
      </c>
      <c r="G6421" s="13">
        <v>3952598.5432</v>
      </c>
      <c r="H6421" s="14">
        <v>5060387408.0048494</v>
      </c>
      <c r="I6421" s="14" t="e">
        <f>=Round(53230.85110000,0)</f>
        <v>#VALUE!</v>
      </c>
      <c r="J6421" s="14" t="e">
        <f>=Round(0.00000000,0)</f>
        <v>#VALUE!</v>
      </c>
    </row>
    <row r="6422">
      <c r="A6422" s="11" t="s">
        <v>43</v>
      </c>
      <c r="B6422" s="12">
        <v>1280.2685</v>
      </c>
      <c r="C6422" s="12">
        <v>0</v>
      </c>
      <c r="D6422" s="13">
        <v>0</v>
      </c>
      <c r="E6422" s="12">
        <v>0</v>
      </c>
      <c r="F6422" s="14">
        <v>0</v>
      </c>
      <c r="G6422" s="13">
        <v>3952598.5432</v>
      </c>
      <c r="H6422" s="14">
        <v>5060387408.0048494</v>
      </c>
      <c r="I6422" s="14" t="e">
        <f>=Round(53230.85110000,0)</f>
        <v>#VALUE!</v>
      </c>
      <c r="J6422" s="14" t="e">
        <f>=Round(0.00000000,0)</f>
        <v>#VALUE!</v>
      </c>
    </row>
    <row r="6423">
      <c r="A6423" s="11" t="s">
        <v>44</v>
      </c>
      <c r="B6423" s="12">
        <v>1280.8839</v>
      </c>
      <c r="C6423" s="12">
        <v>0</v>
      </c>
      <c r="D6423" s="13">
        <v>0</v>
      </c>
      <c r="E6423" s="12">
        <v>0</v>
      </c>
      <c r="F6423" s="14">
        <v>0</v>
      </c>
      <c r="G6423" s="13">
        <v>3952598.5432</v>
      </c>
      <c r="H6423" s="14">
        <v>5062819837.1483335</v>
      </c>
      <c r="I6423" s="14" t="e">
        <f>=Round(53230.85110000,0)</f>
        <v>#VALUE!</v>
      </c>
      <c r="J6423" s="14" t="e">
        <f>=Round(0.00000000,0)</f>
        <v>#VALUE!</v>
      </c>
    </row>
    <row r="6424">
      <c r="A6424" s="11" t="s">
        <v>45</v>
      </c>
      <c r="B6424" s="12">
        <v>1281.0899</v>
      </c>
      <c r="C6424" s="12">
        <v>0</v>
      </c>
      <c r="D6424" s="13">
        <v>0</v>
      </c>
      <c r="E6424" s="12">
        <v>0</v>
      </c>
      <c r="F6424" s="14">
        <v>0</v>
      </c>
      <c r="G6424" s="13">
        <v>3952598.5432</v>
      </c>
      <c r="H6424" s="14">
        <v>5063634072.4482336</v>
      </c>
      <c r="I6424" s="14" t="e">
        <f>=Round(53256.43820000,0)</f>
        <v>#VALUE!</v>
      </c>
      <c r="J6424" s="14" t="e">
        <f>=Round(0.00000000,0)</f>
        <v>#VALUE!</v>
      </c>
    </row>
    <row r="6425">
      <c r="A6425" s="11" t="s">
        <v>46</v>
      </c>
      <c r="B6425" s="12">
        <v>1281.2941</v>
      </c>
      <c r="C6425" s="12">
        <v>0</v>
      </c>
      <c r="D6425" s="13">
        <v>0</v>
      </c>
      <c r="E6425" s="12">
        <v>0</v>
      </c>
      <c r="F6425" s="14">
        <v>0</v>
      </c>
      <c r="G6425" s="13">
        <v>3952598.5432</v>
      </c>
      <c r="H6425" s="14">
        <v>5064441193.070755</v>
      </c>
      <c r="I6425" s="14" t="e">
        <f>=Round(53265.00320000,0)</f>
        <v>#VALUE!</v>
      </c>
      <c r="J6425" s="14" t="e">
        <f>=Round(0.00000000,0)</f>
        <v>#VALUE!</v>
      </c>
    </row>
    <row r="6426">
      <c r="A6426" s="11" t="s">
        <v>47</v>
      </c>
      <c r="B6426" s="12">
        <v>1281.4992</v>
      </c>
      <c r="C6426" s="12">
        <v>0</v>
      </c>
      <c r="D6426" s="13">
        <v>0</v>
      </c>
      <c r="E6426" s="12">
        <v>0</v>
      </c>
      <c r="F6426" s="14">
        <v>0</v>
      </c>
      <c r="G6426" s="13">
        <v>3952598.5432</v>
      </c>
      <c r="H6426" s="14">
        <v>5065251871.0319653</v>
      </c>
      <c r="I6426" s="14" t="e">
        <f>=Round(53273.49340000,0)</f>
        <v>#VALUE!</v>
      </c>
      <c r="J6426" s="14" t="e">
        <f>=Round(0.00000000,0)</f>
        <v>#VALUE!</v>
      </c>
    </row>
    <row r="6427">
      <c r="A6427" s="11" t="s">
        <v>48</v>
      </c>
      <c r="B6427" s="12">
        <v>1281.706</v>
      </c>
      <c r="C6427" s="12">
        <v>0</v>
      </c>
      <c r="D6427" s="13">
        <v>0</v>
      </c>
      <c r="E6427" s="12">
        <v>0</v>
      </c>
      <c r="F6427" s="14">
        <v>0</v>
      </c>
      <c r="G6427" s="13">
        <v>3952598.5432</v>
      </c>
      <c r="H6427" s="14">
        <v>5066069268.4106989</v>
      </c>
      <c r="I6427" s="14" t="e">
        <f>=Round(53282.02100000,0)</f>
        <v>#VALUE!</v>
      </c>
      <c r="J6427" s="14" t="e">
        <f>=Round(0.00000000,0)</f>
        <v>#VALUE!</v>
      </c>
    </row>
    <row r="6428">
      <c r="A6428" s="11" t="s">
        <v>49</v>
      </c>
      <c r="B6428" s="12">
        <v>1281.706</v>
      </c>
      <c r="C6428" s="12">
        <v>0</v>
      </c>
      <c r="D6428" s="13">
        <v>0</v>
      </c>
      <c r="E6428" s="12">
        <v>0</v>
      </c>
      <c r="F6428" s="14">
        <v>0</v>
      </c>
      <c r="G6428" s="13">
        <v>3952598.5432</v>
      </c>
      <c r="H6428" s="14">
        <v>5066069268.4106989</v>
      </c>
      <c r="I6428" s="14" t="e">
        <f>=Round(53290.61940000,0)</f>
        <v>#VALUE!</v>
      </c>
      <c r="J6428" s="14" t="e">
        <f>=Round(0.00000000,0)</f>
        <v>#VALUE!</v>
      </c>
    </row>
    <row r="6429">
      <c r="A6429" s="11" t="s">
        <v>50</v>
      </c>
      <c r="B6429" s="12">
        <v>1281.706</v>
      </c>
      <c r="C6429" s="12">
        <v>0</v>
      </c>
      <c r="D6429" s="13">
        <v>0</v>
      </c>
      <c r="E6429" s="12">
        <v>0</v>
      </c>
      <c r="F6429" s="14">
        <v>0</v>
      </c>
      <c r="G6429" s="13">
        <v>3952598.5432</v>
      </c>
      <c r="H6429" s="14">
        <v>5066069268.4106989</v>
      </c>
      <c r="I6429" s="14" t="e">
        <f>=Round(53290.61940000,0)</f>
        <v>#VALUE!</v>
      </c>
      <c r="J6429" s="14" t="e">
        <f>=Round(0.00000000,0)</f>
        <v>#VALUE!</v>
      </c>
    </row>
    <row r="6430">
      <c r="A6430" s="11" t="s">
        <v>51</v>
      </c>
      <c r="B6430" s="12">
        <v>1282.3206</v>
      </c>
      <c r="C6430" s="12">
        <v>0</v>
      </c>
      <c r="D6430" s="13">
        <v>0</v>
      </c>
      <c r="E6430" s="12">
        <v>0</v>
      </c>
      <c r="F6430" s="14">
        <v>0</v>
      </c>
      <c r="G6430" s="13">
        <v>3952598.5432</v>
      </c>
      <c r="H6430" s="14">
        <v>5068498535.47535</v>
      </c>
      <c r="I6430" s="14" t="e">
        <f>=Round(53290.61940000,0)</f>
        <v>#VALUE!</v>
      </c>
      <c r="J6430" s="14" t="e">
        <f>=Round(0.00000000,0)</f>
        <v>#VALUE!</v>
      </c>
    </row>
    <row r="6431">
      <c r="A6431" s="11" t="s">
        <v>52</v>
      </c>
      <c r="B6431" s="12">
        <v>1282.524</v>
      </c>
      <c r="C6431" s="12">
        <v>0</v>
      </c>
      <c r="D6431" s="13">
        <v>0</v>
      </c>
      <c r="E6431" s="12">
        <v>0</v>
      </c>
      <c r="F6431" s="14">
        <v>0</v>
      </c>
      <c r="G6431" s="13">
        <v>3952598.5432</v>
      </c>
      <c r="H6431" s="14">
        <v>5069302494.0190372</v>
      </c>
      <c r="I6431" s="14" t="e">
        <f>=Round(53316.17310000,0)</f>
        <v>#VALUE!</v>
      </c>
      <c r="J6431" s="14" t="e">
        <f>=Round(0.00000000,0)</f>
        <v>#VALUE!</v>
      </c>
    </row>
    <row r="6432">
      <c r="A6432" s="11" t="s">
        <v>53</v>
      </c>
      <c r="B6432" s="12">
        <v>1282.7292</v>
      </c>
      <c r="C6432" s="12">
        <v>0</v>
      </c>
      <c r="D6432" s="13">
        <v>0</v>
      </c>
      <c r="E6432" s="12">
        <v>0</v>
      </c>
      <c r="F6432" s="14">
        <v>0</v>
      </c>
      <c r="G6432" s="13">
        <v>3952598.5432</v>
      </c>
      <c r="H6432" s="14">
        <v>5070113567.2401009</v>
      </c>
      <c r="I6432" s="14" t="e">
        <f>=Round(53324.63010000,0)</f>
        <v>#VALUE!</v>
      </c>
      <c r="J6432" s="14" t="e">
        <f>=Round(0.00000000,0)</f>
        <v>#VALUE!</v>
      </c>
    </row>
    <row r="6433">
      <c r="A6433" s="11" t="s">
        <v>54</v>
      </c>
      <c r="B6433" s="12">
        <v>1282.9343</v>
      </c>
      <c r="C6433" s="12">
        <v>0</v>
      </c>
      <c r="D6433" s="13">
        <v>0</v>
      </c>
      <c r="E6433" s="12">
        <v>0</v>
      </c>
      <c r="F6433" s="14">
        <v>0</v>
      </c>
      <c r="G6433" s="13">
        <v>3952598.5432</v>
      </c>
      <c r="H6433" s="14">
        <v>5070924245.2013121</v>
      </c>
      <c r="I6433" s="14" t="e">
        <f>=Round(53333.16180000,0)</f>
        <v>#VALUE!</v>
      </c>
      <c r="J6433" s="14" t="e">
        <f>=Round(0.00000000,0)</f>
        <v>#VALUE!</v>
      </c>
    </row>
    <row r="6434">
      <c r="A6434" s="11" t="s">
        <v>55</v>
      </c>
      <c r="B6434" s="12">
        <v>1283.1158</v>
      </c>
      <c r="C6434" s="12">
        <v>0</v>
      </c>
      <c r="D6434" s="13">
        <v>0</v>
      </c>
      <c r="E6434" s="12">
        <v>0</v>
      </c>
      <c r="F6434" s="14">
        <v>0</v>
      </c>
      <c r="G6434" s="13">
        <v>3952598.5432</v>
      </c>
      <c r="H6434" s="14">
        <v>5071641641.8369026</v>
      </c>
      <c r="I6434" s="14" t="e">
        <f>=Round(53341.68950000,0)</f>
        <v>#VALUE!</v>
      </c>
      <c r="J6434" s="14" t="e">
        <f>=Round(0.00000000,0)</f>
        <v>#VALUE!</v>
      </c>
    </row>
    <row r="6435" ht="-1">
      <c r="A6435" s="15"/>
      <c r="B6435" s="16" t="s">
        <v>56</v>
      </c>
      <c r="C6435" s="15"/>
      <c r="D6435" s="15"/>
      <c r="E6435" s="15"/>
      <c r="F6435" s="15"/>
      <c r="G6435" s="15"/>
      <c r="H6435" s="15"/>
      <c r="I6435" s="17" t="e">
        <f>=Round(SUM(I6409:I6434),0)</f>
        <v>#VALUE!</v>
      </c>
      <c r="J6435" s="17" t="e">
        <f>=Round(SUM(J6409:J6434),0)</f>
        <v>#VALUE!</v>
      </c>
    </row>
    <row r="6436">
      <c r="A6436" s="1" t="s">
        <v>0</v>
      </c>
      <c r="B6436" s="1"/>
      <c r="C6436" s="1"/>
      <c r="D6436" s="1"/>
    </row>
    <row r="6437">
      <c r="A6437" s="0" t="s">
        <v>1</v>
      </c>
      <c r="C6437" s="0" t="s">
        <v>234</v>
      </c>
      <c r="H6437" s="2" t="s">
        <v>3</v>
      </c>
    </row>
    <row r="6438">
      <c r="A6438" s="0" t="s">
        <v>4</v>
      </c>
      <c r="C6438" s="0" t="s">
        <v>108</v>
      </c>
      <c r="H6438" s="3" t="s">
        <v>6</v>
      </c>
    </row>
    <row r="6439">
      <c r="A6439" s="0" t="s">
        <v>7</v>
      </c>
      <c r="C6439" s="4" t="s">
        <v>205</v>
      </c>
      <c r="H6439" s="2" t="s">
        <v>9</v>
      </c>
    </row>
    <row r="6440">
      <c r="A6440" s="0" t="s">
        <v>10</v>
      </c>
      <c r="C6440" s="4" t="s">
        <v>11</v>
      </c>
      <c r="H6440" s="2" t="s">
        <v>12</v>
      </c>
    </row>
    <row r="6441">
      <c r="A6441" s="0" t="s">
        <v>13</v>
      </c>
      <c r="C6441" s="0" t="s">
        <v>14</v>
      </c>
    </row>
    <row r="6442">
      <c r="A6442" s="0" t="s">
        <v>15</v>
      </c>
      <c r="C6442" s="0" t="s">
        <v>16</v>
      </c>
    </row>
    <row r="6443">
      <c r="A6443" s="0" t="s">
        <v>17</v>
      </c>
      <c r="C6443" s="0" t="s">
        <v>18</v>
      </c>
    </row>
    <row r="6446">
      <c r="A6446" s="5" t="s">
        <v>19</v>
      </c>
      <c r="B6446" s="5" t="s">
        <v>20</v>
      </c>
      <c r="C6446" s="7" t="s">
        <v>21</v>
      </c>
      <c r="D6446" s="9"/>
      <c r="E6446" s="7" t="s">
        <v>22</v>
      </c>
      <c r="F6446" s="9"/>
      <c r="G6446" s="5" t="s">
        <v>23</v>
      </c>
      <c r="H6446" s="5" t="s">
        <v>24</v>
      </c>
      <c r="I6446" s="5" t="s">
        <v>206</v>
      </c>
      <c r="J6446" s="5" t="s">
        <v>26</v>
      </c>
    </row>
    <row r="6447">
      <c r="A6447" s="6"/>
      <c r="B6447" s="6"/>
      <c r="C6447" s="8" t="s">
        <v>27</v>
      </c>
      <c r="D6447" s="8" t="s">
        <v>28</v>
      </c>
      <c r="E6447" s="8" t="s">
        <v>27</v>
      </c>
      <c r="F6447" s="8" t="s">
        <v>28</v>
      </c>
      <c r="G6447" s="6"/>
      <c r="H6447" s="6"/>
      <c r="I6447" s="10" t="s">
        <v>29</v>
      </c>
      <c r="J6447" s="6"/>
    </row>
    <row r="6448">
      <c r="A6448" s="11" t="s">
        <v>30</v>
      </c>
      <c r="B6448" s="12">
        <v>1278.0261</v>
      </c>
      <c r="C6448" s="12">
        <v>0</v>
      </c>
      <c r="D6448" s="13">
        <v>0</v>
      </c>
      <c r="E6448" s="12">
        <v>0</v>
      </c>
      <c r="F6448" s="14">
        <v>0</v>
      </c>
      <c r="G6448" s="13">
        <v>2372659.9687</v>
      </c>
      <c r="H6448" s="14">
        <v>3032321366.4237828</v>
      </c>
      <c r="I6448" s="14" t="e">
        <f>=Round(31882.10510000,0)</f>
        <v>#VALUE!</v>
      </c>
      <c r="J6448" s="14" t="e">
        <f>=Round(0.00000000,0)</f>
        <v>#VALUE!</v>
      </c>
    </row>
    <row r="6449">
      <c r="A6449" s="11" t="s">
        <v>31</v>
      </c>
      <c r="B6449" s="12">
        <v>1278.2299</v>
      </c>
      <c r="C6449" s="12">
        <v>0</v>
      </c>
      <c r="D6449" s="13">
        <v>0</v>
      </c>
      <c r="E6449" s="12">
        <v>0</v>
      </c>
      <c r="F6449" s="14">
        <v>0</v>
      </c>
      <c r="G6449" s="13">
        <v>2372659.9687</v>
      </c>
      <c r="H6449" s="14">
        <v>3032804914.525404</v>
      </c>
      <c r="I6449" s="14" t="e">
        <f>=Round(31897.36960000,0)</f>
        <v>#VALUE!</v>
      </c>
      <c r="J6449" s="14" t="e">
        <f>=Round(0.00000000,0)</f>
        <v>#VALUE!</v>
      </c>
    </row>
    <row r="6450">
      <c r="A6450" s="11" t="s">
        <v>32</v>
      </c>
      <c r="B6450" s="12">
        <v>1278.4335</v>
      </c>
      <c r="C6450" s="12">
        <v>0</v>
      </c>
      <c r="D6450" s="13">
        <v>0</v>
      </c>
      <c r="E6450" s="12">
        <v>0</v>
      </c>
      <c r="F6450" s="14">
        <v>0</v>
      </c>
      <c r="G6450" s="13">
        <v>2372659.9687</v>
      </c>
      <c r="H6450" s="14">
        <v>3033287988.0950308</v>
      </c>
      <c r="I6450" s="14" t="e">
        <f>=Round(31902.45610000,0)</f>
        <v>#VALUE!</v>
      </c>
      <c r="J6450" s="14" t="e">
        <f>=Round(0.00000000,0)</f>
        <v>#VALUE!</v>
      </c>
    </row>
    <row r="6451">
      <c r="A6451" s="11" t="s">
        <v>33</v>
      </c>
      <c r="B6451" s="12">
        <v>1278.6325</v>
      </c>
      <c r="C6451" s="12">
        <v>0</v>
      </c>
      <c r="D6451" s="13">
        <v>0</v>
      </c>
      <c r="E6451" s="12">
        <v>0</v>
      </c>
      <c r="F6451" s="14">
        <v>0</v>
      </c>
      <c r="G6451" s="13">
        <v>2372659.9687</v>
      </c>
      <c r="H6451" s="14">
        <v>3033760147.428803</v>
      </c>
      <c r="I6451" s="14" t="e">
        <f>=Round(31907.53760000,0)</f>
        <v>#VALUE!</v>
      </c>
      <c r="J6451" s="14" t="e">
        <f>=Round(0.00000000,0)</f>
        <v>#VALUE!</v>
      </c>
    </row>
    <row r="6452">
      <c r="A6452" s="11" t="s">
        <v>34</v>
      </c>
      <c r="B6452" s="12">
        <v>1278.837</v>
      </c>
      <c r="C6452" s="12">
        <v>0</v>
      </c>
      <c r="D6452" s="13">
        <v>0</v>
      </c>
      <c r="E6452" s="12">
        <v>0</v>
      </c>
      <c r="F6452" s="14">
        <v>0</v>
      </c>
      <c r="G6452" s="13">
        <v>2372659.9687</v>
      </c>
      <c r="H6452" s="14">
        <v>3034245356.3924022</v>
      </c>
      <c r="I6452" s="14" t="e">
        <f>=Round(31912.50430000,0)</f>
        <v>#VALUE!</v>
      </c>
      <c r="J6452" s="14" t="e">
        <f>=Round(0.00000000,0)</f>
        <v>#VALUE!</v>
      </c>
    </row>
    <row r="6453">
      <c r="A6453" s="11" t="s">
        <v>35</v>
      </c>
      <c r="B6453" s="12">
        <v>1278.837</v>
      </c>
      <c r="C6453" s="12">
        <v>0</v>
      </c>
      <c r="D6453" s="13">
        <v>0</v>
      </c>
      <c r="E6453" s="12">
        <v>0</v>
      </c>
      <c r="F6453" s="14">
        <v>0</v>
      </c>
      <c r="G6453" s="13">
        <v>2372659.9687</v>
      </c>
      <c r="H6453" s="14">
        <v>3034245356.3924022</v>
      </c>
      <c r="I6453" s="14" t="e">
        <f>=Round(31917.60830000,0)</f>
        <v>#VALUE!</v>
      </c>
      <c r="J6453" s="14" t="e">
        <f>=Round(0.00000000,0)</f>
        <v>#VALUE!</v>
      </c>
    </row>
    <row r="6454">
      <c r="A6454" s="11" t="s">
        <v>36</v>
      </c>
      <c r="B6454" s="12">
        <v>1278.837</v>
      </c>
      <c r="C6454" s="12">
        <v>0</v>
      </c>
      <c r="D6454" s="13">
        <v>0</v>
      </c>
      <c r="E6454" s="12">
        <v>0</v>
      </c>
      <c r="F6454" s="14">
        <v>0</v>
      </c>
      <c r="G6454" s="13">
        <v>2372659.9687</v>
      </c>
      <c r="H6454" s="14">
        <v>3034245356.3924022</v>
      </c>
      <c r="I6454" s="14" t="e">
        <f>=Round(31917.60830000,0)</f>
        <v>#VALUE!</v>
      </c>
      <c r="J6454" s="14" t="e">
        <f>=Round(0.00000000,0)</f>
        <v>#VALUE!</v>
      </c>
    </row>
    <row r="6455">
      <c r="A6455" s="11" t="s">
        <v>37</v>
      </c>
      <c r="B6455" s="12">
        <v>1279.4503</v>
      </c>
      <c r="C6455" s="12">
        <v>0</v>
      </c>
      <c r="D6455" s="13">
        <v>0</v>
      </c>
      <c r="E6455" s="12">
        <v>0</v>
      </c>
      <c r="F6455" s="14">
        <v>0</v>
      </c>
      <c r="G6455" s="13">
        <v>2372659.9687</v>
      </c>
      <c r="H6455" s="14">
        <v>3035700508.7512059</v>
      </c>
      <c r="I6455" s="14" t="e">
        <f>=Round(31917.60830000,0)</f>
        <v>#VALUE!</v>
      </c>
      <c r="J6455" s="14" t="e">
        <f>=Round(0.00000000,0)</f>
        <v>#VALUE!</v>
      </c>
    </row>
    <row r="6456">
      <c r="A6456" s="11" t="s">
        <v>38</v>
      </c>
      <c r="B6456" s="12">
        <v>1279.6545</v>
      </c>
      <c r="C6456" s="12">
        <v>0</v>
      </c>
      <c r="D6456" s="13">
        <v>0</v>
      </c>
      <c r="E6456" s="12">
        <v>0</v>
      </c>
      <c r="F6456" s="14">
        <v>0</v>
      </c>
      <c r="G6456" s="13">
        <v>2372659.9687</v>
      </c>
      <c r="H6456" s="14">
        <v>3036185005.9168139</v>
      </c>
      <c r="I6456" s="14" t="e">
        <f>=Round(31932.91520000,0)</f>
        <v>#VALUE!</v>
      </c>
      <c r="J6456" s="14" t="e">
        <f>=Round(0.00000000,0)</f>
        <v>#VALUE!</v>
      </c>
    </row>
    <row r="6457">
      <c r="A6457" s="11" t="s">
        <v>39</v>
      </c>
      <c r="B6457" s="12">
        <v>1279.8598</v>
      </c>
      <c r="C6457" s="12">
        <v>0</v>
      </c>
      <c r="D6457" s="13">
        <v>0</v>
      </c>
      <c r="E6457" s="12">
        <v>0</v>
      </c>
      <c r="F6457" s="14">
        <v>0</v>
      </c>
      <c r="G6457" s="13">
        <v>2372659.9687</v>
      </c>
      <c r="H6457" s="14">
        <v>3036672113.008388</v>
      </c>
      <c r="I6457" s="14" t="e">
        <f>=Round(31938.01170000,0)</f>
        <v>#VALUE!</v>
      </c>
      <c r="J6457" s="14" t="e">
        <f>=Round(0.00000000,0)</f>
        <v>#VALUE!</v>
      </c>
    </row>
    <row r="6458">
      <c r="A6458" s="11" t="s">
        <v>40</v>
      </c>
      <c r="B6458" s="12">
        <v>1280.0644</v>
      </c>
      <c r="C6458" s="12">
        <v>0</v>
      </c>
      <c r="D6458" s="13">
        <v>0</v>
      </c>
      <c r="E6458" s="12">
        <v>0</v>
      </c>
      <c r="F6458" s="14">
        <v>0</v>
      </c>
      <c r="G6458" s="13">
        <v>2372659.9687</v>
      </c>
      <c r="H6458" s="14">
        <v>3037157559.2379842</v>
      </c>
      <c r="I6458" s="14" t="e">
        <f>=Round(31943.13560000,0)</f>
        <v>#VALUE!</v>
      </c>
      <c r="J6458" s="14" t="e">
        <f>=Round(0.00000000,0)</f>
        <v>#VALUE!</v>
      </c>
    </row>
    <row r="6459">
      <c r="A6459" s="11" t="s">
        <v>41</v>
      </c>
      <c r="B6459" s="12">
        <v>1280.2685</v>
      </c>
      <c r="C6459" s="12">
        <v>0</v>
      </c>
      <c r="D6459" s="13">
        <v>0</v>
      </c>
      <c r="E6459" s="12">
        <v>0</v>
      </c>
      <c r="F6459" s="14">
        <v>0</v>
      </c>
      <c r="G6459" s="13">
        <v>2372659.9687</v>
      </c>
      <c r="H6459" s="14">
        <v>3037641819.1375961</v>
      </c>
      <c r="I6459" s="14" t="e">
        <f>=Round(31948.24210000,0)</f>
        <v>#VALUE!</v>
      </c>
      <c r="J6459" s="14" t="e">
        <f>=Round(0.00000000,0)</f>
        <v>#VALUE!</v>
      </c>
    </row>
    <row r="6460">
      <c r="A6460" s="11" t="s">
        <v>42</v>
      </c>
      <c r="B6460" s="12">
        <v>1280.2685</v>
      </c>
      <c r="C6460" s="12">
        <v>0</v>
      </c>
      <c r="D6460" s="13">
        <v>0</v>
      </c>
      <c r="E6460" s="12">
        <v>0</v>
      </c>
      <c r="F6460" s="14">
        <v>0</v>
      </c>
      <c r="G6460" s="13">
        <v>2372659.9687</v>
      </c>
      <c r="H6460" s="14">
        <v>3037641819.1375961</v>
      </c>
      <c r="I6460" s="14" t="e">
        <f>=Round(31953.33610000,0)</f>
        <v>#VALUE!</v>
      </c>
      <c r="J6460" s="14" t="e">
        <f>=Round(0.00000000,0)</f>
        <v>#VALUE!</v>
      </c>
    </row>
    <row r="6461">
      <c r="A6461" s="11" t="s">
        <v>43</v>
      </c>
      <c r="B6461" s="12">
        <v>1280.2685</v>
      </c>
      <c r="C6461" s="12">
        <v>0</v>
      </c>
      <c r="D6461" s="13">
        <v>0</v>
      </c>
      <c r="E6461" s="12">
        <v>0</v>
      </c>
      <c r="F6461" s="14">
        <v>0</v>
      </c>
      <c r="G6461" s="13">
        <v>2372659.9687</v>
      </c>
      <c r="H6461" s="14">
        <v>3037641819.1375961</v>
      </c>
      <c r="I6461" s="14" t="e">
        <f>=Round(31953.33610000,0)</f>
        <v>#VALUE!</v>
      </c>
      <c r="J6461" s="14" t="e">
        <f>=Round(0.00000000,0)</f>
        <v>#VALUE!</v>
      </c>
    </row>
    <row r="6462">
      <c r="A6462" s="11" t="s">
        <v>44</v>
      </c>
      <c r="B6462" s="12">
        <v>1280.8839</v>
      </c>
      <c r="C6462" s="12">
        <v>0</v>
      </c>
      <c r="D6462" s="13">
        <v>0</v>
      </c>
      <c r="E6462" s="12">
        <v>0</v>
      </c>
      <c r="F6462" s="14">
        <v>0</v>
      </c>
      <c r="G6462" s="13">
        <v>2372659.9687</v>
      </c>
      <c r="H6462" s="14">
        <v>3039101954.082334</v>
      </c>
      <c r="I6462" s="14" t="e">
        <f>=Round(31953.33610000,0)</f>
        <v>#VALUE!</v>
      </c>
      <c r="J6462" s="14" t="e">
        <f>=Round(0.00000000,0)</f>
        <v>#VALUE!</v>
      </c>
    </row>
    <row r="6463">
      <c r="A6463" s="11" t="s">
        <v>45</v>
      </c>
      <c r="B6463" s="12">
        <v>1281.0899</v>
      </c>
      <c r="C6463" s="12">
        <v>0</v>
      </c>
      <c r="D6463" s="13">
        <v>0</v>
      </c>
      <c r="E6463" s="12">
        <v>0</v>
      </c>
      <c r="F6463" s="14">
        <v>0</v>
      </c>
      <c r="G6463" s="13">
        <v>2372659.9687</v>
      </c>
      <c r="H6463" s="14">
        <v>3039590722.0358858</v>
      </c>
      <c r="I6463" s="14" t="e">
        <f>=Round(31968.69540000,0)</f>
        <v>#VALUE!</v>
      </c>
      <c r="J6463" s="14" t="e">
        <f>=Round(0.00000000,0)</f>
        <v>#VALUE!</v>
      </c>
    </row>
    <row r="6464">
      <c r="A6464" s="11" t="s">
        <v>46</v>
      </c>
      <c r="B6464" s="12">
        <v>1281.2941</v>
      </c>
      <c r="C6464" s="12">
        <v>0</v>
      </c>
      <c r="D6464" s="13">
        <v>0</v>
      </c>
      <c r="E6464" s="12">
        <v>0</v>
      </c>
      <c r="F6464" s="14">
        <v>0</v>
      </c>
      <c r="G6464" s="13">
        <v>2372659.9687</v>
      </c>
      <c r="H6464" s="14">
        <v>3040075219.2014952</v>
      </c>
      <c r="I6464" s="14" t="e">
        <f>=Round(31973.83680000,0)</f>
        <v>#VALUE!</v>
      </c>
      <c r="J6464" s="14" t="e">
        <f>=Round(0.00000000,0)</f>
        <v>#VALUE!</v>
      </c>
    </row>
    <row r="6465">
      <c r="A6465" s="11" t="s">
        <v>47</v>
      </c>
      <c r="B6465" s="12">
        <v>1281.4992</v>
      </c>
      <c r="C6465" s="12">
        <v>0</v>
      </c>
      <c r="D6465" s="13">
        <v>0</v>
      </c>
      <c r="E6465" s="12">
        <v>0</v>
      </c>
      <c r="F6465" s="14">
        <v>0</v>
      </c>
      <c r="G6465" s="13">
        <v>2372659.9687</v>
      </c>
      <c r="H6465" s="14">
        <v>3040561851.761075</v>
      </c>
      <c r="I6465" s="14" t="e">
        <f>=Round(31978.93330000,0)</f>
        <v>#VALUE!</v>
      </c>
      <c r="J6465" s="14" t="e">
        <f>=Round(0.00000000,0)</f>
        <v>#VALUE!</v>
      </c>
    </row>
    <row r="6466">
      <c r="A6466" s="11" t="s">
        <v>48</v>
      </c>
      <c r="B6466" s="12">
        <v>1281.706</v>
      </c>
      <c r="C6466" s="12">
        <v>0</v>
      </c>
      <c r="D6466" s="13">
        <v>0</v>
      </c>
      <c r="E6466" s="12">
        <v>0</v>
      </c>
      <c r="F6466" s="14">
        <v>0</v>
      </c>
      <c r="G6466" s="13">
        <v>2372659.9687</v>
      </c>
      <c r="H6466" s="14">
        <v>3041052517.8426018</v>
      </c>
      <c r="I6466" s="14" t="e">
        <f>=Round(31984.05230000,0)</f>
        <v>#VALUE!</v>
      </c>
      <c r="J6466" s="14" t="e">
        <f>=Round(0.00000000,0)</f>
        <v>#VALUE!</v>
      </c>
    </row>
    <row r="6467">
      <c r="A6467" s="11" t="s">
        <v>49</v>
      </c>
      <c r="B6467" s="12">
        <v>1281.706</v>
      </c>
      <c r="C6467" s="12">
        <v>0</v>
      </c>
      <c r="D6467" s="13">
        <v>0</v>
      </c>
      <c r="E6467" s="12">
        <v>0</v>
      </c>
      <c r="F6467" s="14">
        <v>0</v>
      </c>
      <c r="G6467" s="13">
        <v>2372659.9687</v>
      </c>
      <c r="H6467" s="14">
        <v>3041052517.8426018</v>
      </c>
      <c r="I6467" s="14" t="e">
        <f>=Round(31989.21360000,0)</f>
        <v>#VALUE!</v>
      </c>
      <c r="J6467" s="14" t="e">
        <f>=Round(0.00000000,0)</f>
        <v>#VALUE!</v>
      </c>
    </row>
    <row r="6468">
      <c r="A6468" s="11" t="s">
        <v>50</v>
      </c>
      <c r="B6468" s="12">
        <v>1281.706</v>
      </c>
      <c r="C6468" s="12">
        <v>0</v>
      </c>
      <c r="D6468" s="13">
        <v>0</v>
      </c>
      <c r="E6468" s="12">
        <v>0</v>
      </c>
      <c r="F6468" s="14">
        <v>0</v>
      </c>
      <c r="G6468" s="13">
        <v>2372659.9687</v>
      </c>
      <c r="H6468" s="14">
        <v>3041052517.8426018</v>
      </c>
      <c r="I6468" s="14" t="e">
        <f>=Round(31989.21360000,0)</f>
        <v>#VALUE!</v>
      </c>
      <c r="J6468" s="14" t="e">
        <f>=Round(0.00000000,0)</f>
        <v>#VALUE!</v>
      </c>
    </row>
    <row r="6469">
      <c r="A6469" s="11" t="s">
        <v>51</v>
      </c>
      <c r="B6469" s="12">
        <v>1282.3206</v>
      </c>
      <c r="C6469" s="12">
        <v>0</v>
      </c>
      <c r="D6469" s="13">
        <v>0</v>
      </c>
      <c r="E6469" s="12">
        <v>0</v>
      </c>
      <c r="F6469" s="14">
        <v>0</v>
      </c>
      <c r="G6469" s="13">
        <v>2372659.9687</v>
      </c>
      <c r="H6469" s="14">
        <v>3042510754.6593652</v>
      </c>
      <c r="I6469" s="14" t="e">
        <f>=Round(31989.21360000,0)</f>
        <v>#VALUE!</v>
      </c>
      <c r="J6469" s="14" t="e">
        <f>=Round(0.00000000,0)</f>
        <v>#VALUE!</v>
      </c>
    </row>
    <row r="6470">
      <c r="A6470" s="11" t="s">
        <v>52</v>
      </c>
      <c r="B6470" s="12">
        <v>1282.524</v>
      </c>
      <c r="C6470" s="12">
        <v>0</v>
      </c>
      <c r="D6470" s="13">
        <v>0</v>
      </c>
      <c r="E6470" s="12">
        <v>0</v>
      </c>
      <c r="F6470" s="14">
        <v>0</v>
      </c>
      <c r="G6470" s="13">
        <v>2372659.9687</v>
      </c>
      <c r="H6470" s="14">
        <v>3042993353.6969991</v>
      </c>
      <c r="I6470" s="14" t="e">
        <f>=Round(32004.55300000,0)</f>
        <v>#VALUE!</v>
      </c>
      <c r="J6470" s="14" t="e">
        <f>=Round(0.00000000,0)</f>
        <v>#VALUE!</v>
      </c>
    </row>
    <row r="6471">
      <c r="A6471" s="11" t="s">
        <v>53</v>
      </c>
      <c r="B6471" s="12">
        <v>1282.7292</v>
      </c>
      <c r="C6471" s="12">
        <v>0</v>
      </c>
      <c r="D6471" s="13">
        <v>0</v>
      </c>
      <c r="E6471" s="12">
        <v>0</v>
      </c>
      <c r="F6471" s="14">
        <v>0</v>
      </c>
      <c r="G6471" s="13">
        <v>2372659.9687</v>
      </c>
      <c r="H6471" s="14">
        <v>3043480223.5225759</v>
      </c>
      <c r="I6471" s="14" t="e">
        <f>=Round(32009.62950000,0)</f>
        <v>#VALUE!</v>
      </c>
      <c r="J6471" s="14" t="e">
        <f>=Round(0.00000000,0)</f>
        <v>#VALUE!</v>
      </c>
    </row>
    <row r="6472">
      <c r="A6472" s="11" t="s">
        <v>54</v>
      </c>
      <c r="B6472" s="12">
        <v>1282.9343</v>
      </c>
      <c r="C6472" s="12">
        <v>0</v>
      </c>
      <c r="D6472" s="13">
        <v>0</v>
      </c>
      <c r="E6472" s="12">
        <v>0</v>
      </c>
      <c r="F6472" s="14">
        <v>0</v>
      </c>
      <c r="G6472" s="13">
        <v>2372659.9687</v>
      </c>
      <c r="H6472" s="14">
        <v>3043966856.0821562</v>
      </c>
      <c r="I6472" s="14" t="e">
        <f>=Round(32014.75100000,0)</f>
        <v>#VALUE!</v>
      </c>
      <c r="J6472" s="14" t="e">
        <f>=Round(0.00000000,0)</f>
        <v>#VALUE!</v>
      </c>
    </row>
    <row r="6473">
      <c r="A6473" s="11" t="s">
        <v>55</v>
      </c>
      <c r="B6473" s="12">
        <v>1283.1158</v>
      </c>
      <c r="C6473" s="12">
        <v>0</v>
      </c>
      <c r="D6473" s="13">
        <v>0</v>
      </c>
      <c r="E6473" s="12">
        <v>0</v>
      </c>
      <c r="F6473" s="14">
        <v>0</v>
      </c>
      <c r="G6473" s="13">
        <v>2372659.9687</v>
      </c>
      <c r="H6473" s="14">
        <v>3044397493.8664751</v>
      </c>
      <c r="I6473" s="14" t="e">
        <f>=Round(32019.86990000,0)</f>
        <v>#VALUE!</v>
      </c>
      <c r="J6473" s="14" t="e">
        <f>=Round(0.00000000,0)</f>
        <v>#VALUE!</v>
      </c>
    </row>
    <row r="6474" ht="-1">
      <c r="A6474" s="15"/>
      <c r="B6474" s="16" t="s">
        <v>56</v>
      </c>
      <c r="C6474" s="15"/>
      <c r="D6474" s="15"/>
      <c r="E6474" s="15"/>
      <c r="F6474" s="15"/>
      <c r="G6474" s="15"/>
      <c r="H6474" s="15"/>
      <c r="I6474" s="17" t="e">
        <f>=Round(SUM(I6448:I6473),0)</f>
        <v>#VALUE!</v>
      </c>
      <c r="J6474" s="17" t="e">
        <f>=Round(SUM(J6448:J6473),0)</f>
        <v>#VALUE!</v>
      </c>
    </row>
    <row r="6475">
      <c r="A6475" s="1" t="s">
        <v>0</v>
      </c>
      <c r="B6475" s="1"/>
      <c r="C6475" s="1"/>
      <c r="D6475" s="1"/>
    </row>
    <row r="6476">
      <c r="A6476" s="0" t="s">
        <v>1</v>
      </c>
      <c r="C6476" s="0" t="s">
        <v>234</v>
      </c>
      <c r="H6476" s="2" t="s">
        <v>3</v>
      </c>
    </row>
    <row r="6477">
      <c r="A6477" s="0" t="s">
        <v>4</v>
      </c>
      <c r="C6477" s="0" t="s">
        <v>241</v>
      </c>
      <c r="H6477" s="3" t="s">
        <v>6</v>
      </c>
    </row>
    <row r="6478">
      <c r="A6478" s="0" t="s">
        <v>7</v>
      </c>
      <c r="C6478" s="4" t="s">
        <v>205</v>
      </c>
      <c r="H6478" s="2" t="s">
        <v>9</v>
      </c>
    </row>
    <row r="6479">
      <c r="A6479" s="0" t="s">
        <v>10</v>
      </c>
      <c r="C6479" s="4" t="s">
        <v>11</v>
      </c>
      <c r="H6479" s="2" t="s">
        <v>12</v>
      </c>
    </row>
    <row r="6480">
      <c r="A6480" s="0" t="s">
        <v>13</v>
      </c>
      <c r="C6480" s="0" t="s">
        <v>14</v>
      </c>
    </row>
    <row r="6481">
      <c r="A6481" s="0" t="s">
        <v>15</v>
      </c>
      <c r="C6481" s="0" t="s">
        <v>16</v>
      </c>
    </row>
    <row r="6482">
      <c r="A6482" s="0" t="s">
        <v>17</v>
      </c>
      <c r="C6482" s="0" t="s">
        <v>18</v>
      </c>
    </row>
    <row r="6485">
      <c r="A6485" s="5" t="s">
        <v>19</v>
      </c>
      <c r="B6485" s="5" t="s">
        <v>20</v>
      </c>
      <c r="C6485" s="7" t="s">
        <v>21</v>
      </c>
      <c r="D6485" s="9"/>
      <c r="E6485" s="7" t="s">
        <v>22</v>
      </c>
      <c r="F6485" s="9"/>
      <c r="G6485" s="5" t="s">
        <v>23</v>
      </c>
      <c r="H6485" s="5" t="s">
        <v>24</v>
      </c>
      <c r="I6485" s="5" t="s">
        <v>206</v>
      </c>
      <c r="J6485" s="5" t="s">
        <v>26</v>
      </c>
    </row>
    <row r="6486">
      <c r="A6486" s="6"/>
      <c r="B6486" s="6"/>
      <c r="C6486" s="8" t="s">
        <v>27</v>
      </c>
      <c r="D6486" s="8" t="s">
        <v>28</v>
      </c>
      <c r="E6486" s="8" t="s">
        <v>27</v>
      </c>
      <c r="F6486" s="8" t="s">
        <v>28</v>
      </c>
      <c r="G6486" s="6"/>
      <c r="H6486" s="6"/>
      <c r="I6486" s="10" t="s">
        <v>29</v>
      </c>
      <c r="J6486" s="6"/>
    </row>
    <row r="6487">
      <c r="A6487" s="11" t="s">
        <v>30</v>
      </c>
      <c r="B6487" s="12">
        <v>1278.0261</v>
      </c>
      <c r="C6487" s="12">
        <v>0</v>
      </c>
      <c r="D6487" s="13">
        <v>0</v>
      </c>
      <c r="E6487" s="12">
        <v>0</v>
      </c>
      <c r="F6487" s="14">
        <v>0</v>
      </c>
      <c r="G6487" s="13">
        <v>3871802.0528</v>
      </c>
      <c r="H6487" s="14">
        <v>4948264077.5119781</v>
      </c>
      <c r="I6487" s="14" t="e">
        <f>=Round(52026.50250000,0)</f>
        <v>#VALUE!</v>
      </c>
      <c r="J6487" s="14" t="e">
        <f>=Round(0.00000000,0)</f>
        <v>#VALUE!</v>
      </c>
    </row>
    <row r="6488">
      <c r="A6488" s="11" t="s">
        <v>31</v>
      </c>
      <c r="B6488" s="12">
        <v>1278.2299</v>
      </c>
      <c r="C6488" s="12">
        <v>0</v>
      </c>
      <c r="D6488" s="13">
        <v>0</v>
      </c>
      <c r="E6488" s="12">
        <v>0</v>
      </c>
      <c r="F6488" s="14">
        <v>0</v>
      </c>
      <c r="G6488" s="13">
        <v>3871802.0528</v>
      </c>
      <c r="H6488" s="14">
        <v>4949053150.770339</v>
      </c>
      <c r="I6488" s="14" t="e">
        <f>=Round(52051.41170000,0)</f>
        <v>#VALUE!</v>
      </c>
      <c r="J6488" s="14" t="e">
        <f>=Round(0.00000000,0)</f>
        <v>#VALUE!</v>
      </c>
    </row>
    <row r="6489">
      <c r="A6489" s="11" t="s">
        <v>32</v>
      </c>
      <c r="B6489" s="12">
        <v>1278.4335</v>
      </c>
      <c r="C6489" s="12">
        <v>0</v>
      </c>
      <c r="D6489" s="13">
        <v>0</v>
      </c>
      <c r="E6489" s="12">
        <v>0</v>
      </c>
      <c r="F6489" s="14">
        <v>0</v>
      </c>
      <c r="G6489" s="13">
        <v>3871802.0528</v>
      </c>
      <c r="H6489" s="14">
        <v>4949841449.6682892</v>
      </c>
      <c r="I6489" s="14" t="e">
        <f>=Round(52059.71210000,0)</f>
        <v>#VALUE!</v>
      </c>
      <c r="J6489" s="14" t="e">
        <f>=Round(0.00000000,0)</f>
        <v>#VALUE!</v>
      </c>
    </row>
    <row r="6490">
      <c r="A6490" s="11" t="s">
        <v>33</v>
      </c>
      <c r="B6490" s="12">
        <v>1278.6325</v>
      </c>
      <c r="C6490" s="12">
        <v>0</v>
      </c>
      <c r="D6490" s="13">
        <v>0</v>
      </c>
      <c r="E6490" s="12">
        <v>0</v>
      </c>
      <c r="F6490" s="14">
        <v>0</v>
      </c>
      <c r="G6490" s="13">
        <v>3871802.0528</v>
      </c>
      <c r="H6490" s="14">
        <v>4950611938.2767963</v>
      </c>
      <c r="I6490" s="14" t="e">
        <f>=Round(52068.00430000,0)</f>
        <v>#VALUE!</v>
      </c>
      <c r="J6490" s="14" t="e">
        <f>=Round(0.00000000,0)</f>
        <v>#VALUE!</v>
      </c>
    </row>
    <row r="6491">
      <c r="A6491" s="11" t="s">
        <v>34</v>
      </c>
      <c r="B6491" s="12">
        <v>1278.837</v>
      </c>
      <c r="C6491" s="12">
        <v>0</v>
      </c>
      <c r="D6491" s="13">
        <v>0</v>
      </c>
      <c r="E6491" s="12">
        <v>0</v>
      </c>
      <c r="F6491" s="14">
        <v>0</v>
      </c>
      <c r="G6491" s="13">
        <v>3871802.0528</v>
      </c>
      <c r="H6491" s="14">
        <v>4951403721.7965937</v>
      </c>
      <c r="I6491" s="14" t="e">
        <f>=Round(52076.10920000,0)</f>
        <v>#VALUE!</v>
      </c>
      <c r="J6491" s="14" t="e">
        <f>=Round(0.00000000,0)</f>
        <v>#VALUE!</v>
      </c>
    </row>
    <row r="6492">
      <c r="A6492" s="11" t="s">
        <v>35</v>
      </c>
      <c r="B6492" s="12">
        <v>1278.837</v>
      </c>
      <c r="C6492" s="12">
        <v>0</v>
      </c>
      <c r="D6492" s="13">
        <v>0</v>
      </c>
      <c r="E6492" s="12">
        <v>0</v>
      </c>
      <c r="F6492" s="14">
        <v>0</v>
      </c>
      <c r="G6492" s="13">
        <v>3871802.0528</v>
      </c>
      <c r="H6492" s="14">
        <v>4951403721.7965937</v>
      </c>
      <c r="I6492" s="14" t="e">
        <f>=Round(52084.43810000,0)</f>
        <v>#VALUE!</v>
      </c>
      <c r="J6492" s="14" t="e">
        <f>=Round(0.00000000,0)</f>
        <v>#VALUE!</v>
      </c>
    </row>
    <row r="6493">
      <c r="A6493" s="11" t="s">
        <v>36</v>
      </c>
      <c r="B6493" s="12">
        <v>1278.837</v>
      </c>
      <c r="C6493" s="12">
        <v>0</v>
      </c>
      <c r="D6493" s="13">
        <v>0</v>
      </c>
      <c r="E6493" s="12">
        <v>0</v>
      </c>
      <c r="F6493" s="14">
        <v>0</v>
      </c>
      <c r="G6493" s="13">
        <v>3871802.0528</v>
      </c>
      <c r="H6493" s="14">
        <v>4951403721.7965937</v>
      </c>
      <c r="I6493" s="14" t="e">
        <f>=Round(52084.43810000,0)</f>
        <v>#VALUE!</v>
      </c>
      <c r="J6493" s="14" t="e">
        <f>=Round(0.00000000,0)</f>
        <v>#VALUE!</v>
      </c>
    </row>
    <row r="6494">
      <c r="A6494" s="11" t="s">
        <v>37</v>
      </c>
      <c r="B6494" s="12">
        <v>1279.4503</v>
      </c>
      <c r="C6494" s="12">
        <v>0</v>
      </c>
      <c r="D6494" s="13">
        <v>0</v>
      </c>
      <c r="E6494" s="12">
        <v>0</v>
      </c>
      <c r="F6494" s="14">
        <v>0</v>
      </c>
      <c r="G6494" s="13">
        <v>3871802.0528</v>
      </c>
      <c r="H6494" s="14">
        <v>4953778297.9955759</v>
      </c>
      <c r="I6494" s="14" t="e">
        <f>=Round(52084.43810000,0)</f>
        <v>#VALUE!</v>
      </c>
      <c r="J6494" s="14" t="e">
        <f>=Round(0.00000000,0)</f>
        <v>#VALUE!</v>
      </c>
    </row>
    <row r="6495">
      <c r="A6495" s="11" t="s">
        <v>38</v>
      </c>
      <c r="B6495" s="12">
        <v>1279.6545</v>
      </c>
      <c r="C6495" s="12">
        <v>0</v>
      </c>
      <c r="D6495" s="13">
        <v>0</v>
      </c>
      <c r="E6495" s="12">
        <v>0</v>
      </c>
      <c r="F6495" s="14">
        <v>0</v>
      </c>
      <c r="G6495" s="13">
        <v>3871802.0528</v>
      </c>
      <c r="H6495" s="14">
        <v>4954568919.9747581</v>
      </c>
      <c r="I6495" s="14" t="e">
        <f>=Round(52109.41650000,0)</f>
        <v>#VALUE!</v>
      </c>
      <c r="J6495" s="14" t="e">
        <f>=Round(0.00000000,0)</f>
        <v>#VALUE!</v>
      </c>
    </row>
    <row r="6496">
      <c r="A6496" s="11" t="s">
        <v>39</v>
      </c>
      <c r="B6496" s="12">
        <v>1279.8598</v>
      </c>
      <c r="C6496" s="12">
        <v>0</v>
      </c>
      <c r="D6496" s="13">
        <v>0</v>
      </c>
      <c r="E6496" s="12">
        <v>0</v>
      </c>
      <c r="F6496" s="14">
        <v>0</v>
      </c>
      <c r="G6496" s="13">
        <v>3871802.0528</v>
      </c>
      <c r="H6496" s="14">
        <v>4955363800.9361973</v>
      </c>
      <c r="I6496" s="14" t="e">
        <f>=Round(52117.73320000,0)</f>
        <v>#VALUE!</v>
      </c>
      <c r="J6496" s="14" t="e">
        <f>=Round(0.00000000,0)</f>
        <v>#VALUE!</v>
      </c>
    </row>
    <row r="6497">
      <c r="A6497" s="11" t="s">
        <v>40</v>
      </c>
      <c r="B6497" s="12">
        <v>1280.0644</v>
      </c>
      <c r="C6497" s="12">
        <v>0</v>
      </c>
      <c r="D6497" s="13">
        <v>0</v>
      </c>
      <c r="E6497" s="12">
        <v>0</v>
      </c>
      <c r="F6497" s="14">
        <v>0</v>
      </c>
      <c r="G6497" s="13">
        <v>3871802.0528</v>
      </c>
      <c r="H6497" s="14">
        <v>4956155971.6362</v>
      </c>
      <c r="I6497" s="14" t="e">
        <f>=Round(52126.09460000,0)</f>
        <v>#VALUE!</v>
      </c>
      <c r="J6497" s="14" t="e">
        <f>=Round(0.00000000,0)</f>
        <v>#VALUE!</v>
      </c>
    </row>
    <row r="6498">
      <c r="A6498" s="11" t="s">
        <v>41</v>
      </c>
      <c r="B6498" s="12">
        <v>1280.2685</v>
      </c>
      <c r="C6498" s="12">
        <v>0</v>
      </c>
      <c r="D6498" s="13">
        <v>0</v>
      </c>
      <c r="E6498" s="12">
        <v>0</v>
      </c>
      <c r="F6498" s="14">
        <v>0</v>
      </c>
      <c r="G6498" s="13">
        <v>3871802.0528</v>
      </c>
      <c r="H6498" s="14">
        <v>4956946206.4351768</v>
      </c>
      <c r="I6498" s="14" t="e">
        <f>=Round(52134.42760000,0)</f>
        <v>#VALUE!</v>
      </c>
      <c r="J6498" s="14" t="e">
        <f>=Round(0.00000000,0)</f>
        <v>#VALUE!</v>
      </c>
    </row>
    <row r="6499">
      <c r="A6499" s="11" t="s">
        <v>42</v>
      </c>
      <c r="B6499" s="12">
        <v>1280.2685</v>
      </c>
      <c r="C6499" s="12">
        <v>0</v>
      </c>
      <c r="D6499" s="13">
        <v>0</v>
      </c>
      <c r="E6499" s="12">
        <v>0</v>
      </c>
      <c r="F6499" s="14">
        <v>0</v>
      </c>
      <c r="G6499" s="13">
        <v>3871802.0528</v>
      </c>
      <c r="H6499" s="14">
        <v>4956946206.4351768</v>
      </c>
      <c r="I6499" s="14" t="e">
        <f>=Round(52142.74010000,0)</f>
        <v>#VALUE!</v>
      </c>
      <c r="J6499" s="14" t="e">
        <f>=Round(0.00000000,0)</f>
        <v>#VALUE!</v>
      </c>
    </row>
    <row r="6500">
      <c r="A6500" s="11" t="s">
        <v>43</v>
      </c>
      <c r="B6500" s="12">
        <v>1280.2685</v>
      </c>
      <c r="C6500" s="12">
        <v>0</v>
      </c>
      <c r="D6500" s="13">
        <v>0</v>
      </c>
      <c r="E6500" s="12">
        <v>0</v>
      </c>
      <c r="F6500" s="14">
        <v>0</v>
      </c>
      <c r="G6500" s="13">
        <v>3871802.0528</v>
      </c>
      <c r="H6500" s="14">
        <v>4956946206.4351768</v>
      </c>
      <c r="I6500" s="14" t="e">
        <f>=Round(52142.74010000,0)</f>
        <v>#VALUE!</v>
      </c>
      <c r="J6500" s="14" t="e">
        <f>=Round(0.00000000,0)</f>
        <v>#VALUE!</v>
      </c>
    </row>
    <row r="6501">
      <c r="A6501" s="11" t="s">
        <v>44</v>
      </c>
      <c r="B6501" s="12">
        <v>1280.8839</v>
      </c>
      <c r="C6501" s="12">
        <v>0</v>
      </c>
      <c r="D6501" s="13">
        <v>0</v>
      </c>
      <c r="E6501" s="12">
        <v>0</v>
      </c>
      <c r="F6501" s="14">
        <v>0</v>
      </c>
      <c r="G6501" s="13">
        <v>3871802.0528</v>
      </c>
      <c r="H6501" s="14">
        <v>4959328913.41847</v>
      </c>
      <c r="I6501" s="14" t="e">
        <f>=Round(52142.74010000,0)</f>
        <v>#VALUE!</v>
      </c>
      <c r="J6501" s="14" t="e">
        <f>=Round(0.00000000,0)</f>
        <v>#VALUE!</v>
      </c>
    </row>
    <row r="6502">
      <c r="A6502" s="11" t="s">
        <v>45</v>
      </c>
      <c r="B6502" s="12">
        <v>1281.0899</v>
      </c>
      <c r="C6502" s="12">
        <v>0</v>
      </c>
      <c r="D6502" s="13">
        <v>0</v>
      </c>
      <c r="E6502" s="12">
        <v>0</v>
      </c>
      <c r="F6502" s="14">
        <v>0</v>
      </c>
      <c r="G6502" s="13">
        <v>3871802.0528</v>
      </c>
      <c r="H6502" s="14">
        <v>4960126504.6413469</v>
      </c>
      <c r="I6502" s="14" t="e">
        <f>=Round(52167.80410000,0)</f>
        <v>#VALUE!</v>
      </c>
      <c r="J6502" s="14" t="e">
        <f>=Round(0.00000000,0)</f>
        <v>#VALUE!</v>
      </c>
    </row>
    <row r="6503">
      <c r="A6503" s="11" t="s">
        <v>46</v>
      </c>
      <c r="B6503" s="12">
        <v>1281.2941</v>
      </c>
      <c r="C6503" s="12">
        <v>0</v>
      </c>
      <c r="D6503" s="13">
        <v>0</v>
      </c>
      <c r="E6503" s="12">
        <v>0</v>
      </c>
      <c r="F6503" s="14">
        <v>0</v>
      </c>
      <c r="G6503" s="13">
        <v>3871802.0528</v>
      </c>
      <c r="H6503" s="14">
        <v>4960917126.6205282</v>
      </c>
      <c r="I6503" s="14" t="e">
        <f>=Round(52176.19410000,0)</f>
        <v>#VALUE!</v>
      </c>
      <c r="J6503" s="14" t="e">
        <f>=Round(0.00000000,0)</f>
        <v>#VALUE!</v>
      </c>
    </row>
    <row r="6504">
      <c r="A6504" s="11" t="s">
        <v>47</v>
      </c>
      <c r="B6504" s="12">
        <v>1281.4992</v>
      </c>
      <c r="C6504" s="12">
        <v>0</v>
      </c>
      <c r="D6504" s="13">
        <v>0</v>
      </c>
      <c r="E6504" s="12">
        <v>0</v>
      </c>
      <c r="F6504" s="14">
        <v>0</v>
      </c>
      <c r="G6504" s="13">
        <v>3871802.0528</v>
      </c>
      <c r="H6504" s="14">
        <v>4961711233.2215576</v>
      </c>
      <c r="I6504" s="14" t="e">
        <f>=Round(52184.51080000,0)</f>
        <v>#VALUE!</v>
      </c>
      <c r="J6504" s="14" t="e">
        <f>=Round(0.00000000,0)</f>
        <v>#VALUE!</v>
      </c>
    </row>
    <row r="6505">
      <c r="A6505" s="11" t="s">
        <v>48</v>
      </c>
      <c r="B6505" s="12">
        <v>1281.706</v>
      </c>
      <c r="C6505" s="12">
        <v>0</v>
      </c>
      <c r="D6505" s="13">
        <v>0</v>
      </c>
      <c r="E6505" s="12">
        <v>0</v>
      </c>
      <c r="F6505" s="14">
        <v>0</v>
      </c>
      <c r="G6505" s="13">
        <v>3871802.0528</v>
      </c>
      <c r="H6505" s="14">
        <v>4962511921.8860769</v>
      </c>
      <c r="I6505" s="14" t="e">
        <f>=Round(52192.86410000,0)</f>
        <v>#VALUE!</v>
      </c>
      <c r="J6505" s="14" t="e">
        <f>=Round(0.00000000,0)</f>
        <v>#VALUE!</v>
      </c>
    </row>
    <row r="6506">
      <c r="A6506" s="11" t="s">
        <v>49</v>
      </c>
      <c r="B6506" s="12">
        <v>1281.706</v>
      </c>
      <c r="C6506" s="12">
        <v>0</v>
      </c>
      <c r="D6506" s="13">
        <v>0</v>
      </c>
      <c r="E6506" s="12">
        <v>0</v>
      </c>
      <c r="F6506" s="14">
        <v>0</v>
      </c>
      <c r="G6506" s="13">
        <v>3871802.0528</v>
      </c>
      <c r="H6506" s="14">
        <v>4962511921.8860769</v>
      </c>
      <c r="I6506" s="14" t="e">
        <f>=Round(52201.28660000,0)</f>
        <v>#VALUE!</v>
      </c>
      <c r="J6506" s="14" t="e">
        <f>=Round(0.00000000,0)</f>
        <v>#VALUE!</v>
      </c>
    </row>
    <row r="6507">
      <c r="A6507" s="11" t="s">
        <v>50</v>
      </c>
      <c r="B6507" s="12">
        <v>1281.706</v>
      </c>
      <c r="C6507" s="12">
        <v>0</v>
      </c>
      <c r="D6507" s="13">
        <v>0</v>
      </c>
      <c r="E6507" s="12">
        <v>0</v>
      </c>
      <c r="F6507" s="14">
        <v>0</v>
      </c>
      <c r="G6507" s="13">
        <v>3871802.0528</v>
      </c>
      <c r="H6507" s="14">
        <v>4962511921.8860769</v>
      </c>
      <c r="I6507" s="14" t="e">
        <f>=Round(52201.28660000,0)</f>
        <v>#VALUE!</v>
      </c>
      <c r="J6507" s="14" t="e">
        <f>=Round(0.00000000,0)</f>
        <v>#VALUE!</v>
      </c>
    </row>
    <row r="6508">
      <c r="A6508" s="11" t="s">
        <v>51</v>
      </c>
      <c r="B6508" s="12">
        <v>1282.3206</v>
      </c>
      <c r="C6508" s="12">
        <v>0</v>
      </c>
      <c r="D6508" s="13">
        <v>0</v>
      </c>
      <c r="E6508" s="12">
        <v>0</v>
      </c>
      <c r="F6508" s="14">
        <v>0</v>
      </c>
      <c r="G6508" s="13">
        <v>3871802.0528</v>
      </c>
      <c r="H6508" s="14">
        <v>4964891531.4277277</v>
      </c>
      <c r="I6508" s="14" t="e">
        <f>=Round(52201.28660000,0)</f>
        <v>#VALUE!</v>
      </c>
      <c r="J6508" s="14" t="e">
        <f>=Round(0.00000000,0)</f>
        <v>#VALUE!</v>
      </c>
    </row>
    <row r="6509">
      <c r="A6509" s="11" t="s">
        <v>52</v>
      </c>
      <c r="B6509" s="12">
        <v>1282.524</v>
      </c>
      <c r="C6509" s="12">
        <v>0</v>
      </c>
      <c r="D6509" s="13">
        <v>0</v>
      </c>
      <c r="E6509" s="12">
        <v>0</v>
      </c>
      <c r="F6509" s="14">
        <v>0</v>
      </c>
      <c r="G6509" s="13">
        <v>3871802.0528</v>
      </c>
      <c r="H6509" s="14">
        <v>4965679055.9652672</v>
      </c>
      <c r="I6509" s="14" t="e">
        <f>=Round(52226.31800000,0)</f>
        <v>#VALUE!</v>
      </c>
      <c r="J6509" s="14" t="e">
        <f>=Round(0.00000000,0)</f>
        <v>#VALUE!</v>
      </c>
    </row>
    <row r="6510">
      <c r="A6510" s="11" t="s">
        <v>53</v>
      </c>
      <c r="B6510" s="12">
        <v>1282.7292</v>
      </c>
      <c r="C6510" s="12">
        <v>0</v>
      </c>
      <c r="D6510" s="13">
        <v>0</v>
      </c>
      <c r="E6510" s="12">
        <v>0</v>
      </c>
      <c r="F6510" s="14">
        <v>0</v>
      </c>
      <c r="G6510" s="13">
        <v>3871802.0528</v>
      </c>
      <c r="H6510" s="14">
        <v>4966473549.7465019</v>
      </c>
      <c r="I6510" s="14" t="e">
        <f>=Round(52234.60210000,0)</f>
        <v>#VALUE!</v>
      </c>
      <c r="J6510" s="14" t="e">
        <f>=Round(0.00000000,0)</f>
        <v>#VALUE!</v>
      </c>
    </row>
    <row r="6511">
      <c r="A6511" s="11" t="s">
        <v>54</v>
      </c>
      <c r="B6511" s="12">
        <v>1282.9343</v>
      </c>
      <c r="C6511" s="12">
        <v>0</v>
      </c>
      <c r="D6511" s="13">
        <v>0</v>
      </c>
      <c r="E6511" s="12">
        <v>0</v>
      </c>
      <c r="F6511" s="14">
        <v>0</v>
      </c>
      <c r="G6511" s="13">
        <v>3871802.0528</v>
      </c>
      <c r="H6511" s="14">
        <v>4967267656.3475313</v>
      </c>
      <c r="I6511" s="14" t="e">
        <f>=Round(52242.95950000,0)</f>
        <v>#VALUE!</v>
      </c>
      <c r="J6511" s="14" t="e">
        <f>=Round(0.00000000,0)</f>
        <v>#VALUE!</v>
      </c>
    </row>
    <row r="6512">
      <c r="A6512" s="11" t="s">
        <v>55</v>
      </c>
      <c r="B6512" s="12">
        <v>1283.1158</v>
      </c>
      <c r="C6512" s="12">
        <v>0</v>
      </c>
      <c r="D6512" s="13">
        <v>0</v>
      </c>
      <c r="E6512" s="12">
        <v>0</v>
      </c>
      <c r="F6512" s="14">
        <v>0</v>
      </c>
      <c r="G6512" s="13">
        <v>3871802.0528</v>
      </c>
      <c r="H6512" s="14">
        <v>4967970388.4201136</v>
      </c>
      <c r="I6512" s="14" t="e">
        <f>=Round(52251.31280000,0)</f>
        <v>#VALUE!</v>
      </c>
      <c r="J6512" s="14" t="e">
        <f>=Round(0.00000000,0)</f>
        <v>#VALUE!</v>
      </c>
    </row>
    <row r="6513" ht="-1">
      <c r="A6513" s="15"/>
      <c r="B6513" s="16" t="s">
        <v>56</v>
      </c>
      <c r="C6513" s="15"/>
      <c r="D6513" s="15"/>
      <c r="E6513" s="15"/>
      <c r="F6513" s="15"/>
      <c r="G6513" s="15"/>
      <c r="H6513" s="15"/>
      <c r="I6513" s="17" t="e">
        <f>=Round(SUM(I6487:I6512),0)</f>
        <v>#VALUE!</v>
      </c>
      <c r="J6513" s="17" t="e">
        <f>=Round(SUM(J6487:J6512),0)</f>
        <v>#VALUE!</v>
      </c>
    </row>
    <row r="6514">
      <c r="A6514" s="1" t="s">
        <v>0</v>
      </c>
      <c r="B6514" s="1"/>
      <c r="C6514" s="1"/>
      <c r="D6514" s="1"/>
    </row>
    <row r="6515">
      <c r="A6515" s="0" t="s">
        <v>1</v>
      </c>
      <c r="C6515" s="0" t="s">
        <v>234</v>
      </c>
      <c r="H6515" s="2" t="s">
        <v>3</v>
      </c>
    </row>
    <row r="6516">
      <c r="A6516" s="0" t="s">
        <v>4</v>
      </c>
      <c r="C6516" s="0" t="s">
        <v>242</v>
      </c>
      <c r="H6516" s="3" t="s">
        <v>6</v>
      </c>
    </row>
    <row r="6517">
      <c r="A6517" s="0" t="s">
        <v>7</v>
      </c>
      <c r="C6517" s="4" t="s">
        <v>205</v>
      </c>
      <c r="H6517" s="2" t="s">
        <v>9</v>
      </c>
    </row>
    <row r="6518">
      <c r="A6518" s="0" t="s">
        <v>10</v>
      </c>
      <c r="C6518" s="4" t="s">
        <v>11</v>
      </c>
      <c r="H6518" s="2" t="s">
        <v>12</v>
      </c>
    </row>
    <row r="6519">
      <c r="A6519" s="0" t="s">
        <v>13</v>
      </c>
      <c r="C6519" s="0" t="s">
        <v>14</v>
      </c>
    </row>
    <row r="6520">
      <c r="A6520" s="0" t="s">
        <v>15</v>
      </c>
      <c r="C6520" s="0" t="s">
        <v>16</v>
      </c>
    </row>
    <row r="6521">
      <c r="A6521" s="0" t="s">
        <v>17</v>
      </c>
      <c r="C6521" s="0" t="s">
        <v>18</v>
      </c>
    </row>
    <row r="6524">
      <c r="A6524" s="5" t="s">
        <v>19</v>
      </c>
      <c r="B6524" s="5" t="s">
        <v>20</v>
      </c>
      <c r="C6524" s="7" t="s">
        <v>21</v>
      </c>
      <c r="D6524" s="9"/>
      <c r="E6524" s="7" t="s">
        <v>22</v>
      </c>
      <c r="F6524" s="9"/>
      <c r="G6524" s="5" t="s">
        <v>23</v>
      </c>
      <c r="H6524" s="5" t="s">
        <v>24</v>
      </c>
      <c r="I6524" s="5" t="s">
        <v>206</v>
      </c>
      <c r="J6524" s="5" t="s">
        <v>26</v>
      </c>
    </row>
    <row r="6525">
      <c r="A6525" s="6"/>
      <c r="B6525" s="6"/>
      <c r="C6525" s="8" t="s">
        <v>27</v>
      </c>
      <c r="D6525" s="8" t="s">
        <v>28</v>
      </c>
      <c r="E6525" s="8" t="s">
        <v>27</v>
      </c>
      <c r="F6525" s="8" t="s">
        <v>28</v>
      </c>
      <c r="G6525" s="6"/>
      <c r="H6525" s="6"/>
      <c r="I6525" s="10" t="s">
        <v>29</v>
      </c>
      <c r="J6525" s="6"/>
    </row>
    <row r="6526">
      <c r="A6526" s="11" t="s">
        <v>30</v>
      </c>
      <c r="B6526" s="12">
        <v>1278.0261</v>
      </c>
      <c r="C6526" s="12">
        <v>0</v>
      </c>
      <c r="D6526" s="13">
        <v>0</v>
      </c>
      <c r="E6526" s="12">
        <v>0</v>
      </c>
      <c r="F6526" s="14">
        <v>0</v>
      </c>
      <c r="G6526" s="13">
        <v>859278.8738</v>
      </c>
      <c r="H6526" s="14">
        <v>1098180827.8950059</v>
      </c>
      <c r="I6526" s="14" t="e">
        <f>=Round(11546.37400000,0)</f>
        <v>#VALUE!</v>
      </c>
      <c r="J6526" s="14" t="e">
        <f>=Round(0.00000000,0)</f>
        <v>#VALUE!</v>
      </c>
    </row>
    <row r="6527">
      <c r="A6527" s="11" t="s">
        <v>31</v>
      </c>
      <c r="B6527" s="12">
        <v>1278.2299</v>
      </c>
      <c r="C6527" s="12">
        <v>0</v>
      </c>
      <c r="D6527" s="13">
        <v>0</v>
      </c>
      <c r="E6527" s="12">
        <v>0</v>
      </c>
      <c r="F6527" s="14">
        <v>0</v>
      </c>
      <c r="G6527" s="13">
        <v>859278.8738</v>
      </c>
      <c r="H6527" s="14">
        <v>1098355948.929487</v>
      </c>
      <c r="I6527" s="14" t="e">
        <f>=Round(11551.90220000,0)</f>
        <v>#VALUE!</v>
      </c>
      <c r="J6527" s="14" t="e">
        <f>=Round(0.00000000,0)</f>
        <v>#VALUE!</v>
      </c>
    </row>
    <row r="6528">
      <c r="A6528" s="11" t="s">
        <v>32</v>
      </c>
      <c r="B6528" s="12">
        <v>1278.4335</v>
      </c>
      <c r="C6528" s="12">
        <v>0</v>
      </c>
      <c r="D6528" s="13">
        <v>0</v>
      </c>
      <c r="E6528" s="12">
        <v>0</v>
      </c>
      <c r="F6528" s="14">
        <v>0</v>
      </c>
      <c r="G6528" s="13">
        <v>859278.8738</v>
      </c>
      <c r="H6528" s="14">
        <v>1098530898.108192</v>
      </c>
      <c r="I6528" s="14" t="e">
        <f>=Round(11553.74430000,0)</f>
        <v>#VALUE!</v>
      </c>
      <c r="J6528" s="14" t="e">
        <f>=Round(0.00000000,0)</f>
        <v>#VALUE!</v>
      </c>
    </row>
    <row r="6529">
      <c r="A6529" s="11" t="s">
        <v>33</v>
      </c>
      <c r="B6529" s="12">
        <v>1278.6325</v>
      </c>
      <c r="C6529" s="12">
        <v>0</v>
      </c>
      <c r="D6529" s="13">
        <v>0</v>
      </c>
      <c r="E6529" s="12">
        <v>0</v>
      </c>
      <c r="F6529" s="14">
        <v>0</v>
      </c>
      <c r="G6529" s="13">
        <v>859278.8738</v>
      </c>
      <c r="H6529" s="14">
        <v>1098701894.604079</v>
      </c>
      <c r="I6529" s="14" t="e">
        <f>=Round(11555.58460000,0)</f>
        <v>#VALUE!</v>
      </c>
      <c r="J6529" s="14" t="e">
        <f>=Round(0.00000000,0)</f>
        <v>#VALUE!</v>
      </c>
    </row>
    <row r="6530">
      <c r="A6530" s="11" t="s">
        <v>34</v>
      </c>
      <c r="B6530" s="12">
        <v>1278.837</v>
      </c>
      <c r="C6530" s="12">
        <v>0</v>
      </c>
      <c r="D6530" s="13">
        <v>0</v>
      </c>
      <c r="E6530" s="12">
        <v>0</v>
      </c>
      <c r="F6530" s="14">
        <v>0</v>
      </c>
      <c r="G6530" s="13">
        <v>859278.8738</v>
      </c>
      <c r="H6530" s="14">
        <v>1098877617.1337709</v>
      </c>
      <c r="I6530" s="14" t="e">
        <f>=Round(11557.38330000,0)</f>
        <v>#VALUE!</v>
      </c>
      <c r="J6530" s="14" t="e">
        <f>=Round(0.00000000,0)</f>
        <v>#VALUE!</v>
      </c>
    </row>
    <row r="6531">
      <c r="A6531" s="11" t="s">
        <v>35</v>
      </c>
      <c r="B6531" s="12">
        <v>1278.837</v>
      </c>
      <c r="C6531" s="12">
        <v>0</v>
      </c>
      <c r="D6531" s="13">
        <v>0</v>
      </c>
      <c r="E6531" s="12">
        <v>0</v>
      </c>
      <c r="F6531" s="14">
        <v>0</v>
      </c>
      <c r="G6531" s="13">
        <v>859278.8738</v>
      </c>
      <c r="H6531" s="14">
        <v>1098877617.1337709</v>
      </c>
      <c r="I6531" s="14" t="e">
        <f>=Round(11559.23180000,0)</f>
        <v>#VALUE!</v>
      </c>
      <c r="J6531" s="14" t="e">
        <f>=Round(0.00000000,0)</f>
        <v>#VALUE!</v>
      </c>
    </row>
    <row r="6532">
      <c r="A6532" s="11" t="s">
        <v>36</v>
      </c>
      <c r="B6532" s="12">
        <v>1278.837</v>
      </c>
      <c r="C6532" s="12">
        <v>0</v>
      </c>
      <c r="D6532" s="13">
        <v>0</v>
      </c>
      <c r="E6532" s="12">
        <v>0</v>
      </c>
      <c r="F6532" s="14">
        <v>0</v>
      </c>
      <c r="G6532" s="13">
        <v>859278.8738</v>
      </c>
      <c r="H6532" s="14">
        <v>1098877617.1337709</v>
      </c>
      <c r="I6532" s="14" t="e">
        <f>=Round(11559.23180000,0)</f>
        <v>#VALUE!</v>
      </c>
      <c r="J6532" s="14" t="e">
        <f>=Round(0.00000000,0)</f>
        <v>#VALUE!</v>
      </c>
    </row>
    <row r="6533">
      <c r="A6533" s="11" t="s">
        <v>37</v>
      </c>
      <c r="B6533" s="12">
        <v>1279.4503</v>
      </c>
      <c r="C6533" s="12">
        <v>0</v>
      </c>
      <c r="D6533" s="13">
        <v>0</v>
      </c>
      <c r="E6533" s="12">
        <v>0</v>
      </c>
      <c r="F6533" s="14">
        <v>0</v>
      </c>
      <c r="G6533" s="13">
        <v>859278.8738</v>
      </c>
      <c r="H6533" s="14">
        <v>1099404612.8670721</v>
      </c>
      <c r="I6533" s="14" t="e">
        <f>=Round(11559.23180000,0)</f>
        <v>#VALUE!</v>
      </c>
      <c r="J6533" s="14" t="e">
        <f>=Round(0.00000000,0)</f>
        <v>#VALUE!</v>
      </c>
    </row>
    <row r="6534">
      <c r="A6534" s="11" t="s">
        <v>38</v>
      </c>
      <c r="B6534" s="12">
        <v>1279.6545</v>
      </c>
      <c r="C6534" s="12">
        <v>0</v>
      </c>
      <c r="D6534" s="13">
        <v>0</v>
      </c>
      <c r="E6534" s="12">
        <v>0</v>
      </c>
      <c r="F6534" s="14">
        <v>0</v>
      </c>
      <c r="G6534" s="13">
        <v>859278.8738</v>
      </c>
      <c r="H6534" s="14">
        <v>1099580077.613102</v>
      </c>
      <c r="I6534" s="14" t="e">
        <f>=Round(11564.77530000,0)</f>
        <v>#VALUE!</v>
      </c>
      <c r="J6534" s="14" t="e">
        <f>=Round(0.00000000,0)</f>
        <v>#VALUE!</v>
      </c>
    </row>
    <row r="6535">
      <c r="A6535" s="11" t="s">
        <v>39</v>
      </c>
      <c r="B6535" s="12">
        <v>1279.8598</v>
      </c>
      <c r="C6535" s="12">
        <v>0</v>
      </c>
      <c r="D6535" s="13">
        <v>0</v>
      </c>
      <c r="E6535" s="12">
        <v>0</v>
      </c>
      <c r="F6535" s="14">
        <v>0</v>
      </c>
      <c r="G6535" s="13">
        <v>859278.8738</v>
      </c>
      <c r="H6535" s="14">
        <v>1099756487.5658929</v>
      </c>
      <c r="I6535" s="14" t="e">
        <f>=Round(11566.62100000,0)</f>
        <v>#VALUE!</v>
      </c>
      <c r="J6535" s="14" t="e">
        <f>=Round(0.00000000,0)</f>
        <v>#VALUE!</v>
      </c>
    </row>
    <row r="6536">
      <c r="A6536" s="11" t="s">
        <v>40</v>
      </c>
      <c r="B6536" s="12">
        <v>1280.0644</v>
      </c>
      <c r="C6536" s="12">
        <v>0</v>
      </c>
      <c r="D6536" s="13">
        <v>0</v>
      </c>
      <c r="E6536" s="12">
        <v>0</v>
      </c>
      <c r="F6536" s="14">
        <v>0</v>
      </c>
      <c r="G6536" s="13">
        <v>859278.8738</v>
      </c>
      <c r="H6536" s="14">
        <v>1099932296.023473</v>
      </c>
      <c r="I6536" s="14" t="e">
        <f>=Round(11568.47670000,0)</f>
        <v>#VALUE!</v>
      </c>
      <c r="J6536" s="14" t="e">
        <f>=Round(0.00000000,0)</f>
        <v>#VALUE!</v>
      </c>
    </row>
    <row r="6537">
      <c r="A6537" s="11" t="s">
        <v>41</v>
      </c>
      <c r="B6537" s="12">
        <v>1280.2685</v>
      </c>
      <c r="C6537" s="12">
        <v>0</v>
      </c>
      <c r="D6537" s="13">
        <v>0</v>
      </c>
      <c r="E6537" s="12">
        <v>0</v>
      </c>
      <c r="F6537" s="14">
        <v>0</v>
      </c>
      <c r="G6537" s="13">
        <v>859278.8738</v>
      </c>
      <c r="H6537" s="14">
        <v>1100107674.841615</v>
      </c>
      <c r="I6537" s="14" t="e">
        <f>=Round(11570.32610000,0)</f>
        <v>#VALUE!</v>
      </c>
      <c r="J6537" s="14" t="e">
        <f>=Round(0.00000000,0)</f>
        <v>#VALUE!</v>
      </c>
    </row>
    <row r="6538">
      <c r="A6538" s="11" t="s">
        <v>42</v>
      </c>
      <c r="B6538" s="12">
        <v>1280.2685</v>
      </c>
      <c r="C6538" s="12">
        <v>0</v>
      </c>
      <c r="D6538" s="13">
        <v>0</v>
      </c>
      <c r="E6538" s="12">
        <v>0</v>
      </c>
      <c r="F6538" s="14">
        <v>0</v>
      </c>
      <c r="G6538" s="13">
        <v>859278.8738</v>
      </c>
      <c r="H6538" s="14">
        <v>1100107674.841615</v>
      </c>
      <c r="I6538" s="14" t="e">
        <f>=Round(11572.17090000,0)</f>
        <v>#VALUE!</v>
      </c>
      <c r="J6538" s="14" t="e">
        <f>=Round(0.00000000,0)</f>
        <v>#VALUE!</v>
      </c>
    </row>
    <row r="6539">
      <c r="A6539" s="11" t="s">
        <v>43</v>
      </c>
      <c r="B6539" s="12">
        <v>1280.2685</v>
      </c>
      <c r="C6539" s="12">
        <v>0</v>
      </c>
      <c r="D6539" s="13">
        <v>0</v>
      </c>
      <c r="E6539" s="12">
        <v>0</v>
      </c>
      <c r="F6539" s="14">
        <v>0</v>
      </c>
      <c r="G6539" s="13">
        <v>859278.8738</v>
      </c>
      <c r="H6539" s="14">
        <v>1100107674.841615</v>
      </c>
      <c r="I6539" s="14" t="e">
        <f>=Round(11572.17090000,0)</f>
        <v>#VALUE!</v>
      </c>
      <c r="J6539" s="14" t="e">
        <f>=Round(0.00000000,0)</f>
        <v>#VALUE!</v>
      </c>
    </row>
    <row r="6540">
      <c r="A6540" s="11" t="s">
        <v>44</v>
      </c>
      <c r="B6540" s="12">
        <v>1280.8839</v>
      </c>
      <c r="C6540" s="12">
        <v>0</v>
      </c>
      <c r="D6540" s="13">
        <v>0</v>
      </c>
      <c r="E6540" s="12">
        <v>0</v>
      </c>
      <c r="F6540" s="14">
        <v>0</v>
      </c>
      <c r="G6540" s="13">
        <v>859278.8738</v>
      </c>
      <c r="H6540" s="14">
        <v>1100636475.0605519</v>
      </c>
      <c r="I6540" s="14" t="e">
        <f>=Round(11572.17090000,0)</f>
        <v>#VALUE!</v>
      </c>
      <c r="J6540" s="14" t="e">
        <f>=Round(0.00000000,0)</f>
        <v>#VALUE!</v>
      </c>
    </row>
    <row r="6541">
      <c r="A6541" s="11" t="s">
        <v>45</v>
      </c>
      <c r="B6541" s="12">
        <v>1281.0899</v>
      </c>
      <c r="C6541" s="12">
        <v>0</v>
      </c>
      <c r="D6541" s="13">
        <v>0</v>
      </c>
      <c r="E6541" s="12">
        <v>0</v>
      </c>
      <c r="F6541" s="14">
        <v>0</v>
      </c>
      <c r="G6541" s="13">
        <v>859278.8738</v>
      </c>
      <c r="H6541" s="14">
        <v>1100813486.5085549</v>
      </c>
      <c r="I6541" s="14" t="e">
        <f>=Round(11577.73340000,0)</f>
        <v>#VALUE!</v>
      </c>
      <c r="J6541" s="14" t="e">
        <f>=Round(0.00000000,0)</f>
        <v>#VALUE!</v>
      </c>
    </row>
    <row r="6542">
      <c r="A6542" s="11" t="s">
        <v>46</v>
      </c>
      <c r="B6542" s="12">
        <v>1281.2941</v>
      </c>
      <c r="C6542" s="12">
        <v>0</v>
      </c>
      <c r="D6542" s="13">
        <v>0</v>
      </c>
      <c r="E6542" s="12">
        <v>0</v>
      </c>
      <c r="F6542" s="14">
        <v>0</v>
      </c>
      <c r="G6542" s="13">
        <v>859278.8738</v>
      </c>
      <c r="H6542" s="14">
        <v>1100988951.254585</v>
      </c>
      <c r="I6542" s="14" t="e">
        <f>=Round(11579.59540000,0)</f>
        <v>#VALUE!</v>
      </c>
      <c r="J6542" s="14" t="e">
        <f>=Round(0.00000000,0)</f>
        <v>#VALUE!</v>
      </c>
    </row>
    <row r="6543">
      <c r="A6543" s="11" t="s">
        <v>47</v>
      </c>
      <c r="B6543" s="12">
        <v>1281.4992</v>
      </c>
      <c r="C6543" s="12">
        <v>0</v>
      </c>
      <c r="D6543" s="13">
        <v>0</v>
      </c>
      <c r="E6543" s="12">
        <v>0</v>
      </c>
      <c r="F6543" s="14">
        <v>0</v>
      </c>
      <c r="G6543" s="13">
        <v>859278.8738</v>
      </c>
      <c r="H6543" s="14">
        <v>1101165189.3516009</v>
      </c>
      <c r="I6543" s="14" t="e">
        <f>=Round(11581.44120000,0)</f>
        <v>#VALUE!</v>
      </c>
      <c r="J6543" s="14" t="e">
        <f>=Round(0.00000000,0)</f>
        <v>#VALUE!</v>
      </c>
    </row>
    <row r="6544">
      <c r="A6544" s="11" t="s">
        <v>48</v>
      </c>
      <c r="B6544" s="12">
        <v>1281.706</v>
      </c>
      <c r="C6544" s="12">
        <v>0</v>
      </c>
      <c r="D6544" s="13">
        <v>0</v>
      </c>
      <c r="E6544" s="12">
        <v>0</v>
      </c>
      <c r="F6544" s="14">
        <v>0</v>
      </c>
      <c r="G6544" s="13">
        <v>859278.8738</v>
      </c>
      <c r="H6544" s="14">
        <v>1101342888.222703</v>
      </c>
      <c r="I6544" s="14" t="e">
        <f>=Round(11583.29500000,0)</f>
        <v>#VALUE!</v>
      </c>
      <c r="J6544" s="14" t="e">
        <f>=Round(0.00000000,0)</f>
        <v>#VALUE!</v>
      </c>
    </row>
    <row r="6545">
      <c r="A6545" s="11" t="s">
        <v>49</v>
      </c>
      <c r="B6545" s="12">
        <v>1281.706</v>
      </c>
      <c r="C6545" s="12">
        <v>0</v>
      </c>
      <c r="D6545" s="13">
        <v>0</v>
      </c>
      <c r="E6545" s="12">
        <v>0</v>
      </c>
      <c r="F6545" s="14">
        <v>0</v>
      </c>
      <c r="G6545" s="13">
        <v>859278.8738</v>
      </c>
      <c r="H6545" s="14">
        <v>1101342888.222703</v>
      </c>
      <c r="I6545" s="14" t="e">
        <f>=Round(11585.16430000,0)</f>
        <v>#VALUE!</v>
      </c>
      <c r="J6545" s="14" t="e">
        <f>=Round(0.00000000,0)</f>
        <v>#VALUE!</v>
      </c>
    </row>
    <row r="6546">
      <c r="A6546" s="11" t="s">
        <v>50</v>
      </c>
      <c r="B6546" s="12">
        <v>1281.706</v>
      </c>
      <c r="C6546" s="12">
        <v>0</v>
      </c>
      <c r="D6546" s="13">
        <v>0</v>
      </c>
      <c r="E6546" s="12">
        <v>0</v>
      </c>
      <c r="F6546" s="14">
        <v>0</v>
      </c>
      <c r="G6546" s="13">
        <v>859278.8738</v>
      </c>
      <c r="H6546" s="14">
        <v>1101342888.222703</v>
      </c>
      <c r="I6546" s="14" t="e">
        <f>=Round(11585.16430000,0)</f>
        <v>#VALUE!</v>
      </c>
      <c r="J6546" s="14" t="e">
        <f>=Round(0.00000000,0)</f>
        <v>#VALUE!</v>
      </c>
    </row>
    <row r="6547">
      <c r="A6547" s="11" t="s">
        <v>51</v>
      </c>
      <c r="B6547" s="12">
        <v>1282.3206</v>
      </c>
      <c r="C6547" s="12">
        <v>0</v>
      </c>
      <c r="D6547" s="13">
        <v>0</v>
      </c>
      <c r="E6547" s="12">
        <v>0</v>
      </c>
      <c r="F6547" s="14">
        <v>0</v>
      </c>
      <c r="G6547" s="13">
        <v>859278.8738</v>
      </c>
      <c r="H6547" s="14">
        <v>1101871001.01854</v>
      </c>
      <c r="I6547" s="14" t="e">
        <f>=Round(11585.16430000,0)</f>
        <v>#VALUE!</v>
      </c>
      <c r="J6547" s="14" t="e">
        <f>=Round(0.00000000,0)</f>
        <v>#VALUE!</v>
      </c>
    </row>
    <row r="6548">
      <c r="A6548" s="11" t="s">
        <v>52</v>
      </c>
      <c r="B6548" s="12">
        <v>1282.524</v>
      </c>
      <c r="C6548" s="12">
        <v>0</v>
      </c>
      <c r="D6548" s="13">
        <v>0</v>
      </c>
      <c r="E6548" s="12">
        <v>0</v>
      </c>
      <c r="F6548" s="14">
        <v>0</v>
      </c>
      <c r="G6548" s="13">
        <v>859278.8738</v>
      </c>
      <c r="H6548" s="14">
        <v>1102045778.341471</v>
      </c>
      <c r="I6548" s="14" t="e">
        <f>=Round(11590.71950000,0)</f>
        <v>#VALUE!</v>
      </c>
      <c r="J6548" s="14" t="e">
        <f>=Round(0.00000000,0)</f>
        <v>#VALUE!</v>
      </c>
    </row>
    <row r="6549">
      <c r="A6549" s="11" t="s">
        <v>53</v>
      </c>
      <c r="B6549" s="12">
        <v>1282.7292</v>
      </c>
      <c r="C6549" s="12">
        <v>0</v>
      </c>
      <c r="D6549" s="13">
        <v>0</v>
      </c>
      <c r="E6549" s="12">
        <v>0</v>
      </c>
      <c r="F6549" s="14">
        <v>0</v>
      </c>
      <c r="G6549" s="13">
        <v>859278.8738</v>
      </c>
      <c r="H6549" s="14">
        <v>1102222102.366375</v>
      </c>
      <c r="I6549" s="14" t="e">
        <f>=Round(11592.55810000,0)</f>
        <v>#VALUE!</v>
      </c>
      <c r="J6549" s="14" t="e">
        <f>=Round(0.00000000,0)</f>
        <v>#VALUE!</v>
      </c>
    </row>
    <row r="6550">
      <c r="A6550" s="11" t="s">
        <v>54</v>
      </c>
      <c r="B6550" s="12">
        <v>1282.9343</v>
      </c>
      <c r="C6550" s="12">
        <v>0</v>
      </c>
      <c r="D6550" s="13">
        <v>0</v>
      </c>
      <c r="E6550" s="12">
        <v>0</v>
      </c>
      <c r="F6550" s="14">
        <v>0</v>
      </c>
      <c r="G6550" s="13">
        <v>859278.8738</v>
      </c>
      <c r="H6550" s="14">
        <v>1102398340.4633911</v>
      </c>
      <c r="I6550" s="14" t="e">
        <f>=Round(11594.41280000,0)</f>
        <v>#VALUE!</v>
      </c>
      <c r="J6550" s="14" t="e">
        <f>=Round(0.00000000,0)</f>
        <v>#VALUE!</v>
      </c>
    </row>
    <row r="6551">
      <c r="A6551" s="11" t="s">
        <v>55</v>
      </c>
      <c r="B6551" s="12">
        <v>1283.1158</v>
      </c>
      <c r="C6551" s="12">
        <v>0</v>
      </c>
      <c r="D6551" s="13">
        <v>0</v>
      </c>
      <c r="E6551" s="12">
        <v>0</v>
      </c>
      <c r="F6551" s="14">
        <v>0</v>
      </c>
      <c r="G6551" s="13">
        <v>859278.8738</v>
      </c>
      <c r="H6551" s="14">
        <v>1102554299.5789859</v>
      </c>
      <c r="I6551" s="14" t="e">
        <f>=Round(11596.26670000,0)</f>
        <v>#VALUE!</v>
      </c>
      <c r="J6551" s="14" t="e">
        <f>=Round(0.00000000,0)</f>
        <v>#VALUE!</v>
      </c>
    </row>
    <row r="6552" ht="-1">
      <c r="A6552" s="15"/>
      <c r="B6552" s="16" t="s">
        <v>56</v>
      </c>
      <c r="C6552" s="15"/>
      <c r="D6552" s="15"/>
      <c r="E6552" s="15"/>
      <c r="F6552" s="15"/>
      <c r="G6552" s="15"/>
      <c r="H6552" s="15"/>
      <c r="I6552" s="17" t="e">
        <f>=Round(SUM(I6526:I6551),0)</f>
        <v>#VALUE!</v>
      </c>
      <c r="J6552" s="17" t="e">
        <f>=Round(SUM(J6526:J6551),0)</f>
        <v>#VALUE!</v>
      </c>
    </row>
    <row r="6553">
      <c r="A6553" s="1" t="s">
        <v>0</v>
      </c>
      <c r="B6553" s="1"/>
      <c r="C6553" s="1"/>
      <c r="D6553" s="1"/>
    </row>
    <row r="6554">
      <c r="A6554" s="0" t="s">
        <v>1</v>
      </c>
      <c r="C6554" s="0" t="s">
        <v>234</v>
      </c>
      <c r="H6554" s="2" t="s">
        <v>3</v>
      </c>
    </row>
    <row r="6555">
      <c r="A6555" s="0" t="s">
        <v>4</v>
      </c>
      <c r="C6555" s="0" t="s">
        <v>243</v>
      </c>
      <c r="H6555" s="3" t="s">
        <v>6</v>
      </c>
    </row>
    <row r="6556">
      <c r="A6556" s="0" t="s">
        <v>7</v>
      </c>
      <c r="C6556" s="4" t="s">
        <v>205</v>
      </c>
      <c r="H6556" s="2" t="s">
        <v>9</v>
      </c>
    </row>
    <row r="6557">
      <c r="A6557" s="0" t="s">
        <v>10</v>
      </c>
      <c r="C6557" s="4" t="s">
        <v>11</v>
      </c>
      <c r="H6557" s="2" t="s">
        <v>12</v>
      </c>
    </row>
    <row r="6558">
      <c r="A6558" s="0" t="s">
        <v>13</v>
      </c>
      <c r="C6558" s="0" t="s">
        <v>14</v>
      </c>
    </row>
    <row r="6559">
      <c r="A6559" s="0" t="s">
        <v>15</v>
      </c>
      <c r="C6559" s="0" t="s">
        <v>16</v>
      </c>
    </row>
    <row r="6560">
      <c r="A6560" s="0" t="s">
        <v>17</v>
      </c>
      <c r="C6560" s="0" t="s">
        <v>18</v>
      </c>
    </row>
    <row r="6563">
      <c r="A6563" s="5" t="s">
        <v>19</v>
      </c>
      <c r="B6563" s="5" t="s">
        <v>20</v>
      </c>
      <c r="C6563" s="7" t="s">
        <v>21</v>
      </c>
      <c r="D6563" s="9"/>
      <c r="E6563" s="7" t="s">
        <v>22</v>
      </c>
      <c r="F6563" s="9"/>
      <c r="G6563" s="5" t="s">
        <v>23</v>
      </c>
      <c r="H6563" s="5" t="s">
        <v>24</v>
      </c>
      <c r="I6563" s="5" t="s">
        <v>206</v>
      </c>
      <c r="J6563" s="5" t="s">
        <v>26</v>
      </c>
    </row>
    <row r="6564">
      <c r="A6564" s="6"/>
      <c r="B6564" s="6"/>
      <c r="C6564" s="8" t="s">
        <v>27</v>
      </c>
      <c r="D6564" s="8" t="s">
        <v>28</v>
      </c>
      <c r="E6564" s="8" t="s">
        <v>27</v>
      </c>
      <c r="F6564" s="8" t="s">
        <v>28</v>
      </c>
      <c r="G6564" s="6"/>
      <c r="H6564" s="6"/>
      <c r="I6564" s="10" t="s">
        <v>29</v>
      </c>
      <c r="J6564" s="6"/>
    </row>
    <row r="6565">
      <c r="A6565" s="11" t="s">
        <v>30</v>
      </c>
      <c r="B6565" s="12">
        <v>1278.0261</v>
      </c>
      <c r="C6565" s="12">
        <v>0</v>
      </c>
      <c r="D6565" s="13">
        <v>0</v>
      </c>
      <c r="E6565" s="12">
        <v>0</v>
      </c>
      <c r="F6565" s="14">
        <v>0</v>
      </c>
      <c r="G6565" s="13">
        <v>269975.6902</v>
      </c>
      <c r="H6565" s="14">
        <v>345035978.441114</v>
      </c>
      <c r="I6565" s="14" t="e">
        <f>=Round(3627.73990000,0)</f>
        <v>#VALUE!</v>
      </c>
      <c r="J6565" s="14" t="e">
        <f>=Round(0.00000000,0)</f>
        <v>#VALUE!</v>
      </c>
    </row>
    <row r="6566">
      <c r="A6566" s="11" t="s">
        <v>31</v>
      </c>
      <c r="B6566" s="12">
        <v>1278.2299</v>
      </c>
      <c r="C6566" s="12">
        <v>0</v>
      </c>
      <c r="D6566" s="13">
        <v>0</v>
      </c>
      <c r="E6566" s="12">
        <v>0</v>
      </c>
      <c r="F6566" s="14">
        <v>0</v>
      </c>
      <c r="G6566" s="13">
        <v>269975.6902</v>
      </c>
      <c r="H6566" s="14">
        <v>345090999.486777</v>
      </c>
      <c r="I6566" s="14" t="e">
        <f>=Round(3629.47680000,0)</f>
        <v>#VALUE!</v>
      </c>
      <c r="J6566" s="14" t="e">
        <f>=Round(0.00000000,0)</f>
        <v>#VALUE!</v>
      </c>
    </row>
    <row r="6567">
      <c r="A6567" s="11" t="s">
        <v>32</v>
      </c>
      <c r="B6567" s="12">
        <v>1278.4335</v>
      </c>
      <c r="C6567" s="12">
        <v>0</v>
      </c>
      <c r="D6567" s="13">
        <v>0</v>
      </c>
      <c r="E6567" s="12">
        <v>0</v>
      </c>
      <c r="F6567" s="14">
        <v>0</v>
      </c>
      <c r="G6567" s="13">
        <v>269975.6902</v>
      </c>
      <c r="H6567" s="14">
        <v>345145966.537302</v>
      </c>
      <c r="I6567" s="14" t="e">
        <f>=Round(3630.05560000,0)</f>
        <v>#VALUE!</v>
      </c>
      <c r="J6567" s="14" t="e">
        <f>=Round(0.00000000,0)</f>
        <v>#VALUE!</v>
      </c>
    </row>
    <row r="6568">
      <c r="A6568" s="11" t="s">
        <v>33</v>
      </c>
      <c r="B6568" s="12">
        <v>1278.6325</v>
      </c>
      <c r="C6568" s="12">
        <v>0</v>
      </c>
      <c r="D6568" s="13">
        <v>0</v>
      </c>
      <c r="E6568" s="12">
        <v>0</v>
      </c>
      <c r="F6568" s="14">
        <v>0</v>
      </c>
      <c r="G6568" s="13">
        <v>269975.6902</v>
      </c>
      <c r="H6568" s="14">
        <v>345199691.699652</v>
      </c>
      <c r="I6568" s="14" t="e">
        <f>=Round(3630.63380000,0)</f>
        <v>#VALUE!</v>
      </c>
      <c r="J6568" s="14" t="e">
        <f>=Round(0.00000000,0)</f>
        <v>#VALUE!</v>
      </c>
    </row>
    <row r="6569">
      <c r="A6569" s="11" t="s">
        <v>34</v>
      </c>
      <c r="B6569" s="12">
        <v>1278.837</v>
      </c>
      <c r="C6569" s="12">
        <v>0</v>
      </c>
      <c r="D6569" s="13">
        <v>0</v>
      </c>
      <c r="E6569" s="12">
        <v>0</v>
      </c>
      <c r="F6569" s="14">
        <v>0</v>
      </c>
      <c r="G6569" s="13">
        <v>269975.6902</v>
      </c>
      <c r="H6569" s="14">
        <v>345254901.728297</v>
      </c>
      <c r="I6569" s="14" t="e">
        <f>=Round(3631.19890000,0)</f>
        <v>#VALUE!</v>
      </c>
      <c r="J6569" s="14" t="e">
        <f>=Round(0.00000000,0)</f>
        <v>#VALUE!</v>
      </c>
    </row>
    <row r="6570">
      <c r="A6570" s="11" t="s">
        <v>35</v>
      </c>
      <c r="B6570" s="12">
        <v>1278.837</v>
      </c>
      <c r="C6570" s="12">
        <v>0</v>
      </c>
      <c r="D6570" s="13">
        <v>0</v>
      </c>
      <c r="E6570" s="12">
        <v>0</v>
      </c>
      <c r="F6570" s="14">
        <v>0</v>
      </c>
      <c r="G6570" s="13">
        <v>269975.6902</v>
      </c>
      <c r="H6570" s="14">
        <v>345254901.728297</v>
      </c>
      <c r="I6570" s="14" t="e">
        <f>=Round(3631.77970000,0)</f>
        <v>#VALUE!</v>
      </c>
      <c r="J6570" s="14" t="e">
        <f>=Round(0.00000000,0)</f>
        <v>#VALUE!</v>
      </c>
    </row>
    <row r="6571">
      <c r="A6571" s="11" t="s">
        <v>36</v>
      </c>
      <c r="B6571" s="12">
        <v>1278.837</v>
      </c>
      <c r="C6571" s="12">
        <v>0</v>
      </c>
      <c r="D6571" s="13">
        <v>0</v>
      </c>
      <c r="E6571" s="12">
        <v>0</v>
      </c>
      <c r="F6571" s="14">
        <v>0</v>
      </c>
      <c r="G6571" s="13">
        <v>269975.6902</v>
      </c>
      <c r="H6571" s="14">
        <v>345254901.728297</v>
      </c>
      <c r="I6571" s="14" t="e">
        <f>=Round(3631.77970000,0)</f>
        <v>#VALUE!</v>
      </c>
      <c r="J6571" s="14" t="e">
        <f>=Round(0.00000000,0)</f>
        <v>#VALUE!</v>
      </c>
    </row>
    <row r="6572">
      <c r="A6572" s="11" t="s">
        <v>37</v>
      </c>
      <c r="B6572" s="12">
        <v>1279.4503</v>
      </c>
      <c r="C6572" s="12">
        <v>0</v>
      </c>
      <c r="D6572" s="13">
        <v>0</v>
      </c>
      <c r="E6572" s="12">
        <v>0</v>
      </c>
      <c r="F6572" s="14">
        <v>0</v>
      </c>
      <c r="G6572" s="13">
        <v>269975.6902</v>
      </c>
      <c r="H6572" s="14">
        <v>345420477.819097</v>
      </c>
      <c r="I6572" s="14" t="e">
        <f>=Round(3631.77970000,0)</f>
        <v>#VALUE!</v>
      </c>
      <c r="J6572" s="14" t="e">
        <f>=Round(0.00000000,0)</f>
        <v>#VALUE!</v>
      </c>
    </row>
    <row r="6573">
      <c r="A6573" s="11" t="s">
        <v>38</v>
      </c>
      <c r="B6573" s="12">
        <v>1279.6545</v>
      </c>
      <c r="C6573" s="12">
        <v>0</v>
      </c>
      <c r="D6573" s="13">
        <v>0</v>
      </c>
      <c r="E6573" s="12">
        <v>0</v>
      </c>
      <c r="F6573" s="14">
        <v>0</v>
      </c>
      <c r="G6573" s="13">
        <v>269975.6902</v>
      </c>
      <c r="H6573" s="14">
        <v>345475606.855036</v>
      </c>
      <c r="I6573" s="14" t="e">
        <f>=Round(3633.52140000,0)</f>
        <v>#VALUE!</v>
      </c>
      <c r="J6573" s="14" t="e">
        <f>=Round(0.00000000,0)</f>
        <v>#VALUE!</v>
      </c>
    </row>
    <row r="6574">
      <c r="A6574" s="11" t="s">
        <v>39</v>
      </c>
      <c r="B6574" s="12">
        <v>1279.8598</v>
      </c>
      <c r="C6574" s="12">
        <v>0</v>
      </c>
      <c r="D6574" s="13">
        <v>0</v>
      </c>
      <c r="E6574" s="12">
        <v>0</v>
      </c>
      <c r="F6574" s="14">
        <v>0</v>
      </c>
      <c r="G6574" s="13">
        <v>269975.6902</v>
      </c>
      <c r="H6574" s="14">
        <v>345531032.864234</v>
      </c>
      <c r="I6574" s="14" t="e">
        <f>=Round(3634.10130000,0)</f>
        <v>#VALUE!</v>
      </c>
      <c r="J6574" s="14" t="e">
        <f>=Round(0.00000000,0)</f>
        <v>#VALUE!</v>
      </c>
    </row>
    <row r="6575">
      <c r="A6575" s="11" t="s">
        <v>40</v>
      </c>
      <c r="B6575" s="12">
        <v>1280.0644</v>
      </c>
      <c r="C6575" s="12">
        <v>0</v>
      </c>
      <c r="D6575" s="13">
        <v>0</v>
      </c>
      <c r="E6575" s="12">
        <v>0</v>
      </c>
      <c r="F6575" s="14">
        <v>0</v>
      </c>
      <c r="G6575" s="13">
        <v>269975.6902</v>
      </c>
      <c r="H6575" s="14">
        <v>345586269.890449</v>
      </c>
      <c r="I6575" s="14" t="e">
        <f>=Round(3634.68440000,0)</f>
        <v>#VALUE!</v>
      </c>
      <c r="J6575" s="14" t="e">
        <f>=Round(0.00000000,0)</f>
        <v>#VALUE!</v>
      </c>
    </row>
    <row r="6576">
      <c r="A6576" s="11" t="s">
        <v>41</v>
      </c>
      <c r="B6576" s="12">
        <v>1280.2685</v>
      </c>
      <c r="C6576" s="12">
        <v>0</v>
      </c>
      <c r="D6576" s="13">
        <v>0</v>
      </c>
      <c r="E6576" s="12">
        <v>0</v>
      </c>
      <c r="F6576" s="14">
        <v>0</v>
      </c>
      <c r="G6576" s="13">
        <v>269975.6902</v>
      </c>
      <c r="H6576" s="14">
        <v>345641371.928819</v>
      </c>
      <c r="I6576" s="14" t="e">
        <f>=Round(3635.26540000,0)</f>
        <v>#VALUE!</v>
      </c>
      <c r="J6576" s="14" t="e">
        <f>=Round(0.00000000,0)</f>
        <v>#VALUE!</v>
      </c>
    </row>
    <row r="6577">
      <c r="A6577" s="11" t="s">
        <v>42</v>
      </c>
      <c r="B6577" s="12">
        <v>1280.2685</v>
      </c>
      <c r="C6577" s="12">
        <v>0</v>
      </c>
      <c r="D6577" s="13">
        <v>0</v>
      </c>
      <c r="E6577" s="12">
        <v>0</v>
      </c>
      <c r="F6577" s="14">
        <v>0</v>
      </c>
      <c r="G6577" s="13">
        <v>269975.6902</v>
      </c>
      <c r="H6577" s="14">
        <v>345641371.928819</v>
      </c>
      <c r="I6577" s="14" t="e">
        <f>=Round(3635.84500000,0)</f>
        <v>#VALUE!</v>
      </c>
      <c r="J6577" s="14" t="e">
        <f>=Round(0.00000000,0)</f>
        <v>#VALUE!</v>
      </c>
    </row>
    <row r="6578">
      <c r="A6578" s="11" t="s">
        <v>43</v>
      </c>
      <c r="B6578" s="12">
        <v>1280.2685</v>
      </c>
      <c r="C6578" s="12">
        <v>0</v>
      </c>
      <c r="D6578" s="13">
        <v>0</v>
      </c>
      <c r="E6578" s="12">
        <v>0</v>
      </c>
      <c r="F6578" s="14">
        <v>0</v>
      </c>
      <c r="G6578" s="13">
        <v>269975.6902</v>
      </c>
      <c r="H6578" s="14">
        <v>345641371.928819</v>
      </c>
      <c r="I6578" s="14" t="e">
        <f>=Round(3635.84500000,0)</f>
        <v>#VALUE!</v>
      </c>
      <c r="J6578" s="14" t="e">
        <f>=Round(0.00000000,0)</f>
        <v>#VALUE!</v>
      </c>
    </row>
    <row r="6579">
      <c r="A6579" s="11" t="s">
        <v>44</v>
      </c>
      <c r="B6579" s="12">
        <v>1280.8839</v>
      </c>
      <c r="C6579" s="12">
        <v>0</v>
      </c>
      <c r="D6579" s="13">
        <v>0</v>
      </c>
      <c r="E6579" s="12">
        <v>0</v>
      </c>
      <c r="F6579" s="14">
        <v>0</v>
      </c>
      <c r="G6579" s="13">
        <v>269975.6902</v>
      </c>
      <c r="H6579" s="14">
        <v>345807514.968568</v>
      </c>
      <c r="I6579" s="14" t="e">
        <f>=Round(3635.84500000,0)</f>
        <v>#VALUE!</v>
      </c>
      <c r="J6579" s="14" t="e">
        <f>=Round(0.00000000,0)</f>
        <v>#VALUE!</v>
      </c>
    </row>
    <row r="6580">
      <c r="A6580" s="11" t="s">
        <v>45</v>
      </c>
      <c r="B6580" s="12">
        <v>1281.0899</v>
      </c>
      <c r="C6580" s="12">
        <v>0</v>
      </c>
      <c r="D6580" s="13">
        <v>0</v>
      </c>
      <c r="E6580" s="12">
        <v>0</v>
      </c>
      <c r="F6580" s="14">
        <v>0</v>
      </c>
      <c r="G6580" s="13">
        <v>269975.6902</v>
      </c>
      <c r="H6580" s="14">
        <v>345863129.960749</v>
      </c>
      <c r="I6580" s="14" t="e">
        <f>=Round(3637.59270000,0)</f>
        <v>#VALUE!</v>
      </c>
      <c r="J6580" s="14" t="e">
        <f>=Round(0.00000000,0)</f>
        <v>#VALUE!</v>
      </c>
    </row>
    <row r="6581">
      <c r="A6581" s="11" t="s">
        <v>46</v>
      </c>
      <c r="B6581" s="12">
        <v>1281.2941</v>
      </c>
      <c r="C6581" s="12">
        <v>0</v>
      </c>
      <c r="D6581" s="13">
        <v>0</v>
      </c>
      <c r="E6581" s="12">
        <v>0</v>
      </c>
      <c r="F6581" s="14">
        <v>0</v>
      </c>
      <c r="G6581" s="13">
        <v>269975.6902</v>
      </c>
      <c r="H6581" s="14">
        <v>345918258.996688</v>
      </c>
      <c r="I6581" s="14" t="e">
        <f>=Round(3638.17770000,0)</f>
        <v>#VALUE!</v>
      </c>
      <c r="J6581" s="14" t="e">
        <f>=Round(0.00000000,0)</f>
        <v>#VALUE!</v>
      </c>
    </row>
    <row r="6582">
      <c r="A6582" s="11" t="s">
        <v>47</v>
      </c>
      <c r="B6582" s="12">
        <v>1281.4992</v>
      </c>
      <c r="C6582" s="12">
        <v>0</v>
      </c>
      <c r="D6582" s="13">
        <v>0</v>
      </c>
      <c r="E6582" s="12">
        <v>0</v>
      </c>
      <c r="F6582" s="14">
        <v>0</v>
      </c>
      <c r="G6582" s="13">
        <v>269975.6902</v>
      </c>
      <c r="H6582" s="14">
        <v>345973631.010748</v>
      </c>
      <c r="I6582" s="14" t="e">
        <f>=Round(3638.75760000,0)</f>
        <v>#VALUE!</v>
      </c>
      <c r="J6582" s="14" t="e">
        <f>=Round(0.00000000,0)</f>
        <v>#VALUE!</v>
      </c>
    </row>
    <row r="6583">
      <c r="A6583" s="11" t="s">
        <v>48</v>
      </c>
      <c r="B6583" s="12">
        <v>1281.706</v>
      </c>
      <c r="C6583" s="12">
        <v>0</v>
      </c>
      <c r="D6583" s="13">
        <v>0</v>
      </c>
      <c r="E6583" s="12">
        <v>0</v>
      </c>
      <c r="F6583" s="14">
        <v>0</v>
      </c>
      <c r="G6583" s="13">
        <v>269975.6902</v>
      </c>
      <c r="H6583" s="14">
        <v>346029461.983481</v>
      </c>
      <c r="I6583" s="14" t="e">
        <f>=Round(3639.34010000,0)</f>
        <v>#VALUE!</v>
      </c>
      <c r="J6583" s="14" t="e">
        <f>=Round(0.00000000,0)</f>
        <v>#VALUE!</v>
      </c>
    </row>
    <row r="6584">
      <c r="A6584" s="11" t="s">
        <v>49</v>
      </c>
      <c r="B6584" s="12">
        <v>1281.706</v>
      </c>
      <c r="C6584" s="12">
        <v>0</v>
      </c>
      <c r="D6584" s="13">
        <v>0</v>
      </c>
      <c r="E6584" s="12">
        <v>0</v>
      </c>
      <c r="F6584" s="14">
        <v>0</v>
      </c>
      <c r="G6584" s="13">
        <v>269975.6902</v>
      </c>
      <c r="H6584" s="14">
        <v>346029461.983481</v>
      </c>
      <c r="I6584" s="14" t="e">
        <f>=Round(3639.92740000,0)</f>
        <v>#VALUE!</v>
      </c>
      <c r="J6584" s="14" t="e">
        <f>=Round(0.00000000,0)</f>
        <v>#VALUE!</v>
      </c>
    </row>
    <row r="6585">
      <c r="A6585" s="11" t="s">
        <v>50</v>
      </c>
      <c r="B6585" s="12">
        <v>1281.706</v>
      </c>
      <c r="C6585" s="12">
        <v>0</v>
      </c>
      <c r="D6585" s="13">
        <v>0</v>
      </c>
      <c r="E6585" s="12">
        <v>0</v>
      </c>
      <c r="F6585" s="14">
        <v>0</v>
      </c>
      <c r="G6585" s="13">
        <v>269975.6902</v>
      </c>
      <c r="H6585" s="14">
        <v>346029461.983481</v>
      </c>
      <c r="I6585" s="14" t="e">
        <f>=Round(3639.92740000,0)</f>
        <v>#VALUE!</v>
      </c>
      <c r="J6585" s="14" t="e">
        <f>=Round(0.00000000,0)</f>
        <v>#VALUE!</v>
      </c>
    </row>
    <row r="6586">
      <c r="A6586" s="11" t="s">
        <v>51</v>
      </c>
      <c r="B6586" s="12">
        <v>1282.3206</v>
      </c>
      <c r="C6586" s="12">
        <v>0</v>
      </c>
      <c r="D6586" s="13">
        <v>0</v>
      </c>
      <c r="E6586" s="12">
        <v>0</v>
      </c>
      <c r="F6586" s="14">
        <v>0</v>
      </c>
      <c r="G6586" s="13">
        <v>269975.6902</v>
      </c>
      <c r="H6586" s="14">
        <v>346195389.042678</v>
      </c>
      <c r="I6586" s="14" t="e">
        <f>=Round(3639.92740000,0)</f>
        <v>#VALUE!</v>
      </c>
      <c r="J6586" s="14" t="e">
        <f>=Round(0.00000000,0)</f>
        <v>#VALUE!</v>
      </c>
    </row>
    <row r="6587">
      <c r="A6587" s="11" t="s">
        <v>52</v>
      </c>
      <c r="B6587" s="12">
        <v>1282.524</v>
      </c>
      <c r="C6587" s="12">
        <v>0</v>
      </c>
      <c r="D6587" s="13">
        <v>0</v>
      </c>
      <c r="E6587" s="12">
        <v>0</v>
      </c>
      <c r="F6587" s="14">
        <v>0</v>
      </c>
      <c r="G6587" s="13">
        <v>269975.6902</v>
      </c>
      <c r="H6587" s="14">
        <v>346250302.098065</v>
      </c>
      <c r="I6587" s="14" t="e">
        <f>=Round(3641.67280000,0)</f>
        <v>#VALUE!</v>
      </c>
      <c r="J6587" s="14" t="e">
        <f>=Round(0.00000000,0)</f>
        <v>#VALUE!</v>
      </c>
    </row>
    <row r="6588">
      <c r="A6588" s="11" t="s">
        <v>53</v>
      </c>
      <c r="B6588" s="12">
        <v>1282.7292</v>
      </c>
      <c r="C6588" s="12">
        <v>0</v>
      </c>
      <c r="D6588" s="13">
        <v>0</v>
      </c>
      <c r="E6588" s="12">
        <v>0</v>
      </c>
      <c r="F6588" s="14">
        <v>0</v>
      </c>
      <c r="G6588" s="13">
        <v>269975.6902</v>
      </c>
      <c r="H6588" s="14">
        <v>346305701.109694</v>
      </c>
      <c r="I6588" s="14" t="e">
        <f>=Round(3642.25040000,0)</f>
        <v>#VALUE!</v>
      </c>
      <c r="J6588" s="14" t="e">
        <f>=Round(0.00000000,0)</f>
        <v>#VALUE!</v>
      </c>
    </row>
    <row r="6589">
      <c r="A6589" s="11" t="s">
        <v>54</v>
      </c>
      <c r="B6589" s="12">
        <v>1282.9343</v>
      </c>
      <c r="C6589" s="12">
        <v>0</v>
      </c>
      <c r="D6589" s="13">
        <v>0</v>
      </c>
      <c r="E6589" s="12">
        <v>0</v>
      </c>
      <c r="F6589" s="14">
        <v>0</v>
      </c>
      <c r="G6589" s="13">
        <v>269975.6902</v>
      </c>
      <c r="H6589" s="14">
        <v>346361073.123754</v>
      </c>
      <c r="I6589" s="14" t="e">
        <f>=Round(3642.83320000,0)</f>
        <v>#VALUE!</v>
      </c>
      <c r="J6589" s="14" t="e">
        <f>=Round(0.00000000,0)</f>
        <v>#VALUE!</v>
      </c>
    </row>
    <row r="6590">
      <c r="A6590" s="11" t="s">
        <v>55</v>
      </c>
      <c r="B6590" s="12">
        <v>1283.1158</v>
      </c>
      <c r="C6590" s="12">
        <v>0</v>
      </c>
      <c r="D6590" s="13">
        <v>0</v>
      </c>
      <c r="E6590" s="12">
        <v>0</v>
      </c>
      <c r="F6590" s="14">
        <v>0</v>
      </c>
      <c r="G6590" s="13">
        <v>269975.6902</v>
      </c>
      <c r="H6590" s="14">
        <v>346410073.711525</v>
      </c>
      <c r="I6590" s="14" t="e">
        <f>=Round(3643.41570000,0)</f>
        <v>#VALUE!</v>
      </c>
      <c r="J6590" s="14" t="e">
        <f>=Round(0.00000000,0)</f>
        <v>#VALUE!</v>
      </c>
    </row>
    <row r="6591" ht="-1">
      <c r="A6591" s="15"/>
      <c r="B6591" s="16" t="s">
        <v>56</v>
      </c>
      <c r="C6591" s="15"/>
      <c r="D6591" s="15"/>
      <c r="E6591" s="15"/>
      <c r="F6591" s="15"/>
      <c r="G6591" s="15"/>
      <c r="H6591" s="15"/>
      <c r="I6591" s="17" t="e">
        <f>=Round(SUM(I6565:I6590),0)</f>
        <v>#VALUE!</v>
      </c>
      <c r="J6591" s="17" t="e">
        <f>=Round(SUM(J6565:J6590),0)</f>
        <v>#VALUE!</v>
      </c>
    </row>
    <row r="6592">
      <c r="A6592" s="1" t="s">
        <v>0</v>
      </c>
      <c r="B6592" s="1"/>
      <c r="C6592" s="1"/>
      <c r="D6592" s="1"/>
    </row>
    <row r="6593">
      <c r="A6593" s="0" t="s">
        <v>1</v>
      </c>
      <c r="C6593" s="0" t="s">
        <v>234</v>
      </c>
      <c r="H6593" s="2" t="s">
        <v>3</v>
      </c>
    </row>
    <row r="6594">
      <c r="A6594" s="0" t="s">
        <v>4</v>
      </c>
      <c r="C6594" s="0" t="s">
        <v>244</v>
      </c>
      <c r="H6594" s="3" t="s">
        <v>6</v>
      </c>
    </row>
    <row r="6595">
      <c r="A6595" s="0" t="s">
        <v>7</v>
      </c>
      <c r="C6595" s="4" t="s">
        <v>205</v>
      </c>
      <c r="H6595" s="2" t="s">
        <v>9</v>
      </c>
    </row>
    <row r="6596">
      <c r="A6596" s="0" t="s">
        <v>10</v>
      </c>
      <c r="C6596" s="4" t="s">
        <v>11</v>
      </c>
      <c r="H6596" s="2" t="s">
        <v>12</v>
      </c>
    </row>
    <row r="6597">
      <c r="A6597" s="0" t="s">
        <v>13</v>
      </c>
      <c r="C6597" s="0" t="s">
        <v>14</v>
      </c>
    </row>
    <row r="6598">
      <c r="A6598" s="0" t="s">
        <v>15</v>
      </c>
      <c r="C6598" s="0" t="s">
        <v>16</v>
      </c>
    </row>
    <row r="6599">
      <c r="A6599" s="0" t="s">
        <v>17</v>
      </c>
      <c r="C6599" s="0" t="s">
        <v>18</v>
      </c>
    </row>
    <row r="6602">
      <c r="A6602" s="5" t="s">
        <v>19</v>
      </c>
      <c r="B6602" s="5" t="s">
        <v>20</v>
      </c>
      <c r="C6602" s="7" t="s">
        <v>21</v>
      </c>
      <c r="D6602" s="9"/>
      <c r="E6602" s="7" t="s">
        <v>22</v>
      </c>
      <c r="F6602" s="9"/>
      <c r="G6602" s="5" t="s">
        <v>23</v>
      </c>
      <c r="H6602" s="5" t="s">
        <v>24</v>
      </c>
      <c r="I6602" s="5" t="s">
        <v>206</v>
      </c>
      <c r="J6602" s="5" t="s">
        <v>26</v>
      </c>
    </row>
    <row r="6603">
      <c r="A6603" s="6"/>
      <c r="B6603" s="6"/>
      <c r="C6603" s="8" t="s">
        <v>27</v>
      </c>
      <c r="D6603" s="8" t="s">
        <v>28</v>
      </c>
      <c r="E6603" s="8" t="s">
        <v>27</v>
      </c>
      <c r="F6603" s="8" t="s">
        <v>28</v>
      </c>
      <c r="G6603" s="6"/>
      <c r="H6603" s="6"/>
      <c r="I6603" s="10" t="s">
        <v>29</v>
      </c>
      <c r="J6603" s="6"/>
    </row>
    <row r="6604">
      <c r="A6604" s="11" t="s">
        <v>30</v>
      </c>
      <c r="B6604" s="12">
        <v>1278.0261</v>
      </c>
      <c r="C6604" s="12">
        <v>0</v>
      </c>
      <c r="D6604" s="13">
        <v>0</v>
      </c>
      <c r="E6604" s="12">
        <v>0</v>
      </c>
      <c r="F6604" s="14">
        <v>0</v>
      </c>
      <c r="G6604" s="13">
        <v>477156.3489</v>
      </c>
      <c r="H6604" s="14">
        <v>609818267.674906</v>
      </c>
      <c r="I6604" s="14" t="e">
        <f>=Round(6411.68520000,0)</f>
        <v>#VALUE!</v>
      </c>
      <c r="J6604" s="14" t="e">
        <f>=Round(0.00000000,0)</f>
        <v>#VALUE!</v>
      </c>
    </row>
    <row r="6605">
      <c r="A6605" s="11" t="s">
        <v>31</v>
      </c>
      <c r="B6605" s="12">
        <v>1278.2299</v>
      </c>
      <c r="C6605" s="12">
        <v>0</v>
      </c>
      <c r="D6605" s="13">
        <v>0</v>
      </c>
      <c r="E6605" s="12">
        <v>0</v>
      </c>
      <c r="F6605" s="14">
        <v>0</v>
      </c>
      <c r="G6605" s="13">
        <v>477156.3489</v>
      </c>
      <c r="H6605" s="14">
        <v>609915512.138812</v>
      </c>
      <c r="I6605" s="14" t="e">
        <f>=Round(6414.75500000,0)</f>
        <v>#VALUE!</v>
      </c>
      <c r="J6605" s="14" t="e">
        <f>=Round(0.00000000,0)</f>
        <v>#VALUE!</v>
      </c>
    </row>
    <row r="6606">
      <c r="A6606" s="11" t="s">
        <v>32</v>
      </c>
      <c r="B6606" s="12">
        <v>1278.4335</v>
      </c>
      <c r="C6606" s="12">
        <v>0</v>
      </c>
      <c r="D6606" s="13">
        <v>0</v>
      </c>
      <c r="E6606" s="12">
        <v>0</v>
      </c>
      <c r="F6606" s="14">
        <v>0</v>
      </c>
      <c r="G6606" s="13">
        <v>477156.3489</v>
      </c>
      <c r="H6606" s="14">
        <v>610012661.171448</v>
      </c>
      <c r="I6606" s="14" t="e">
        <f>=Round(6415.77790000,0)</f>
        <v>#VALUE!</v>
      </c>
      <c r="J6606" s="14" t="e">
        <f>=Round(0.00000000,0)</f>
        <v>#VALUE!</v>
      </c>
    </row>
    <row r="6607">
      <c r="A6607" s="11" t="s">
        <v>33</v>
      </c>
      <c r="B6607" s="12">
        <v>1278.6325</v>
      </c>
      <c r="C6607" s="12">
        <v>0</v>
      </c>
      <c r="D6607" s="13">
        <v>0</v>
      </c>
      <c r="E6607" s="12">
        <v>0</v>
      </c>
      <c r="F6607" s="14">
        <v>0</v>
      </c>
      <c r="G6607" s="13">
        <v>477156.3489</v>
      </c>
      <c r="H6607" s="14">
        <v>610107615.284879</v>
      </c>
      <c r="I6607" s="14" t="e">
        <f>=Round(6416.79990000,0)</f>
        <v>#VALUE!</v>
      </c>
      <c r="J6607" s="14" t="e">
        <f>=Round(0.00000000,0)</f>
        <v>#VALUE!</v>
      </c>
    </row>
    <row r="6608">
      <c r="A6608" s="11" t="s">
        <v>34</v>
      </c>
      <c r="B6608" s="12">
        <v>1278.837</v>
      </c>
      <c r="C6608" s="12">
        <v>0</v>
      </c>
      <c r="D6608" s="13">
        <v>0</v>
      </c>
      <c r="E6608" s="12">
        <v>0</v>
      </c>
      <c r="F6608" s="14">
        <v>0</v>
      </c>
      <c r="G6608" s="13">
        <v>477156.3489</v>
      </c>
      <c r="H6608" s="14">
        <v>610205193.758229</v>
      </c>
      <c r="I6608" s="14" t="e">
        <f>=Round(6417.79870000,0)</f>
        <v>#VALUE!</v>
      </c>
      <c r="J6608" s="14" t="e">
        <f>=Round(0.00000000,0)</f>
        <v>#VALUE!</v>
      </c>
    </row>
    <row r="6609">
      <c r="A6609" s="11" t="s">
        <v>35</v>
      </c>
      <c r="B6609" s="12">
        <v>1278.837</v>
      </c>
      <c r="C6609" s="12">
        <v>0</v>
      </c>
      <c r="D6609" s="13">
        <v>0</v>
      </c>
      <c r="E6609" s="12">
        <v>0</v>
      </c>
      <c r="F6609" s="14">
        <v>0</v>
      </c>
      <c r="G6609" s="13">
        <v>477156.3489</v>
      </c>
      <c r="H6609" s="14">
        <v>610205193.758229</v>
      </c>
      <c r="I6609" s="14" t="e">
        <f>=Round(6418.82510000,0)</f>
        <v>#VALUE!</v>
      </c>
      <c r="J6609" s="14" t="e">
        <f>=Round(0.00000000,0)</f>
        <v>#VALUE!</v>
      </c>
    </row>
    <row r="6610">
      <c r="A6610" s="11" t="s">
        <v>36</v>
      </c>
      <c r="B6610" s="12">
        <v>1278.837</v>
      </c>
      <c r="C6610" s="12">
        <v>0</v>
      </c>
      <c r="D6610" s="13">
        <v>0</v>
      </c>
      <c r="E6610" s="12">
        <v>0</v>
      </c>
      <c r="F6610" s="14">
        <v>0</v>
      </c>
      <c r="G6610" s="13">
        <v>477156.3489</v>
      </c>
      <c r="H6610" s="14">
        <v>610205193.758229</v>
      </c>
      <c r="I6610" s="14" t="e">
        <f>=Round(6418.82510000,0)</f>
        <v>#VALUE!</v>
      </c>
      <c r="J6610" s="14" t="e">
        <f>=Round(0.00000000,0)</f>
        <v>#VALUE!</v>
      </c>
    </row>
    <row r="6611">
      <c r="A6611" s="11" t="s">
        <v>37</v>
      </c>
      <c r="B6611" s="12">
        <v>1279.4503</v>
      </c>
      <c r="C6611" s="12">
        <v>0</v>
      </c>
      <c r="D6611" s="13">
        <v>0</v>
      </c>
      <c r="E6611" s="12">
        <v>0</v>
      </c>
      <c r="F6611" s="14">
        <v>0</v>
      </c>
      <c r="G6611" s="13">
        <v>477156.3489</v>
      </c>
      <c r="H6611" s="14">
        <v>610497833.74701</v>
      </c>
      <c r="I6611" s="14" t="e">
        <f>=Round(6418.82510000,0)</f>
        <v>#VALUE!</v>
      </c>
      <c r="J6611" s="14" t="e">
        <f>=Round(0.00000000,0)</f>
        <v>#VALUE!</v>
      </c>
    </row>
    <row r="6612">
      <c r="A6612" s="11" t="s">
        <v>38</v>
      </c>
      <c r="B6612" s="12">
        <v>1279.6545</v>
      </c>
      <c r="C6612" s="12">
        <v>0</v>
      </c>
      <c r="D6612" s="13">
        <v>0</v>
      </c>
      <c r="E6612" s="12">
        <v>0</v>
      </c>
      <c r="F6612" s="14">
        <v>0</v>
      </c>
      <c r="G6612" s="13">
        <v>477156.3489</v>
      </c>
      <c r="H6612" s="14">
        <v>610595269.073455</v>
      </c>
      <c r="I6612" s="14" t="e">
        <f>=Round(6421.90340000,0)</f>
        <v>#VALUE!</v>
      </c>
      <c r="J6612" s="14" t="e">
        <f>=Round(0.00000000,0)</f>
        <v>#VALUE!</v>
      </c>
    </row>
    <row r="6613">
      <c r="A6613" s="11" t="s">
        <v>39</v>
      </c>
      <c r="B6613" s="12">
        <v>1279.8598</v>
      </c>
      <c r="C6613" s="12">
        <v>0</v>
      </c>
      <c r="D6613" s="13">
        <v>0</v>
      </c>
      <c r="E6613" s="12">
        <v>0</v>
      </c>
      <c r="F6613" s="14">
        <v>0</v>
      </c>
      <c r="G6613" s="13">
        <v>477156.3489</v>
      </c>
      <c r="H6613" s="14">
        <v>610693229.271884</v>
      </c>
      <c r="I6613" s="14" t="e">
        <f>=Round(6422.92840000,0)</f>
        <v>#VALUE!</v>
      </c>
      <c r="J6613" s="14" t="e">
        <f>=Round(0.00000000,0)</f>
        <v>#VALUE!</v>
      </c>
    </row>
    <row r="6614">
      <c r="A6614" s="11" t="s">
        <v>40</v>
      </c>
      <c r="B6614" s="12">
        <v>1280.0644</v>
      </c>
      <c r="C6614" s="12">
        <v>0</v>
      </c>
      <c r="D6614" s="13">
        <v>0</v>
      </c>
      <c r="E6614" s="12">
        <v>0</v>
      </c>
      <c r="F6614" s="14">
        <v>0</v>
      </c>
      <c r="G6614" s="13">
        <v>477156.3489</v>
      </c>
      <c r="H6614" s="14">
        <v>610790855.460869</v>
      </c>
      <c r="I6614" s="14" t="e">
        <f>=Round(6423.95880000,0)</f>
        <v>#VALUE!</v>
      </c>
      <c r="J6614" s="14" t="e">
        <f>=Round(0.00000000,0)</f>
        <v>#VALUE!</v>
      </c>
    </row>
    <row r="6615">
      <c r="A6615" s="11" t="s">
        <v>41</v>
      </c>
      <c r="B6615" s="12">
        <v>1280.2685</v>
      </c>
      <c r="C6615" s="12">
        <v>0</v>
      </c>
      <c r="D6615" s="13">
        <v>0</v>
      </c>
      <c r="E6615" s="12">
        <v>0</v>
      </c>
      <c r="F6615" s="14">
        <v>0</v>
      </c>
      <c r="G6615" s="13">
        <v>477156.3489</v>
      </c>
      <c r="H6615" s="14">
        <v>610888243.07168</v>
      </c>
      <c r="I6615" s="14" t="e">
        <f>=Round(6424.98580000,0)</f>
        <v>#VALUE!</v>
      </c>
      <c r="J6615" s="14" t="e">
        <f>=Round(0.00000000,0)</f>
        <v>#VALUE!</v>
      </c>
    </row>
    <row r="6616">
      <c r="A6616" s="11" t="s">
        <v>42</v>
      </c>
      <c r="B6616" s="12">
        <v>1280.2685</v>
      </c>
      <c r="C6616" s="12">
        <v>0</v>
      </c>
      <c r="D6616" s="13">
        <v>0</v>
      </c>
      <c r="E6616" s="12">
        <v>0</v>
      </c>
      <c r="F6616" s="14">
        <v>0</v>
      </c>
      <c r="G6616" s="13">
        <v>477156.3489</v>
      </c>
      <c r="H6616" s="14">
        <v>610888243.07168</v>
      </c>
      <c r="I6616" s="14" t="e">
        <f>=Round(6426.01020000,0)</f>
        <v>#VALUE!</v>
      </c>
      <c r="J6616" s="14" t="e">
        <f>=Round(0.00000000,0)</f>
        <v>#VALUE!</v>
      </c>
    </row>
    <row r="6617">
      <c r="A6617" s="11" t="s">
        <v>43</v>
      </c>
      <c r="B6617" s="12">
        <v>1280.2685</v>
      </c>
      <c r="C6617" s="12">
        <v>0</v>
      </c>
      <c r="D6617" s="13">
        <v>0</v>
      </c>
      <c r="E6617" s="12">
        <v>0</v>
      </c>
      <c r="F6617" s="14">
        <v>0</v>
      </c>
      <c r="G6617" s="13">
        <v>477156.3489</v>
      </c>
      <c r="H6617" s="14">
        <v>610888243.07168</v>
      </c>
      <c r="I6617" s="14" t="e">
        <f>=Round(6426.01020000,0)</f>
        <v>#VALUE!</v>
      </c>
      <c r="J6617" s="14" t="e">
        <f>=Round(0.00000000,0)</f>
        <v>#VALUE!</v>
      </c>
    </row>
    <row r="6618">
      <c r="A6618" s="11" t="s">
        <v>44</v>
      </c>
      <c r="B6618" s="12">
        <v>1280.8839</v>
      </c>
      <c r="C6618" s="12">
        <v>0</v>
      </c>
      <c r="D6618" s="13">
        <v>0</v>
      </c>
      <c r="E6618" s="12">
        <v>0</v>
      </c>
      <c r="F6618" s="14">
        <v>0</v>
      </c>
      <c r="G6618" s="13">
        <v>477156.3489</v>
      </c>
      <c r="H6618" s="14">
        <v>611181885.088793</v>
      </c>
      <c r="I6618" s="14" t="e">
        <f>=Round(6426.01020000,0)</f>
        <v>#VALUE!</v>
      </c>
      <c r="J6618" s="14" t="e">
        <f>=Round(0.00000000,0)</f>
        <v>#VALUE!</v>
      </c>
    </row>
    <row r="6619">
      <c r="A6619" s="11" t="s">
        <v>45</v>
      </c>
      <c r="B6619" s="12">
        <v>1281.0899</v>
      </c>
      <c r="C6619" s="12">
        <v>0</v>
      </c>
      <c r="D6619" s="13">
        <v>0</v>
      </c>
      <c r="E6619" s="12">
        <v>0</v>
      </c>
      <c r="F6619" s="14">
        <v>0</v>
      </c>
      <c r="G6619" s="13">
        <v>477156.3489</v>
      </c>
      <c r="H6619" s="14">
        <v>611280179.296666</v>
      </c>
      <c r="I6619" s="14" t="e">
        <f>=Round(6429.09910000,0)</f>
        <v>#VALUE!</v>
      </c>
      <c r="J6619" s="14" t="e">
        <f>=Round(0.00000000,0)</f>
        <v>#VALUE!</v>
      </c>
    </row>
    <row r="6620">
      <c r="A6620" s="11" t="s">
        <v>46</v>
      </c>
      <c r="B6620" s="12">
        <v>1281.2941</v>
      </c>
      <c r="C6620" s="12">
        <v>0</v>
      </c>
      <c r="D6620" s="13">
        <v>0</v>
      </c>
      <c r="E6620" s="12">
        <v>0</v>
      </c>
      <c r="F6620" s="14">
        <v>0</v>
      </c>
      <c r="G6620" s="13">
        <v>477156.3489</v>
      </c>
      <c r="H6620" s="14">
        <v>611377614.623111</v>
      </c>
      <c r="I6620" s="14" t="e">
        <f>=Round(6430.13300000,0)</f>
        <v>#VALUE!</v>
      </c>
      <c r="J6620" s="14" t="e">
        <f>=Round(0.00000000,0)</f>
        <v>#VALUE!</v>
      </c>
    </row>
    <row r="6621">
      <c r="A6621" s="11" t="s">
        <v>47</v>
      </c>
      <c r="B6621" s="12">
        <v>1281.4992</v>
      </c>
      <c r="C6621" s="12">
        <v>0</v>
      </c>
      <c r="D6621" s="13">
        <v>0</v>
      </c>
      <c r="E6621" s="12">
        <v>0</v>
      </c>
      <c r="F6621" s="14">
        <v>0</v>
      </c>
      <c r="G6621" s="13">
        <v>477156.3489</v>
      </c>
      <c r="H6621" s="14">
        <v>611475479.390271</v>
      </c>
      <c r="I6621" s="14" t="e">
        <f>=Round(6431.15800000,0)</f>
        <v>#VALUE!</v>
      </c>
      <c r="J6621" s="14" t="e">
        <f>=Round(0.00000000,0)</f>
        <v>#VALUE!</v>
      </c>
    </row>
    <row r="6622">
      <c r="A6622" s="11" t="s">
        <v>48</v>
      </c>
      <c r="B6622" s="12">
        <v>1281.706</v>
      </c>
      <c r="C6622" s="12">
        <v>0</v>
      </c>
      <c r="D6622" s="13">
        <v>0</v>
      </c>
      <c r="E6622" s="12">
        <v>0</v>
      </c>
      <c r="F6622" s="14">
        <v>0</v>
      </c>
      <c r="G6622" s="13">
        <v>477156.3489</v>
      </c>
      <c r="H6622" s="14">
        <v>611574155.323223</v>
      </c>
      <c r="I6622" s="14" t="e">
        <f>=Round(6432.18740000,0)</f>
        <v>#VALUE!</v>
      </c>
      <c r="J6622" s="14" t="e">
        <f>=Round(0.00000000,0)</f>
        <v>#VALUE!</v>
      </c>
    </row>
    <row r="6623">
      <c r="A6623" s="11" t="s">
        <v>49</v>
      </c>
      <c r="B6623" s="12">
        <v>1281.706</v>
      </c>
      <c r="C6623" s="12">
        <v>0</v>
      </c>
      <c r="D6623" s="13">
        <v>0</v>
      </c>
      <c r="E6623" s="12">
        <v>0</v>
      </c>
      <c r="F6623" s="14">
        <v>0</v>
      </c>
      <c r="G6623" s="13">
        <v>477156.3489</v>
      </c>
      <c r="H6623" s="14">
        <v>611574155.323223</v>
      </c>
      <c r="I6623" s="14" t="e">
        <f>=Round(6433.22540000,0)</f>
        <v>#VALUE!</v>
      </c>
      <c r="J6623" s="14" t="e">
        <f>=Round(0.00000000,0)</f>
        <v>#VALUE!</v>
      </c>
    </row>
    <row r="6624">
      <c r="A6624" s="11" t="s">
        <v>50</v>
      </c>
      <c r="B6624" s="12">
        <v>1281.706</v>
      </c>
      <c r="C6624" s="12">
        <v>0</v>
      </c>
      <c r="D6624" s="13">
        <v>0</v>
      </c>
      <c r="E6624" s="12">
        <v>0</v>
      </c>
      <c r="F6624" s="14">
        <v>0</v>
      </c>
      <c r="G6624" s="13">
        <v>477156.3489</v>
      </c>
      <c r="H6624" s="14">
        <v>611574155.323223</v>
      </c>
      <c r="I6624" s="14" t="e">
        <f>=Round(6433.22540000,0)</f>
        <v>#VALUE!</v>
      </c>
      <c r="J6624" s="14" t="e">
        <f>=Round(0.00000000,0)</f>
        <v>#VALUE!</v>
      </c>
    </row>
    <row r="6625">
      <c r="A6625" s="11" t="s">
        <v>51</v>
      </c>
      <c r="B6625" s="12">
        <v>1282.3206</v>
      </c>
      <c r="C6625" s="12">
        <v>0</v>
      </c>
      <c r="D6625" s="13">
        <v>0</v>
      </c>
      <c r="E6625" s="12">
        <v>0</v>
      </c>
      <c r="F6625" s="14">
        <v>0</v>
      </c>
      <c r="G6625" s="13">
        <v>477156.3489</v>
      </c>
      <c r="H6625" s="14">
        <v>611867415.615257</v>
      </c>
      <c r="I6625" s="14" t="e">
        <f>=Round(6433.22540000,0)</f>
        <v>#VALUE!</v>
      </c>
      <c r="J6625" s="14" t="e">
        <f>=Round(0.00000000,0)</f>
        <v>#VALUE!</v>
      </c>
    </row>
    <row r="6626">
      <c r="A6626" s="11" t="s">
        <v>52</v>
      </c>
      <c r="B6626" s="12">
        <v>1282.524</v>
      </c>
      <c r="C6626" s="12">
        <v>0</v>
      </c>
      <c r="D6626" s="13">
        <v>0</v>
      </c>
      <c r="E6626" s="12">
        <v>0</v>
      </c>
      <c r="F6626" s="14">
        <v>0</v>
      </c>
      <c r="G6626" s="13">
        <v>477156.3489</v>
      </c>
      <c r="H6626" s="14">
        <v>611964469.216624</v>
      </c>
      <c r="I6626" s="14" t="e">
        <f>=Round(6436.31020000,0)</f>
        <v>#VALUE!</v>
      </c>
      <c r="J6626" s="14" t="e">
        <f>=Round(0.00000000,0)</f>
        <v>#VALUE!</v>
      </c>
    </row>
    <row r="6627">
      <c r="A6627" s="11" t="s">
        <v>53</v>
      </c>
      <c r="B6627" s="12">
        <v>1282.7292</v>
      </c>
      <c r="C6627" s="12">
        <v>0</v>
      </c>
      <c r="D6627" s="13">
        <v>0</v>
      </c>
      <c r="E6627" s="12">
        <v>0</v>
      </c>
      <c r="F6627" s="14">
        <v>0</v>
      </c>
      <c r="G6627" s="13">
        <v>477156.3489</v>
      </c>
      <c r="H6627" s="14">
        <v>612062381.699418</v>
      </c>
      <c r="I6627" s="14" t="e">
        <f>=Round(6437.33120000,0)</f>
        <v>#VALUE!</v>
      </c>
      <c r="J6627" s="14" t="e">
        <f>=Round(0.00000000,0)</f>
        <v>#VALUE!</v>
      </c>
    </row>
    <row r="6628">
      <c r="A6628" s="11" t="s">
        <v>54</v>
      </c>
      <c r="B6628" s="12">
        <v>1282.9343</v>
      </c>
      <c r="C6628" s="12">
        <v>0</v>
      </c>
      <c r="D6628" s="13">
        <v>0</v>
      </c>
      <c r="E6628" s="12">
        <v>0</v>
      </c>
      <c r="F6628" s="14">
        <v>0</v>
      </c>
      <c r="G6628" s="13">
        <v>477156.3489</v>
      </c>
      <c r="H6628" s="14">
        <v>612160246.466577</v>
      </c>
      <c r="I6628" s="14" t="e">
        <f>=Round(6438.36110000,0)</f>
        <v>#VALUE!</v>
      </c>
      <c r="J6628" s="14" t="e">
        <f>=Round(0.00000000,0)</f>
        <v>#VALUE!</v>
      </c>
    </row>
    <row r="6629">
      <c r="A6629" s="11" t="s">
        <v>55</v>
      </c>
      <c r="B6629" s="12">
        <v>1283.1158</v>
      </c>
      <c r="C6629" s="12">
        <v>0</v>
      </c>
      <c r="D6629" s="13">
        <v>0</v>
      </c>
      <c r="E6629" s="12">
        <v>0</v>
      </c>
      <c r="F6629" s="14">
        <v>0</v>
      </c>
      <c r="G6629" s="13">
        <v>477156.3489</v>
      </c>
      <c r="H6629" s="14">
        <v>612246850.343903</v>
      </c>
      <c r="I6629" s="14" t="e">
        <f>=Round(6439.39060000,0)</f>
        <v>#VALUE!</v>
      </c>
      <c r="J6629" s="14" t="e">
        <f>=Round(0.00000000,0)</f>
        <v>#VALUE!</v>
      </c>
    </row>
    <row r="6630" ht="-1">
      <c r="A6630" s="15"/>
      <c r="B6630" s="16" t="s">
        <v>56</v>
      </c>
      <c r="C6630" s="15"/>
      <c r="D6630" s="15"/>
      <c r="E6630" s="15"/>
      <c r="F6630" s="15"/>
      <c r="G6630" s="15"/>
      <c r="H6630" s="15"/>
      <c r="I6630" s="17" t="e">
        <f>=Round(SUM(I6604:I6629),0)</f>
        <v>#VALUE!</v>
      </c>
      <c r="J6630" s="17" t="e">
        <f>=Round(SUM(J6604:J6629),0)</f>
        <v>#VALUE!</v>
      </c>
    </row>
    <row r="6631">
      <c r="A6631" s="1" t="s">
        <v>0</v>
      </c>
      <c r="B6631" s="1"/>
      <c r="C6631" s="1"/>
      <c r="D6631" s="1"/>
    </row>
    <row r="6632">
      <c r="A6632" s="0" t="s">
        <v>1</v>
      </c>
      <c r="C6632" s="0" t="s">
        <v>234</v>
      </c>
      <c r="H6632" s="2" t="s">
        <v>3</v>
      </c>
    </row>
    <row r="6633">
      <c r="A6633" s="0" t="s">
        <v>4</v>
      </c>
      <c r="C6633" s="0" t="s">
        <v>245</v>
      </c>
      <c r="H6633" s="3" t="s">
        <v>6</v>
      </c>
    </row>
    <row r="6634">
      <c r="A6634" s="0" t="s">
        <v>7</v>
      </c>
      <c r="C6634" s="4" t="s">
        <v>205</v>
      </c>
      <c r="H6634" s="2" t="s">
        <v>9</v>
      </c>
    </row>
    <row r="6635">
      <c r="A6635" s="0" t="s">
        <v>10</v>
      </c>
      <c r="C6635" s="4" t="s">
        <v>11</v>
      </c>
      <c r="H6635" s="2" t="s">
        <v>12</v>
      </c>
    </row>
    <row r="6636">
      <c r="A6636" s="0" t="s">
        <v>13</v>
      </c>
      <c r="C6636" s="0" t="s">
        <v>14</v>
      </c>
    </row>
    <row r="6637">
      <c r="A6637" s="0" t="s">
        <v>15</v>
      </c>
      <c r="C6637" s="0" t="s">
        <v>16</v>
      </c>
    </row>
    <row r="6638">
      <c r="A6638" s="0" t="s">
        <v>17</v>
      </c>
      <c r="C6638" s="0" t="s">
        <v>18</v>
      </c>
    </row>
    <row r="6641">
      <c r="A6641" s="5" t="s">
        <v>19</v>
      </c>
      <c r="B6641" s="5" t="s">
        <v>20</v>
      </c>
      <c r="C6641" s="7" t="s">
        <v>21</v>
      </c>
      <c r="D6641" s="9"/>
      <c r="E6641" s="7" t="s">
        <v>22</v>
      </c>
      <c r="F6641" s="9"/>
      <c r="G6641" s="5" t="s">
        <v>23</v>
      </c>
      <c r="H6641" s="5" t="s">
        <v>24</v>
      </c>
      <c r="I6641" s="5" t="s">
        <v>206</v>
      </c>
      <c r="J6641" s="5" t="s">
        <v>26</v>
      </c>
    </row>
    <row r="6642">
      <c r="A6642" s="6"/>
      <c r="B6642" s="6"/>
      <c r="C6642" s="8" t="s">
        <v>27</v>
      </c>
      <c r="D6642" s="8" t="s">
        <v>28</v>
      </c>
      <c r="E6642" s="8" t="s">
        <v>27</v>
      </c>
      <c r="F6642" s="8" t="s">
        <v>28</v>
      </c>
      <c r="G6642" s="6"/>
      <c r="H6642" s="6"/>
      <c r="I6642" s="10" t="s">
        <v>29</v>
      </c>
      <c r="J6642" s="6"/>
    </row>
    <row r="6643">
      <c r="A6643" s="11" t="s">
        <v>30</v>
      </c>
      <c r="B6643" s="12">
        <v>1278.0261</v>
      </c>
      <c r="C6643" s="12">
        <v>0</v>
      </c>
      <c r="D6643" s="13">
        <v>0</v>
      </c>
      <c r="E6643" s="12">
        <v>0</v>
      </c>
      <c r="F6643" s="14">
        <v>0</v>
      </c>
      <c r="G6643" s="13">
        <v>444120.3869</v>
      </c>
      <c r="H6643" s="14">
        <v>567597446.000298</v>
      </c>
      <c r="I6643" s="14" t="e">
        <f>=Round(5967.77160000,0)</f>
        <v>#VALUE!</v>
      </c>
      <c r="J6643" s="14" t="e">
        <f>=Round(0.00000000,0)</f>
        <v>#VALUE!</v>
      </c>
    </row>
    <row r="6644">
      <c r="A6644" s="11" t="s">
        <v>31</v>
      </c>
      <c r="B6644" s="12">
        <v>1278.2299</v>
      </c>
      <c r="C6644" s="12">
        <v>0</v>
      </c>
      <c r="D6644" s="13">
        <v>0</v>
      </c>
      <c r="E6644" s="12">
        <v>0</v>
      </c>
      <c r="F6644" s="14">
        <v>0</v>
      </c>
      <c r="G6644" s="13">
        <v>444120.3869</v>
      </c>
      <c r="H6644" s="14">
        <v>567687957.735148</v>
      </c>
      <c r="I6644" s="14" t="e">
        <f>=Round(5970.62890000,0)</f>
        <v>#VALUE!</v>
      </c>
      <c r="J6644" s="14" t="e">
        <f>=Round(0.00000000,0)</f>
        <v>#VALUE!</v>
      </c>
    </row>
    <row r="6645">
      <c r="A6645" s="11" t="s">
        <v>32</v>
      </c>
      <c r="B6645" s="12">
        <v>1278.4335</v>
      </c>
      <c r="C6645" s="12">
        <v>0</v>
      </c>
      <c r="D6645" s="13">
        <v>0</v>
      </c>
      <c r="E6645" s="12">
        <v>0</v>
      </c>
      <c r="F6645" s="14">
        <v>0</v>
      </c>
      <c r="G6645" s="13">
        <v>444120.3869</v>
      </c>
      <c r="H6645" s="14">
        <v>567778380.645921</v>
      </c>
      <c r="I6645" s="14" t="e">
        <f>=Round(5971.58100000,0)</f>
        <v>#VALUE!</v>
      </c>
      <c r="J6645" s="14" t="e">
        <f>=Round(0.00000000,0)</f>
        <v>#VALUE!</v>
      </c>
    </row>
    <row r="6646">
      <c r="A6646" s="11" t="s">
        <v>33</v>
      </c>
      <c r="B6646" s="12">
        <v>1278.6325</v>
      </c>
      <c r="C6646" s="12">
        <v>0</v>
      </c>
      <c r="D6646" s="13">
        <v>0</v>
      </c>
      <c r="E6646" s="12">
        <v>0</v>
      </c>
      <c r="F6646" s="14">
        <v>0</v>
      </c>
      <c r="G6646" s="13">
        <v>444120.3869</v>
      </c>
      <c r="H6646" s="14">
        <v>567866760.602914</v>
      </c>
      <c r="I6646" s="14" t="e">
        <f>=Round(5972.53210000,0)</f>
        <v>#VALUE!</v>
      </c>
      <c r="J6646" s="14" t="e">
        <f>=Round(0.00000000,0)</f>
        <v>#VALUE!</v>
      </c>
    </row>
    <row r="6647">
      <c r="A6647" s="11" t="s">
        <v>34</v>
      </c>
      <c r="B6647" s="12">
        <v>1278.837</v>
      </c>
      <c r="C6647" s="12">
        <v>0</v>
      </c>
      <c r="D6647" s="13">
        <v>0</v>
      </c>
      <c r="E6647" s="12">
        <v>0</v>
      </c>
      <c r="F6647" s="14">
        <v>0</v>
      </c>
      <c r="G6647" s="13">
        <v>444120.3869</v>
      </c>
      <c r="H6647" s="14">
        <v>567957583.222035</v>
      </c>
      <c r="I6647" s="14" t="e">
        <f>=Round(5973.46180000,0)</f>
        <v>#VALUE!</v>
      </c>
      <c r="J6647" s="14" t="e">
        <f>=Round(0.00000000,0)</f>
        <v>#VALUE!</v>
      </c>
    </row>
    <row r="6648">
      <c r="A6648" s="11" t="s">
        <v>35</v>
      </c>
      <c r="B6648" s="12">
        <v>1278.837</v>
      </c>
      <c r="C6648" s="12">
        <v>0</v>
      </c>
      <c r="D6648" s="13">
        <v>0</v>
      </c>
      <c r="E6648" s="12">
        <v>0</v>
      </c>
      <c r="F6648" s="14">
        <v>0</v>
      </c>
      <c r="G6648" s="13">
        <v>444120.3869</v>
      </c>
      <c r="H6648" s="14">
        <v>567957583.222035</v>
      </c>
      <c r="I6648" s="14" t="e">
        <f>=Round(5974.41720000,0)</f>
        <v>#VALUE!</v>
      </c>
      <c r="J6648" s="14" t="e">
        <f>=Round(0.00000000,0)</f>
        <v>#VALUE!</v>
      </c>
    </row>
    <row r="6649">
      <c r="A6649" s="11" t="s">
        <v>36</v>
      </c>
      <c r="B6649" s="12">
        <v>1278.837</v>
      </c>
      <c r="C6649" s="12">
        <v>0</v>
      </c>
      <c r="D6649" s="13">
        <v>0</v>
      </c>
      <c r="E6649" s="12">
        <v>0</v>
      </c>
      <c r="F6649" s="14">
        <v>0</v>
      </c>
      <c r="G6649" s="13">
        <v>444120.3869</v>
      </c>
      <c r="H6649" s="14">
        <v>567957583.222035</v>
      </c>
      <c r="I6649" s="14" t="e">
        <f>=Round(5974.41720000,0)</f>
        <v>#VALUE!</v>
      </c>
      <c r="J6649" s="14" t="e">
        <f>=Round(0.00000000,0)</f>
        <v>#VALUE!</v>
      </c>
    </row>
    <row r="6650">
      <c r="A6650" s="11" t="s">
        <v>37</v>
      </c>
      <c r="B6650" s="12">
        <v>1279.4503</v>
      </c>
      <c r="C6650" s="12">
        <v>0</v>
      </c>
      <c r="D6650" s="13">
        <v>0</v>
      </c>
      <c r="E6650" s="12">
        <v>0</v>
      </c>
      <c r="F6650" s="14">
        <v>0</v>
      </c>
      <c r="G6650" s="13">
        <v>444120.3869</v>
      </c>
      <c r="H6650" s="14">
        <v>568229962.255321</v>
      </c>
      <c r="I6650" s="14" t="e">
        <f>=Round(5974.41720000,0)</f>
        <v>#VALUE!</v>
      </c>
      <c r="J6650" s="14" t="e">
        <f>=Round(0.00000000,0)</f>
        <v>#VALUE!</v>
      </c>
    </row>
    <row r="6651">
      <c r="A6651" s="11" t="s">
        <v>38</v>
      </c>
      <c r="B6651" s="12">
        <v>1279.6545</v>
      </c>
      <c r="C6651" s="12">
        <v>0</v>
      </c>
      <c r="D6651" s="13">
        <v>0</v>
      </c>
      <c r="E6651" s="12">
        <v>0</v>
      </c>
      <c r="F6651" s="14">
        <v>0</v>
      </c>
      <c r="G6651" s="13">
        <v>444120.3869</v>
      </c>
      <c r="H6651" s="14">
        <v>568320651.638326</v>
      </c>
      <c r="I6651" s="14" t="e">
        <f>=Round(5977.28240000,0)</f>
        <v>#VALUE!</v>
      </c>
      <c r="J6651" s="14" t="e">
        <f>=Round(0.00000000,0)</f>
        <v>#VALUE!</v>
      </c>
    </row>
    <row r="6652">
      <c r="A6652" s="11" t="s">
        <v>39</v>
      </c>
      <c r="B6652" s="12">
        <v>1279.8598</v>
      </c>
      <c r="C6652" s="12">
        <v>0</v>
      </c>
      <c r="D6652" s="13">
        <v>0</v>
      </c>
      <c r="E6652" s="12">
        <v>0</v>
      </c>
      <c r="F6652" s="14">
        <v>0</v>
      </c>
      <c r="G6652" s="13">
        <v>444120.3869</v>
      </c>
      <c r="H6652" s="14">
        <v>568411829.553757</v>
      </c>
      <c r="I6652" s="14" t="e">
        <f>=Round(5978.23640000,0)</f>
        <v>#VALUE!</v>
      </c>
      <c r="J6652" s="14" t="e">
        <f>=Round(0.00000000,0)</f>
        <v>#VALUE!</v>
      </c>
    </row>
    <row r="6653">
      <c r="A6653" s="11" t="s">
        <v>40</v>
      </c>
      <c r="B6653" s="12">
        <v>1280.0644</v>
      </c>
      <c r="C6653" s="12">
        <v>312484.2781</v>
      </c>
      <c r="D6653" s="13">
        <v>400000000</v>
      </c>
      <c r="E6653" s="12">
        <v>0</v>
      </c>
      <c r="F6653" s="14">
        <v>0</v>
      </c>
      <c r="G6653" s="13">
        <v>444120.3869</v>
      </c>
      <c r="H6653" s="14">
        <v>568502696.584916</v>
      </c>
      <c r="I6653" s="14" t="e">
        <f>=Round(5979.19550000,0)</f>
        <v>#VALUE!</v>
      </c>
      <c r="J6653" s="14" t="e">
        <f>=Round(0.00000000,0)</f>
        <v>#VALUE!</v>
      </c>
    </row>
    <row r="6654">
      <c r="A6654" s="11" t="s">
        <v>41</v>
      </c>
      <c r="B6654" s="12">
        <v>1280.2685</v>
      </c>
      <c r="C6654" s="12">
        <v>0</v>
      </c>
      <c r="D6654" s="13">
        <v>0</v>
      </c>
      <c r="E6654" s="12">
        <v>0</v>
      </c>
      <c r="F6654" s="14">
        <v>0</v>
      </c>
      <c r="G6654" s="13">
        <v>756604.665</v>
      </c>
      <c r="H6654" s="14">
        <v>968657119.552553</v>
      </c>
      <c r="I6654" s="14" t="e">
        <f>=Round(5980.15130000,0)</f>
        <v>#VALUE!</v>
      </c>
      <c r="J6654" s="14" t="e">
        <f>=Round(0.00000000,0)</f>
        <v>#VALUE!</v>
      </c>
    </row>
    <row r="6655">
      <c r="A6655" s="11" t="s">
        <v>42</v>
      </c>
      <c r="B6655" s="12">
        <v>1280.2685</v>
      </c>
      <c r="C6655" s="12">
        <v>0</v>
      </c>
      <c r="D6655" s="13">
        <v>0</v>
      </c>
      <c r="E6655" s="12">
        <v>0</v>
      </c>
      <c r="F6655" s="14">
        <v>0</v>
      </c>
      <c r="G6655" s="13">
        <v>756604.665</v>
      </c>
      <c r="H6655" s="14">
        <v>968657119.552553</v>
      </c>
      <c r="I6655" s="14" t="e">
        <f>=Round(10189.42600000,0)</f>
        <v>#VALUE!</v>
      </c>
      <c r="J6655" s="14" t="e">
        <f>=Round(0.00000000,0)</f>
        <v>#VALUE!</v>
      </c>
    </row>
    <row r="6656">
      <c r="A6656" s="11" t="s">
        <v>43</v>
      </c>
      <c r="B6656" s="12">
        <v>1280.2685</v>
      </c>
      <c r="C6656" s="12">
        <v>0</v>
      </c>
      <c r="D6656" s="13">
        <v>0</v>
      </c>
      <c r="E6656" s="12">
        <v>0</v>
      </c>
      <c r="F6656" s="14">
        <v>0</v>
      </c>
      <c r="G6656" s="13">
        <v>756604.665</v>
      </c>
      <c r="H6656" s="14">
        <v>968657119.552553</v>
      </c>
      <c r="I6656" s="14" t="e">
        <f>=Round(10189.42600000,0)</f>
        <v>#VALUE!</v>
      </c>
      <c r="J6656" s="14" t="e">
        <f>=Round(0.00000000,0)</f>
        <v>#VALUE!</v>
      </c>
    </row>
    <row r="6657">
      <c r="A6657" s="11" t="s">
        <v>44</v>
      </c>
      <c r="B6657" s="12">
        <v>1280.8839</v>
      </c>
      <c r="C6657" s="12">
        <v>0</v>
      </c>
      <c r="D6657" s="13">
        <v>0</v>
      </c>
      <c r="E6657" s="12">
        <v>0</v>
      </c>
      <c r="F6657" s="14">
        <v>0</v>
      </c>
      <c r="G6657" s="13">
        <v>756604.665</v>
      </c>
      <c r="H6657" s="14">
        <v>969122734.063394</v>
      </c>
      <c r="I6657" s="14" t="e">
        <f>=Round(10189.42600000,0)</f>
        <v>#VALUE!</v>
      </c>
      <c r="J6657" s="14" t="e">
        <f>=Round(0.00000000,0)</f>
        <v>#VALUE!</v>
      </c>
    </row>
    <row r="6658">
      <c r="A6658" s="11" t="s">
        <v>45</v>
      </c>
      <c r="B6658" s="12">
        <v>1281.0899</v>
      </c>
      <c r="C6658" s="12">
        <v>0</v>
      </c>
      <c r="D6658" s="13">
        <v>0</v>
      </c>
      <c r="E6658" s="12">
        <v>0</v>
      </c>
      <c r="F6658" s="14">
        <v>0</v>
      </c>
      <c r="G6658" s="13">
        <v>756604.665</v>
      </c>
      <c r="H6658" s="14">
        <v>969278594.624384</v>
      </c>
      <c r="I6658" s="14" t="e">
        <f>=Round(10194.32380000,0)</f>
        <v>#VALUE!</v>
      </c>
      <c r="J6658" s="14" t="e">
        <f>=Round(0.00000000,0)</f>
        <v>#VALUE!</v>
      </c>
    </row>
    <row r="6659">
      <c r="A6659" s="11" t="s">
        <v>46</v>
      </c>
      <c r="B6659" s="12">
        <v>1281.2941</v>
      </c>
      <c r="C6659" s="12">
        <v>0</v>
      </c>
      <c r="D6659" s="13">
        <v>0</v>
      </c>
      <c r="E6659" s="12">
        <v>0</v>
      </c>
      <c r="F6659" s="14">
        <v>0</v>
      </c>
      <c r="G6659" s="13">
        <v>756604.665</v>
      </c>
      <c r="H6659" s="14">
        <v>969433093.296977</v>
      </c>
      <c r="I6659" s="14" t="e">
        <f>=Round(10195.96340000,0)</f>
        <v>#VALUE!</v>
      </c>
      <c r="J6659" s="14" t="e">
        <f>=Round(0.00000000,0)</f>
        <v>#VALUE!</v>
      </c>
    </row>
    <row r="6660">
      <c r="A6660" s="11" t="s">
        <v>47</v>
      </c>
      <c r="B6660" s="12">
        <v>1281.4992</v>
      </c>
      <c r="C6660" s="12">
        <v>0</v>
      </c>
      <c r="D6660" s="13">
        <v>0</v>
      </c>
      <c r="E6660" s="12">
        <v>0</v>
      </c>
      <c r="F6660" s="14">
        <v>0</v>
      </c>
      <c r="G6660" s="13">
        <v>756604.665</v>
      </c>
      <c r="H6660" s="14">
        <v>969588272.913768</v>
      </c>
      <c r="I6660" s="14" t="e">
        <f>=Round(10197.58850000,0)</f>
        <v>#VALUE!</v>
      </c>
      <c r="J6660" s="14" t="e">
        <f>=Round(0.00000000,0)</f>
        <v>#VALUE!</v>
      </c>
    </row>
    <row r="6661">
      <c r="A6661" s="11" t="s">
        <v>48</v>
      </c>
      <c r="B6661" s="12">
        <v>1281.706</v>
      </c>
      <c r="C6661" s="12">
        <v>0</v>
      </c>
      <c r="D6661" s="13">
        <v>0</v>
      </c>
      <c r="E6661" s="12">
        <v>0</v>
      </c>
      <c r="F6661" s="14">
        <v>0</v>
      </c>
      <c r="G6661" s="13">
        <v>756604.665</v>
      </c>
      <c r="H6661" s="14">
        <v>969744738.75849</v>
      </c>
      <c r="I6661" s="14" t="e">
        <f>=Round(10199.22090000,0)</f>
        <v>#VALUE!</v>
      </c>
      <c r="J6661" s="14" t="e">
        <f>=Round(0.00000000,0)</f>
        <v>#VALUE!</v>
      </c>
    </row>
    <row r="6662">
      <c r="A6662" s="11" t="s">
        <v>49</v>
      </c>
      <c r="B6662" s="12">
        <v>1281.706</v>
      </c>
      <c r="C6662" s="12">
        <v>0</v>
      </c>
      <c r="D6662" s="13">
        <v>0</v>
      </c>
      <c r="E6662" s="12">
        <v>0</v>
      </c>
      <c r="F6662" s="14">
        <v>0</v>
      </c>
      <c r="G6662" s="13">
        <v>756604.665</v>
      </c>
      <c r="H6662" s="14">
        <v>969744738.75849</v>
      </c>
      <c r="I6662" s="14" t="e">
        <f>=Round(10200.86680000,0)</f>
        <v>#VALUE!</v>
      </c>
      <c r="J6662" s="14" t="e">
        <f>=Round(0.00000000,0)</f>
        <v>#VALUE!</v>
      </c>
    </row>
    <row r="6663">
      <c r="A6663" s="11" t="s">
        <v>50</v>
      </c>
      <c r="B6663" s="12">
        <v>1281.706</v>
      </c>
      <c r="C6663" s="12">
        <v>0</v>
      </c>
      <c r="D6663" s="13">
        <v>0</v>
      </c>
      <c r="E6663" s="12">
        <v>0</v>
      </c>
      <c r="F6663" s="14">
        <v>0</v>
      </c>
      <c r="G6663" s="13">
        <v>756604.665</v>
      </c>
      <c r="H6663" s="14">
        <v>969744738.75849</v>
      </c>
      <c r="I6663" s="14" t="e">
        <f>=Round(10200.86680000,0)</f>
        <v>#VALUE!</v>
      </c>
      <c r="J6663" s="14" t="e">
        <f>=Round(0.00000000,0)</f>
        <v>#VALUE!</v>
      </c>
    </row>
    <row r="6664">
      <c r="A6664" s="11" t="s">
        <v>51</v>
      </c>
      <c r="B6664" s="12">
        <v>1282.3206</v>
      </c>
      <c r="C6664" s="12">
        <v>0</v>
      </c>
      <c r="D6664" s="13">
        <v>0</v>
      </c>
      <c r="E6664" s="12">
        <v>0</v>
      </c>
      <c r="F6664" s="14">
        <v>0</v>
      </c>
      <c r="G6664" s="13">
        <v>756604.665</v>
      </c>
      <c r="H6664" s="14">
        <v>970209747.985599</v>
      </c>
      <c r="I6664" s="14" t="e">
        <f>=Round(10200.86680000,0)</f>
        <v>#VALUE!</v>
      </c>
      <c r="J6664" s="14" t="e">
        <f>=Round(0.00000000,0)</f>
        <v>#VALUE!</v>
      </c>
    </row>
    <row r="6665">
      <c r="A6665" s="11" t="s">
        <v>52</v>
      </c>
      <c r="B6665" s="12">
        <v>1282.524</v>
      </c>
      <c r="C6665" s="12">
        <v>0</v>
      </c>
      <c r="D6665" s="13">
        <v>0</v>
      </c>
      <c r="E6665" s="12">
        <v>0</v>
      </c>
      <c r="F6665" s="14">
        <v>0</v>
      </c>
      <c r="G6665" s="13">
        <v>756604.665</v>
      </c>
      <c r="H6665" s="14">
        <v>970363641.37446</v>
      </c>
      <c r="I6665" s="14" t="e">
        <f>=Round(10205.75830000,0)</f>
        <v>#VALUE!</v>
      </c>
      <c r="J6665" s="14" t="e">
        <f>=Round(0.00000000,0)</f>
        <v>#VALUE!</v>
      </c>
    </row>
    <row r="6666">
      <c r="A6666" s="11" t="s">
        <v>53</v>
      </c>
      <c r="B6666" s="12">
        <v>1282.7292</v>
      </c>
      <c r="C6666" s="12">
        <v>0</v>
      </c>
      <c r="D6666" s="13">
        <v>0</v>
      </c>
      <c r="E6666" s="12">
        <v>0</v>
      </c>
      <c r="F6666" s="14">
        <v>0</v>
      </c>
      <c r="G6666" s="13">
        <v>756604.665</v>
      </c>
      <c r="H6666" s="14">
        <v>970518896.651718</v>
      </c>
      <c r="I6666" s="14" t="e">
        <f>=Round(10207.37710000,0)</f>
        <v>#VALUE!</v>
      </c>
      <c r="J6666" s="14" t="e">
        <f>=Round(0.00000000,0)</f>
        <v>#VALUE!</v>
      </c>
    </row>
    <row r="6667">
      <c r="A6667" s="11" t="s">
        <v>54</v>
      </c>
      <c r="B6667" s="12">
        <v>1282.9343</v>
      </c>
      <c r="C6667" s="12">
        <v>0</v>
      </c>
      <c r="D6667" s="13">
        <v>0</v>
      </c>
      <c r="E6667" s="12">
        <v>0</v>
      </c>
      <c r="F6667" s="14">
        <v>0</v>
      </c>
      <c r="G6667" s="13">
        <v>756604.665</v>
      </c>
      <c r="H6667" s="14">
        <v>970674076.26851</v>
      </c>
      <c r="I6667" s="14" t="e">
        <f>=Round(10209.01030000,0)</f>
        <v>#VALUE!</v>
      </c>
      <c r="J6667" s="14" t="e">
        <f>=Round(0.00000000,0)</f>
        <v>#VALUE!</v>
      </c>
    </row>
    <row r="6668">
      <c r="A6668" s="11" t="s">
        <v>55</v>
      </c>
      <c r="B6668" s="12">
        <v>1283.1158</v>
      </c>
      <c r="C6668" s="12">
        <v>0</v>
      </c>
      <c r="D6668" s="13">
        <v>0</v>
      </c>
      <c r="E6668" s="12">
        <v>0</v>
      </c>
      <c r="F6668" s="14">
        <v>0</v>
      </c>
      <c r="G6668" s="13">
        <v>756604.665</v>
      </c>
      <c r="H6668" s="14">
        <v>970811400.015207</v>
      </c>
      <c r="I6668" s="14" t="e">
        <f>=Round(10210.64260000,0)</f>
        <v>#VALUE!</v>
      </c>
      <c r="J6668" s="14" t="e">
        <f>=Round(0.00000000,0)</f>
        <v>#VALUE!</v>
      </c>
    </row>
    <row r="6669" ht="-1">
      <c r="A6669" s="15"/>
      <c r="B6669" s="16" t="s">
        <v>56</v>
      </c>
      <c r="C6669" s="15"/>
      <c r="D6669" s="15"/>
      <c r="E6669" s="15"/>
      <c r="F6669" s="15"/>
      <c r="G6669" s="15"/>
      <c r="H6669" s="15"/>
      <c r="I6669" s="17" t="e">
        <f>=Round(SUM(I6643:I6668),0)</f>
        <v>#VALUE!</v>
      </c>
      <c r="J6669" s="17" t="e">
        <f>=Round(SUM(J6643:J6668),0)</f>
        <v>#VALUE!</v>
      </c>
    </row>
    <row r="6670">
      <c r="A6670" s="1" t="s">
        <v>0</v>
      </c>
      <c r="B6670" s="1"/>
      <c r="C6670" s="1"/>
      <c r="D6670" s="1"/>
    </row>
    <row r="6671">
      <c r="A6671" s="0" t="s">
        <v>1</v>
      </c>
      <c r="C6671" s="0" t="s">
        <v>234</v>
      </c>
      <c r="H6671" s="2" t="s">
        <v>3</v>
      </c>
    </row>
    <row r="6672">
      <c r="A6672" s="0" t="s">
        <v>4</v>
      </c>
      <c r="C6672" s="0" t="s">
        <v>246</v>
      </c>
      <c r="H6672" s="3" t="s">
        <v>6</v>
      </c>
    </row>
    <row r="6673">
      <c r="A6673" s="0" t="s">
        <v>7</v>
      </c>
      <c r="C6673" s="4" t="s">
        <v>205</v>
      </c>
      <c r="H6673" s="2" t="s">
        <v>9</v>
      </c>
    </row>
    <row r="6674">
      <c r="A6674" s="0" t="s">
        <v>10</v>
      </c>
      <c r="C6674" s="4" t="s">
        <v>11</v>
      </c>
      <c r="H6674" s="2" t="s">
        <v>12</v>
      </c>
    </row>
    <row r="6675">
      <c r="A6675" s="0" t="s">
        <v>13</v>
      </c>
      <c r="C6675" s="0" t="s">
        <v>14</v>
      </c>
    </row>
    <row r="6676">
      <c r="A6676" s="0" t="s">
        <v>15</v>
      </c>
      <c r="C6676" s="0" t="s">
        <v>16</v>
      </c>
    </row>
    <row r="6677">
      <c r="A6677" s="0" t="s">
        <v>17</v>
      </c>
      <c r="C6677" s="0" t="s">
        <v>18</v>
      </c>
    </row>
    <row r="6680">
      <c r="A6680" s="5" t="s">
        <v>19</v>
      </c>
      <c r="B6680" s="5" t="s">
        <v>20</v>
      </c>
      <c r="C6680" s="7" t="s">
        <v>21</v>
      </c>
      <c r="D6680" s="9"/>
      <c r="E6680" s="7" t="s">
        <v>22</v>
      </c>
      <c r="F6680" s="9"/>
      <c r="G6680" s="5" t="s">
        <v>23</v>
      </c>
      <c r="H6680" s="5" t="s">
        <v>24</v>
      </c>
      <c r="I6680" s="5" t="s">
        <v>206</v>
      </c>
      <c r="J6680" s="5" t="s">
        <v>26</v>
      </c>
    </row>
    <row r="6681">
      <c r="A6681" s="6"/>
      <c r="B6681" s="6"/>
      <c r="C6681" s="8" t="s">
        <v>27</v>
      </c>
      <c r="D6681" s="8" t="s">
        <v>28</v>
      </c>
      <c r="E6681" s="8" t="s">
        <v>27</v>
      </c>
      <c r="F6681" s="8" t="s">
        <v>28</v>
      </c>
      <c r="G6681" s="6"/>
      <c r="H6681" s="6"/>
      <c r="I6681" s="10" t="s">
        <v>29</v>
      </c>
      <c r="J6681" s="6"/>
    </row>
    <row r="6682">
      <c r="A6682" s="11" t="s">
        <v>30</v>
      </c>
      <c r="B6682" s="12">
        <v>1278.0261</v>
      </c>
      <c r="C6682" s="12">
        <v>0</v>
      </c>
      <c r="D6682" s="13">
        <v>0</v>
      </c>
      <c r="E6682" s="12">
        <v>0</v>
      </c>
      <c r="F6682" s="14">
        <v>0</v>
      </c>
      <c r="G6682" s="13">
        <v>19577025.0612</v>
      </c>
      <c r="H6682" s="14">
        <v>25019948988.567696</v>
      </c>
      <c r="I6682" s="14" t="e">
        <f>=Round(263062.03930000,0)</f>
        <v>#VALUE!</v>
      </c>
      <c r="J6682" s="14" t="e">
        <f>=Round(0.00000000,0)</f>
        <v>#VALUE!</v>
      </c>
    </row>
    <row r="6683">
      <c r="A6683" s="11" t="s">
        <v>31</v>
      </c>
      <c r="B6683" s="12">
        <v>1278.2299</v>
      </c>
      <c r="C6683" s="12">
        <v>19558296.9855</v>
      </c>
      <c r="D6683" s="13">
        <v>25000000000</v>
      </c>
      <c r="E6683" s="12">
        <v>0</v>
      </c>
      <c r="F6683" s="14">
        <v>0</v>
      </c>
      <c r="G6683" s="13">
        <v>19577025.0612</v>
      </c>
      <c r="H6683" s="14">
        <v>25023938786.275169</v>
      </c>
      <c r="I6683" s="14" t="e">
        <f>=Round(263187.98800000,0)</f>
        <v>#VALUE!</v>
      </c>
      <c r="J6683" s="14" t="e">
        <f>=Round(0.00000000,0)</f>
        <v>#VALUE!</v>
      </c>
    </row>
    <row r="6684">
      <c r="A6684" s="11" t="s">
        <v>32</v>
      </c>
      <c r="B6684" s="12">
        <v>1278.4335</v>
      </c>
      <c r="C6684" s="12">
        <v>0</v>
      </c>
      <c r="D6684" s="13">
        <v>0</v>
      </c>
      <c r="E6684" s="12">
        <v>0</v>
      </c>
      <c r="F6684" s="14">
        <v>0</v>
      </c>
      <c r="G6684" s="13">
        <v>39135322.0467</v>
      </c>
      <c r="H6684" s="14">
        <v>50031906737.789841</v>
      </c>
      <c r="I6684" s="14" t="e">
        <f>=Round(263229.95720000,0)</f>
        <v>#VALUE!</v>
      </c>
      <c r="J6684" s="14" t="e">
        <f>=Round(0.00000000,0)</f>
        <v>#VALUE!</v>
      </c>
    </row>
    <row r="6685">
      <c r="A6685" s="11" t="s">
        <v>33</v>
      </c>
      <c r="B6685" s="12">
        <v>1278.6325</v>
      </c>
      <c r="C6685" s="12">
        <v>0</v>
      </c>
      <c r="D6685" s="13">
        <v>0</v>
      </c>
      <c r="E6685" s="12">
        <v>0</v>
      </c>
      <c r="F6685" s="14">
        <v>0</v>
      </c>
      <c r="G6685" s="13">
        <v>39135322.0467</v>
      </c>
      <c r="H6685" s="14">
        <v>50039694666.877136</v>
      </c>
      <c r="I6685" s="14" t="e">
        <f>=Round(526291.91510000,0)</f>
        <v>#VALUE!</v>
      </c>
      <c r="J6685" s="14" t="e">
        <f>=Round(0.00000000,0)</f>
        <v>#VALUE!</v>
      </c>
    </row>
    <row r="6686">
      <c r="A6686" s="11" t="s">
        <v>34</v>
      </c>
      <c r="B6686" s="12">
        <v>1278.837</v>
      </c>
      <c r="C6686" s="12">
        <v>0</v>
      </c>
      <c r="D6686" s="13">
        <v>0</v>
      </c>
      <c r="E6686" s="12">
        <v>0</v>
      </c>
      <c r="F6686" s="14">
        <v>0</v>
      </c>
      <c r="G6686" s="13">
        <v>39135322.0467</v>
      </c>
      <c r="H6686" s="14">
        <v>50047697840.235687</v>
      </c>
      <c r="I6686" s="14" t="e">
        <f>=Round(526373.83730000,0)</f>
        <v>#VALUE!</v>
      </c>
      <c r="J6686" s="14" t="e">
        <f>=Round(0.00000000,0)</f>
        <v>#VALUE!</v>
      </c>
    </row>
    <row r="6687">
      <c r="A6687" s="11" t="s">
        <v>35</v>
      </c>
      <c r="B6687" s="12">
        <v>1278.837</v>
      </c>
      <c r="C6687" s="12">
        <v>0</v>
      </c>
      <c r="D6687" s="13">
        <v>0</v>
      </c>
      <c r="E6687" s="12">
        <v>0</v>
      </c>
      <c r="F6687" s="14">
        <v>0</v>
      </c>
      <c r="G6687" s="13">
        <v>39135322.0467</v>
      </c>
      <c r="H6687" s="14">
        <v>50047697840.235687</v>
      </c>
      <c r="I6687" s="14" t="e">
        <f>=Round(526458.02370000,0)</f>
        <v>#VALUE!</v>
      </c>
      <c r="J6687" s="14" t="e">
        <f>=Round(0.00000000,0)</f>
        <v>#VALUE!</v>
      </c>
    </row>
    <row r="6688">
      <c r="A6688" s="11" t="s">
        <v>36</v>
      </c>
      <c r="B6688" s="12">
        <v>1278.837</v>
      </c>
      <c r="C6688" s="12">
        <v>0</v>
      </c>
      <c r="D6688" s="13">
        <v>0</v>
      </c>
      <c r="E6688" s="12">
        <v>0</v>
      </c>
      <c r="F6688" s="14">
        <v>0</v>
      </c>
      <c r="G6688" s="13">
        <v>39135322.0467</v>
      </c>
      <c r="H6688" s="14">
        <v>50047697840.235687</v>
      </c>
      <c r="I6688" s="14" t="e">
        <f>=Round(526458.02370000,0)</f>
        <v>#VALUE!</v>
      </c>
      <c r="J6688" s="14" t="e">
        <f>=Round(0.00000000,0)</f>
        <v>#VALUE!</v>
      </c>
    </row>
    <row r="6689">
      <c r="A6689" s="11" t="s">
        <v>37</v>
      </c>
      <c r="B6689" s="12">
        <v>1279.4503</v>
      </c>
      <c r="C6689" s="12">
        <v>0</v>
      </c>
      <c r="D6689" s="13">
        <v>0</v>
      </c>
      <c r="E6689" s="12">
        <v>0</v>
      </c>
      <c r="F6689" s="14">
        <v>0</v>
      </c>
      <c r="G6689" s="13">
        <v>39135322.0467</v>
      </c>
      <c r="H6689" s="14">
        <v>50071699533.246925</v>
      </c>
      <c r="I6689" s="14" t="e">
        <f>=Round(526458.02370000,0)</f>
        <v>#VALUE!</v>
      </c>
      <c r="J6689" s="14" t="e">
        <f>=Round(0.00000000,0)</f>
        <v>#VALUE!</v>
      </c>
    </row>
    <row r="6690">
      <c r="A6690" s="11" t="s">
        <v>38</v>
      </c>
      <c r="B6690" s="12">
        <v>1279.6545</v>
      </c>
      <c r="C6690" s="12">
        <v>0</v>
      </c>
      <c r="D6690" s="13">
        <v>0</v>
      </c>
      <c r="E6690" s="12">
        <v>0</v>
      </c>
      <c r="F6690" s="14">
        <v>0</v>
      </c>
      <c r="G6690" s="13">
        <v>39135322.0467</v>
      </c>
      <c r="H6690" s="14">
        <v>50079690966.008865</v>
      </c>
      <c r="I6690" s="14" t="e">
        <f>=Round(526710.50060000,0)</f>
        <v>#VALUE!</v>
      </c>
      <c r="J6690" s="14" t="e">
        <f>=Round(0.00000000,0)</f>
        <v>#VALUE!</v>
      </c>
    </row>
    <row r="6691">
      <c r="A6691" s="11" t="s">
        <v>39</v>
      </c>
      <c r="B6691" s="12">
        <v>1279.8598</v>
      </c>
      <c r="C6691" s="12">
        <v>0</v>
      </c>
      <c r="D6691" s="13">
        <v>0</v>
      </c>
      <c r="E6691" s="12">
        <v>0</v>
      </c>
      <c r="F6691" s="14">
        <v>0</v>
      </c>
      <c r="G6691" s="13">
        <v>39135322.0467</v>
      </c>
      <c r="H6691" s="14">
        <v>50087725447.625053</v>
      </c>
      <c r="I6691" s="14" t="e">
        <f>=Round(526794.56340000,0)</f>
        <v>#VALUE!</v>
      </c>
      <c r="J6691" s="14" t="e">
        <f>=Round(0.00000000,0)</f>
        <v>#VALUE!</v>
      </c>
    </row>
    <row r="6692">
      <c r="A6692" s="11" t="s">
        <v>40</v>
      </c>
      <c r="B6692" s="12">
        <v>1280.0644</v>
      </c>
      <c r="C6692" s="12">
        <v>39060534.7668</v>
      </c>
      <c r="D6692" s="13">
        <v>50000000000</v>
      </c>
      <c r="E6692" s="12">
        <v>0</v>
      </c>
      <c r="F6692" s="14">
        <v>0</v>
      </c>
      <c r="G6692" s="13">
        <v>39135322.0467</v>
      </c>
      <c r="H6692" s="14">
        <v>50095732534.515808</v>
      </c>
      <c r="I6692" s="14" t="e">
        <f>=Round(526879.07920000,0)</f>
        <v>#VALUE!</v>
      </c>
      <c r="J6692" s="14" t="e">
        <f>=Round(0.00000000,0)</f>
        <v>#VALUE!</v>
      </c>
    </row>
    <row r="6693">
      <c r="A6693" s="11" t="s">
        <v>41</v>
      </c>
      <c r="B6693" s="12">
        <v>1280.2685</v>
      </c>
      <c r="C6693" s="12">
        <v>0</v>
      </c>
      <c r="D6693" s="13">
        <v>0</v>
      </c>
      <c r="E6693" s="12">
        <v>0</v>
      </c>
      <c r="F6693" s="14">
        <v>0</v>
      </c>
      <c r="G6693" s="13">
        <v>78195856.8135</v>
      </c>
      <c r="H6693" s="14">
        <v>100111692308.83443</v>
      </c>
      <c r="I6693" s="14" t="e">
        <f>=Round(526963.30670000,0)</f>
        <v>#VALUE!</v>
      </c>
      <c r="J6693" s="14" t="e">
        <f>=Round(0.00000000,0)</f>
        <v>#VALUE!</v>
      </c>
    </row>
    <row r="6694">
      <c r="A6694" s="11" t="s">
        <v>42</v>
      </c>
      <c r="B6694" s="12">
        <v>1280.2685</v>
      </c>
      <c r="C6694" s="12">
        <v>0</v>
      </c>
      <c r="D6694" s="13">
        <v>0</v>
      </c>
      <c r="E6694" s="12">
        <v>0</v>
      </c>
      <c r="F6694" s="14">
        <v>0</v>
      </c>
      <c r="G6694" s="13">
        <v>78195856.8135</v>
      </c>
      <c r="H6694" s="14">
        <v>100111692308.83443</v>
      </c>
      <c r="I6694" s="14" t="e">
        <f>=Round(1053087.47370000,0)</f>
        <v>#VALUE!</v>
      </c>
      <c r="J6694" s="14" t="e">
        <f>=Round(0.00000000,0)</f>
        <v>#VALUE!</v>
      </c>
    </row>
    <row r="6695">
      <c r="A6695" s="11" t="s">
        <v>43</v>
      </c>
      <c r="B6695" s="12">
        <v>1280.2685</v>
      </c>
      <c r="C6695" s="12">
        <v>0</v>
      </c>
      <c r="D6695" s="13">
        <v>0</v>
      </c>
      <c r="E6695" s="12">
        <v>0</v>
      </c>
      <c r="F6695" s="14">
        <v>0</v>
      </c>
      <c r="G6695" s="13">
        <v>78195856.8135</v>
      </c>
      <c r="H6695" s="14">
        <v>100111692308.83443</v>
      </c>
      <c r="I6695" s="14" t="e">
        <f>=Round(1053087.47370000,0)</f>
        <v>#VALUE!</v>
      </c>
      <c r="J6695" s="14" t="e">
        <f>=Round(0.00000000,0)</f>
        <v>#VALUE!</v>
      </c>
    </row>
    <row r="6696">
      <c r="A6696" s="11" t="s">
        <v>44</v>
      </c>
      <c r="B6696" s="12">
        <v>1280.8839</v>
      </c>
      <c r="C6696" s="12">
        <v>0</v>
      </c>
      <c r="D6696" s="13">
        <v>0</v>
      </c>
      <c r="E6696" s="12">
        <v>0</v>
      </c>
      <c r="F6696" s="14">
        <v>0</v>
      </c>
      <c r="G6696" s="13">
        <v>78195856.8135</v>
      </c>
      <c r="H6696" s="14">
        <v>100159814039.11746</v>
      </c>
      <c r="I6696" s="14" t="e">
        <f>=Round(1053087.47370000,0)</f>
        <v>#VALUE!</v>
      </c>
      <c r="J6696" s="14" t="e">
        <f>=Round(0.00000000,0)</f>
        <v>#VALUE!</v>
      </c>
    </row>
    <row r="6697">
      <c r="A6697" s="11" t="s">
        <v>45</v>
      </c>
      <c r="B6697" s="12">
        <v>1281.0899</v>
      </c>
      <c r="C6697" s="12">
        <v>0</v>
      </c>
      <c r="D6697" s="13">
        <v>0</v>
      </c>
      <c r="E6697" s="12">
        <v>0</v>
      </c>
      <c r="F6697" s="14">
        <v>0</v>
      </c>
      <c r="G6697" s="13">
        <v>78195856.8135</v>
      </c>
      <c r="H6697" s="14">
        <v>100175922385.62103</v>
      </c>
      <c r="I6697" s="14" t="e">
        <f>=Round(1053593.67230000,0)</f>
        <v>#VALUE!</v>
      </c>
      <c r="J6697" s="14" t="e">
        <f>=Round(0.00000000,0)</f>
        <v>#VALUE!</v>
      </c>
    </row>
    <row r="6698">
      <c r="A6698" s="11" t="s">
        <v>46</v>
      </c>
      <c r="B6698" s="12">
        <v>1281.2941</v>
      </c>
      <c r="C6698" s="12">
        <v>0</v>
      </c>
      <c r="D6698" s="13">
        <v>0</v>
      </c>
      <c r="E6698" s="12">
        <v>0</v>
      </c>
      <c r="F6698" s="14">
        <v>0</v>
      </c>
      <c r="G6698" s="13">
        <v>78195856.8135</v>
      </c>
      <c r="H6698" s="14">
        <v>100191889979.58235</v>
      </c>
      <c r="I6698" s="14" t="e">
        <f>=Round(1053763.11800000,0)</f>
        <v>#VALUE!</v>
      </c>
      <c r="J6698" s="14" t="e">
        <f>=Round(0.00000000,0)</f>
        <v>#VALUE!</v>
      </c>
    </row>
    <row r="6699">
      <c r="A6699" s="11" t="s">
        <v>47</v>
      </c>
      <c r="B6699" s="12">
        <v>1281.4992</v>
      </c>
      <c r="C6699" s="12">
        <v>0</v>
      </c>
      <c r="D6699" s="13">
        <v>0</v>
      </c>
      <c r="E6699" s="12">
        <v>0</v>
      </c>
      <c r="F6699" s="14">
        <v>0</v>
      </c>
      <c r="G6699" s="13">
        <v>78195856.8135</v>
      </c>
      <c r="H6699" s="14">
        <v>100207927949.8148</v>
      </c>
      <c r="I6699" s="14" t="e">
        <f>=Round(1053931.08310000,0)</f>
        <v>#VALUE!</v>
      </c>
      <c r="J6699" s="14" t="e">
        <f>=Round(0.00000000,0)</f>
        <v>#VALUE!</v>
      </c>
    </row>
    <row r="6700">
      <c r="A6700" s="11" t="s">
        <v>48</v>
      </c>
      <c r="B6700" s="12">
        <v>1281.706</v>
      </c>
      <c r="C6700" s="12">
        <v>0</v>
      </c>
      <c r="D6700" s="13">
        <v>0</v>
      </c>
      <c r="E6700" s="12">
        <v>0</v>
      </c>
      <c r="F6700" s="14">
        <v>0</v>
      </c>
      <c r="G6700" s="13">
        <v>78195856.8135</v>
      </c>
      <c r="H6700" s="14">
        <v>100224098853.00383</v>
      </c>
      <c r="I6700" s="14" t="e">
        <f>=Round(1054099.78850000,0)</f>
        <v>#VALUE!</v>
      </c>
      <c r="J6700" s="14" t="e">
        <f>=Round(0.00000000,0)</f>
        <v>#VALUE!</v>
      </c>
    </row>
    <row r="6701">
      <c r="A6701" s="11" t="s">
        <v>49</v>
      </c>
      <c r="B6701" s="12">
        <v>1281.706</v>
      </c>
      <c r="C6701" s="12">
        <v>0</v>
      </c>
      <c r="D6701" s="13">
        <v>0</v>
      </c>
      <c r="E6701" s="12">
        <v>0</v>
      </c>
      <c r="F6701" s="14">
        <v>0</v>
      </c>
      <c r="G6701" s="13">
        <v>78195856.8135</v>
      </c>
      <c r="H6701" s="14">
        <v>100224098853.00383</v>
      </c>
      <c r="I6701" s="14" t="e">
        <f>=Round(1054269.89230000,0)</f>
        <v>#VALUE!</v>
      </c>
      <c r="J6701" s="14" t="e">
        <f>=Round(0.00000000,0)</f>
        <v>#VALUE!</v>
      </c>
    </row>
    <row r="6702">
      <c r="A6702" s="11" t="s">
        <v>50</v>
      </c>
      <c r="B6702" s="12">
        <v>1281.706</v>
      </c>
      <c r="C6702" s="12">
        <v>0</v>
      </c>
      <c r="D6702" s="13">
        <v>0</v>
      </c>
      <c r="E6702" s="12">
        <v>0</v>
      </c>
      <c r="F6702" s="14">
        <v>0</v>
      </c>
      <c r="G6702" s="13">
        <v>78195856.8135</v>
      </c>
      <c r="H6702" s="14">
        <v>100224098853.00383</v>
      </c>
      <c r="I6702" s="14" t="e">
        <f>=Round(1054269.89230000,0)</f>
        <v>#VALUE!</v>
      </c>
      <c r="J6702" s="14" t="e">
        <f>=Round(0.00000000,0)</f>
        <v>#VALUE!</v>
      </c>
    </row>
    <row r="6703">
      <c r="A6703" s="11" t="s">
        <v>51</v>
      </c>
      <c r="B6703" s="12">
        <v>1282.3206</v>
      </c>
      <c r="C6703" s="12">
        <v>0</v>
      </c>
      <c r="D6703" s="13">
        <v>0</v>
      </c>
      <c r="E6703" s="12">
        <v>0</v>
      </c>
      <c r="F6703" s="14">
        <v>0</v>
      </c>
      <c r="G6703" s="13">
        <v>78195856.8135</v>
      </c>
      <c r="H6703" s="14">
        <v>100272158026.60141</v>
      </c>
      <c r="I6703" s="14" t="e">
        <f>=Round(1054269.89230000,0)</f>
        <v>#VALUE!</v>
      </c>
      <c r="J6703" s="14" t="e">
        <f>=Round(0.00000000,0)</f>
        <v>#VALUE!</v>
      </c>
    </row>
    <row r="6704">
      <c r="A6704" s="11" t="s">
        <v>52</v>
      </c>
      <c r="B6704" s="12">
        <v>1282.524</v>
      </c>
      <c r="C6704" s="12">
        <v>0</v>
      </c>
      <c r="D6704" s="13">
        <v>0</v>
      </c>
      <c r="E6704" s="12">
        <v>0</v>
      </c>
      <c r="F6704" s="14">
        <v>0</v>
      </c>
      <c r="G6704" s="13">
        <v>78195856.8135</v>
      </c>
      <c r="H6704" s="14">
        <v>100288063063.87727</v>
      </c>
      <c r="I6704" s="14" t="e">
        <f>=Round(1054775.43280000,0)</f>
        <v>#VALUE!</v>
      </c>
      <c r="J6704" s="14" t="e">
        <f>=Round(0.00000000,0)</f>
        <v>#VALUE!</v>
      </c>
    </row>
    <row r="6705">
      <c r="A6705" s="11" t="s">
        <v>53</v>
      </c>
      <c r="B6705" s="12">
        <v>1282.7292</v>
      </c>
      <c r="C6705" s="12">
        <v>0</v>
      </c>
      <c r="D6705" s="13">
        <v>0</v>
      </c>
      <c r="E6705" s="12">
        <v>0</v>
      </c>
      <c r="F6705" s="14">
        <v>0</v>
      </c>
      <c r="G6705" s="13">
        <v>78195856.8135</v>
      </c>
      <c r="H6705" s="14">
        <v>100304108853.6954</v>
      </c>
      <c r="I6705" s="14" t="e">
        <f>=Round(1054942.73990000,0)</f>
        <v>#VALUE!</v>
      </c>
      <c r="J6705" s="14" t="e">
        <f>=Round(0.00000000,0)</f>
        <v>#VALUE!</v>
      </c>
    </row>
    <row r="6706">
      <c r="A6706" s="11" t="s">
        <v>54</v>
      </c>
      <c r="B6706" s="12">
        <v>1282.9343</v>
      </c>
      <c r="C6706" s="12">
        <v>0</v>
      </c>
      <c r="D6706" s="13">
        <v>0</v>
      </c>
      <c r="E6706" s="12">
        <v>0</v>
      </c>
      <c r="F6706" s="14">
        <v>0</v>
      </c>
      <c r="G6706" s="13">
        <v>78195856.8135</v>
      </c>
      <c r="H6706" s="14">
        <v>100320146823.92786</v>
      </c>
      <c r="I6706" s="14" t="e">
        <f>=Round(1055111.52760000,0)</f>
        <v>#VALUE!</v>
      </c>
      <c r="J6706" s="14" t="e">
        <f>=Round(0.00000000,0)</f>
        <v>#VALUE!</v>
      </c>
    </row>
    <row r="6707">
      <c r="A6707" s="11" t="s">
        <v>55</v>
      </c>
      <c r="B6707" s="12">
        <v>1283.1158</v>
      </c>
      <c r="C6707" s="12">
        <v>0</v>
      </c>
      <c r="D6707" s="13">
        <v>0</v>
      </c>
      <c r="E6707" s="12">
        <v>0</v>
      </c>
      <c r="F6707" s="14">
        <v>0</v>
      </c>
      <c r="G6707" s="13">
        <v>78195856.8135</v>
      </c>
      <c r="H6707" s="14">
        <v>100334339371.9395</v>
      </c>
      <c r="I6707" s="14" t="e">
        <f>=Round(1055280.23300000,0)</f>
        <v>#VALUE!</v>
      </c>
      <c r="J6707" s="14" t="e">
        <f>=Round(0.00000000,0)</f>
        <v>#VALUE!</v>
      </c>
    </row>
    <row r="6708" ht="-1">
      <c r="A6708" s="15"/>
      <c r="B6708" s="16" t="s">
        <v>56</v>
      </c>
      <c r="C6708" s="15"/>
      <c r="D6708" s="15"/>
      <c r="E6708" s="15"/>
      <c r="F6708" s="15"/>
      <c r="G6708" s="15"/>
      <c r="H6708" s="15"/>
      <c r="I6708" s="17" t="e">
        <f>=Round(SUM(I6682:I6707),0)</f>
        <v>#VALUE!</v>
      </c>
      <c r="J6708" s="17" t="e">
        <f>=Round(SUM(J6682:J6707),0)</f>
        <v>#VALUE!</v>
      </c>
    </row>
    <row r="6709">
      <c r="A6709" s="1" t="s">
        <v>0</v>
      </c>
      <c r="B6709" s="1"/>
      <c r="C6709" s="1"/>
      <c r="D6709" s="1"/>
    </row>
    <row r="6710">
      <c r="A6710" s="0" t="s">
        <v>1</v>
      </c>
      <c r="C6710" s="0" t="s">
        <v>234</v>
      </c>
      <c r="H6710" s="2" t="s">
        <v>3</v>
      </c>
    </row>
    <row r="6711">
      <c r="A6711" s="0" t="s">
        <v>4</v>
      </c>
      <c r="C6711" s="0" t="s">
        <v>247</v>
      </c>
      <c r="H6711" s="3" t="s">
        <v>6</v>
      </c>
    </row>
    <row r="6712">
      <c r="A6712" s="0" t="s">
        <v>7</v>
      </c>
      <c r="C6712" s="4" t="s">
        <v>205</v>
      </c>
      <c r="H6712" s="2" t="s">
        <v>9</v>
      </c>
    </row>
    <row r="6713">
      <c r="A6713" s="0" t="s">
        <v>10</v>
      </c>
      <c r="C6713" s="4" t="s">
        <v>11</v>
      </c>
      <c r="H6713" s="2" t="s">
        <v>12</v>
      </c>
    </row>
    <row r="6714">
      <c r="A6714" s="0" t="s">
        <v>13</v>
      </c>
      <c r="C6714" s="0" t="s">
        <v>14</v>
      </c>
    </row>
    <row r="6715">
      <c r="A6715" s="0" t="s">
        <v>15</v>
      </c>
      <c r="C6715" s="0" t="s">
        <v>16</v>
      </c>
    </row>
    <row r="6716">
      <c r="A6716" s="0" t="s">
        <v>17</v>
      </c>
      <c r="C6716" s="0" t="s">
        <v>18</v>
      </c>
    </row>
    <row r="6719">
      <c r="A6719" s="5" t="s">
        <v>19</v>
      </c>
      <c r="B6719" s="5" t="s">
        <v>20</v>
      </c>
      <c r="C6719" s="7" t="s">
        <v>21</v>
      </c>
      <c r="D6719" s="9"/>
      <c r="E6719" s="7" t="s">
        <v>22</v>
      </c>
      <c r="F6719" s="9"/>
      <c r="G6719" s="5" t="s">
        <v>23</v>
      </c>
      <c r="H6719" s="5" t="s">
        <v>24</v>
      </c>
      <c r="I6719" s="5" t="s">
        <v>206</v>
      </c>
      <c r="J6719" s="5" t="s">
        <v>26</v>
      </c>
    </row>
    <row r="6720">
      <c r="A6720" s="6"/>
      <c r="B6720" s="6"/>
      <c r="C6720" s="8" t="s">
        <v>27</v>
      </c>
      <c r="D6720" s="8" t="s">
        <v>28</v>
      </c>
      <c r="E6720" s="8" t="s">
        <v>27</v>
      </c>
      <c r="F6720" s="8" t="s">
        <v>28</v>
      </c>
      <c r="G6720" s="6"/>
      <c r="H6720" s="6"/>
      <c r="I6720" s="10" t="s">
        <v>29</v>
      </c>
      <c r="J6720" s="6"/>
    </row>
    <row r="6721">
      <c r="A6721" s="11" t="s">
        <v>30</v>
      </c>
      <c r="B6721" s="12">
        <v>1278.0261</v>
      </c>
      <c r="C6721" s="12">
        <v>0</v>
      </c>
      <c r="D6721" s="13">
        <v>0</v>
      </c>
      <c r="E6721" s="12">
        <v>0</v>
      </c>
      <c r="F6721" s="14">
        <v>0</v>
      </c>
      <c r="G6721" s="13">
        <v>1315700.4893</v>
      </c>
      <c r="H6721" s="14">
        <v>1681499565.108171</v>
      </c>
      <c r="I6721" s="14" t="e">
        <f>=Round(17679.44070000,0)</f>
        <v>#VALUE!</v>
      </c>
      <c r="J6721" s="14" t="e">
        <f>=Round(0.00000000,0)</f>
        <v>#VALUE!</v>
      </c>
    </row>
    <row r="6722">
      <c r="A6722" s="11" t="s">
        <v>31</v>
      </c>
      <c r="B6722" s="12">
        <v>1278.2299</v>
      </c>
      <c r="C6722" s="12">
        <v>0</v>
      </c>
      <c r="D6722" s="13">
        <v>0</v>
      </c>
      <c r="E6722" s="12">
        <v>0</v>
      </c>
      <c r="F6722" s="14">
        <v>0</v>
      </c>
      <c r="G6722" s="13">
        <v>1315700.4893</v>
      </c>
      <c r="H6722" s="14">
        <v>1681767704.86789</v>
      </c>
      <c r="I6722" s="14" t="e">
        <f>=Round(17687.90530000,0)</f>
        <v>#VALUE!</v>
      </c>
      <c r="J6722" s="14" t="e">
        <f>=Round(0.00000000,0)</f>
        <v>#VALUE!</v>
      </c>
    </row>
    <row r="6723">
      <c r="A6723" s="11" t="s">
        <v>32</v>
      </c>
      <c r="B6723" s="12">
        <v>1278.4335</v>
      </c>
      <c r="C6723" s="12">
        <v>0</v>
      </c>
      <c r="D6723" s="13">
        <v>0</v>
      </c>
      <c r="E6723" s="12">
        <v>0</v>
      </c>
      <c r="F6723" s="14">
        <v>0</v>
      </c>
      <c r="G6723" s="13">
        <v>1315700.4893</v>
      </c>
      <c r="H6723" s="14">
        <v>1682035581.4875121</v>
      </c>
      <c r="I6723" s="14" t="e">
        <f>=Round(17690.72590000,0)</f>
        <v>#VALUE!</v>
      </c>
      <c r="J6723" s="14" t="e">
        <f>=Round(0.00000000,0)</f>
        <v>#VALUE!</v>
      </c>
    </row>
    <row r="6724">
      <c r="A6724" s="11" t="s">
        <v>33</v>
      </c>
      <c r="B6724" s="12">
        <v>1278.6325</v>
      </c>
      <c r="C6724" s="12">
        <v>0</v>
      </c>
      <c r="D6724" s="13">
        <v>0</v>
      </c>
      <c r="E6724" s="12">
        <v>0</v>
      </c>
      <c r="F6724" s="14">
        <v>0</v>
      </c>
      <c r="G6724" s="13">
        <v>1315700.4893</v>
      </c>
      <c r="H6724" s="14">
        <v>1682297405.884882</v>
      </c>
      <c r="I6724" s="14" t="e">
        <f>=Round(17693.54370000,0)</f>
        <v>#VALUE!</v>
      </c>
      <c r="J6724" s="14" t="e">
        <f>=Round(0.00000000,0)</f>
        <v>#VALUE!</v>
      </c>
    </row>
    <row r="6725">
      <c r="A6725" s="11" t="s">
        <v>34</v>
      </c>
      <c r="B6725" s="12">
        <v>1278.837</v>
      </c>
      <c r="C6725" s="12">
        <v>0</v>
      </c>
      <c r="D6725" s="13">
        <v>0</v>
      </c>
      <c r="E6725" s="12">
        <v>0</v>
      </c>
      <c r="F6725" s="14">
        <v>0</v>
      </c>
      <c r="G6725" s="13">
        <v>1315700.4893</v>
      </c>
      <c r="H6725" s="14">
        <v>1682566466.634944</v>
      </c>
      <c r="I6725" s="14" t="e">
        <f>=Round(17696.29780000,0)</f>
        <v>#VALUE!</v>
      </c>
      <c r="J6725" s="14" t="e">
        <f>=Round(0.00000000,0)</f>
        <v>#VALUE!</v>
      </c>
    </row>
    <row r="6726">
      <c r="A6726" s="11" t="s">
        <v>35</v>
      </c>
      <c r="B6726" s="12">
        <v>1278.837</v>
      </c>
      <c r="C6726" s="12">
        <v>0</v>
      </c>
      <c r="D6726" s="13">
        <v>0</v>
      </c>
      <c r="E6726" s="12">
        <v>0</v>
      </c>
      <c r="F6726" s="14">
        <v>0</v>
      </c>
      <c r="G6726" s="13">
        <v>1315700.4893</v>
      </c>
      <c r="H6726" s="14">
        <v>1682566466.634944</v>
      </c>
      <c r="I6726" s="14" t="e">
        <f>=Round(17699.12810000,0)</f>
        <v>#VALUE!</v>
      </c>
      <c r="J6726" s="14" t="e">
        <f>=Round(0.00000000,0)</f>
        <v>#VALUE!</v>
      </c>
    </row>
    <row r="6727">
      <c r="A6727" s="11" t="s">
        <v>36</v>
      </c>
      <c r="B6727" s="12">
        <v>1278.837</v>
      </c>
      <c r="C6727" s="12">
        <v>0</v>
      </c>
      <c r="D6727" s="13">
        <v>0</v>
      </c>
      <c r="E6727" s="12">
        <v>0</v>
      </c>
      <c r="F6727" s="14">
        <v>0</v>
      </c>
      <c r="G6727" s="13">
        <v>1315700.4893</v>
      </c>
      <c r="H6727" s="14">
        <v>1682566466.634944</v>
      </c>
      <c r="I6727" s="14" t="e">
        <f>=Round(17699.12810000,0)</f>
        <v>#VALUE!</v>
      </c>
      <c r="J6727" s="14" t="e">
        <f>=Round(0.00000000,0)</f>
        <v>#VALUE!</v>
      </c>
    </row>
    <row r="6728">
      <c r="A6728" s="11" t="s">
        <v>37</v>
      </c>
      <c r="B6728" s="12">
        <v>1279.4503</v>
      </c>
      <c r="C6728" s="12">
        <v>0</v>
      </c>
      <c r="D6728" s="13">
        <v>0</v>
      </c>
      <c r="E6728" s="12">
        <v>0</v>
      </c>
      <c r="F6728" s="14">
        <v>0</v>
      </c>
      <c r="G6728" s="13">
        <v>1315700.4893</v>
      </c>
      <c r="H6728" s="14">
        <v>1683373385.7450321</v>
      </c>
      <c r="I6728" s="14" t="e">
        <f>=Round(17699.12810000,0)</f>
        <v>#VALUE!</v>
      </c>
      <c r="J6728" s="14" t="e">
        <f>=Round(0.00000000,0)</f>
        <v>#VALUE!</v>
      </c>
    </row>
    <row r="6729">
      <c r="A6729" s="11" t="s">
        <v>38</v>
      </c>
      <c r="B6729" s="12">
        <v>1279.6545</v>
      </c>
      <c r="C6729" s="12">
        <v>0</v>
      </c>
      <c r="D6729" s="13">
        <v>0</v>
      </c>
      <c r="E6729" s="12">
        <v>0</v>
      </c>
      <c r="F6729" s="14">
        <v>0</v>
      </c>
      <c r="G6729" s="13">
        <v>1315700.4893</v>
      </c>
      <c r="H6729" s="14">
        <v>1683642051.7849469</v>
      </c>
      <c r="I6729" s="14" t="e">
        <f>=Round(17707.61620000,0)</f>
        <v>#VALUE!</v>
      </c>
      <c r="J6729" s="14" t="e">
        <f>=Round(0.00000000,0)</f>
        <v>#VALUE!</v>
      </c>
    </row>
    <row r="6730">
      <c r="A6730" s="11" t="s">
        <v>39</v>
      </c>
      <c r="B6730" s="12">
        <v>1279.8598</v>
      </c>
      <c r="C6730" s="12">
        <v>0</v>
      </c>
      <c r="D6730" s="13">
        <v>0</v>
      </c>
      <c r="E6730" s="12">
        <v>0</v>
      </c>
      <c r="F6730" s="14">
        <v>0</v>
      </c>
      <c r="G6730" s="13">
        <v>1315700.4893</v>
      </c>
      <c r="H6730" s="14">
        <v>1683912165.0954</v>
      </c>
      <c r="I6730" s="14" t="e">
        <f>=Round(17710.44230000,0)</f>
        <v>#VALUE!</v>
      </c>
      <c r="J6730" s="14" t="e">
        <f>=Round(0.00000000,0)</f>
        <v>#VALUE!</v>
      </c>
    </row>
    <row r="6731">
      <c r="A6731" s="11" t="s">
        <v>40</v>
      </c>
      <c r="B6731" s="12">
        <v>1280.0644</v>
      </c>
      <c r="C6731" s="12">
        <v>0</v>
      </c>
      <c r="D6731" s="13">
        <v>0</v>
      </c>
      <c r="E6731" s="12">
        <v>0</v>
      </c>
      <c r="F6731" s="14">
        <v>0</v>
      </c>
      <c r="G6731" s="13">
        <v>1315700.4893</v>
      </c>
      <c r="H6731" s="14">
        <v>1684181357.4155109</v>
      </c>
      <c r="I6731" s="14" t="e">
        <f>=Round(17713.28370000,0)</f>
        <v>#VALUE!</v>
      </c>
      <c r="J6731" s="14" t="e">
        <f>=Round(0.00000000,0)</f>
        <v>#VALUE!</v>
      </c>
    </row>
    <row r="6732">
      <c r="A6732" s="11" t="s">
        <v>41</v>
      </c>
      <c r="B6732" s="12">
        <v>1280.2685</v>
      </c>
      <c r="C6732" s="12">
        <v>0</v>
      </c>
      <c r="D6732" s="13">
        <v>0</v>
      </c>
      <c r="E6732" s="12">
        <v>0</v>
      </c>
      <c r="F6732" s="14">
        <v>0</v>
      </c>
      <c r="G6732" s="13">
        <v>1315700.4893</v>
      </c>
      <c r="H6732" s="14">
        <v>1684449891.8853769</v>
      </c>
      <c r="I6732" s="14" t="e">
        <f>=Round(17716.11540000,0)</f>
        <v>#VALUE!</v>
      </c>
      <c r="J6732" s="14" t="e">
        <f>=Round(0.00000000,0)</f>
        <v>#VALUE!</v>
      </c>
    </row>
    <row r="6733">
      <c r="A6733" s="11" t="s">
        <v>42</v>
      </c>
      <c r="B6733" s="12">
        <v>1280.2685</v>
      </c>
      <c r="C6733" s="12">
        <v>0</v>
      </c>
      <c r="D6733" s="13">
        <v>0</v>
      </c>
      <c r="E6733" s="12">
        <v>0</v>
      </c>
      <c r="F6733" s="14">
        <v>0</v>
      </c>
      <c r="G6733" s="13">
        <v>1315700.4893</v>
      </c>
      <c r="H6733" s="14">
        <v>1684449891.8853769</v>
      </c>
      <c r="I6733" s="14" t="e">
        <f>=Round(17718.94010000,0)</f>
        <v>#VALUE!</v>
      </c>
      <c r="J6733" s="14" t="e">
        <f>=Round(0.00000000,0)</f>
        <v>#VALUE!</v>
      </c>
    </row>
    <row r="6734">
      <c r="A6734" s="11" t="s">
        <v>43</v>
      </c>
      <c r="B6734" s="12">
        <v>1280.2685</v>
      </c>
      <c r="C6734" s="12">
        <v>0</v>
      </c>
      <c r="D6734" s="13">
        <v>0</v>
      </c>
      <c r="E6734" s="12">
        <v>0</v>
      </c>
      <c r="F6734" s="14">
        <v>0</v>
      </c>
      <c r="G6734" s="13">
        <v>1315700.4893</v>
      </c>
      <c r="H6734" s="14">
        <v>1684449891.8853769</v>
      </c>
      <c r="I6734" s="14" t="e">
        <f>=Round(17718.94010000,0)</f>
        <v>#VALUE!</v>
      </c>
      <c r="J6734" s="14" t="e">
        <f>=Round(0.00000000,0)</f>
        <v>#VALUE!</v>
      </c>
    </row>
    <row r="6735">
      <c r="A6735" s="11" t="s">
        <v>44</v>
      </c>
      <c r="B6735" s="12">
        <v>1280.8839</v>
      </c>
      <c r="C6735" s="12">
        <v>0</v>
      </c>
      <c r="D6735" s="13">
        <v>0</v>
      </c>
      <c r="E6735" s="12">
        <v>0</v>
      </c>
      <c r="F6735" s="14">
        <v>0</v>
      </c>
      <c r="G6735" s="13">
        <v>1315700.4893</v>
      </c>
      <c r="H6735" s="14">
        <v>1685259573.9664919</v>
      </c>
      <c r="I6735" s="14" t="e">
        <f>=Round(17718.94010000,0)</f>
        <v>#VALUE!</v>
      </c>
      <c r="J6735" s="14" t="e">
        <f>=Round(0.00000000,0)</f>
        <v>#VALUE!</v>
      </c>
    </row>
    <row r="6736">
      <c r="A6736" s="11" t="s">
        <v>45</v>
      </c>
      <c r="B6736" s="12">
        <v>1281.0899</v>
      </c>
      <c r="C6736" s="12">
        <v>0</v>
      </c>
      <c r="D6736" s="13">
        <v>0</v>
      </c>
      <c r="E6736" s="12">
        <v>0</v>
      </c>
      <c r="F6736" s="14">
        <v>0</v>
      </c>
      <c r="G6736" s="13">
        <v>1315700.4893</v>
      </c>
      <c r="H6736" s="14">
        <v>1685530608.267288</v>
      </c>
      <c r="I6736" s="14" t="e">
        <f>=Round(17727.45730000,0)</f>
        <v>#VALUE!</v>
      </c>
      <c r="J6736" s="14" t="e">
        <f>=Round(0.00000000,0)</f>
        <v>#VALUE!</v>
      </c>
    </row>
    <row r="6737">
      <c r="A6737" s="11" t="s">
        <v>46</v>
      </c>
      <c r="B6737" s="12">
        <v>1281.2941</v>
      </c>
      <c r="C6737" s="12">
        <v>0</v>
      </c>
      <c r="D6737" s="13">
        <v>0</v>
      </c>
      <c r="E6737" s="12">
        <v>0</v>
      </c>
      <c r="F6737" s="14">
        <v>0</v>
      </c>
      <c r="G6737" s="13">
        <v>1315700.4893</v>
      </c>
      <c r="H6737" s="14">
        <v>1685799274.3072031</v>
      </c>
      <c r="I6737" s="14" t="e">
        <f>=Round(17730.30830000,0)</f>
        <v>#VALUE!</v>
      </c>
      <c r="J6737" s="14" t="e">
        <f>=Round(0.00000000,0)</f>
        <v>#VALUE!</v>
      </c>
    </row>
    <row r="6738">
      <c r="A6738" s="11" t="s">
        <v>47</v>
      </c>
      <c r="B6738" s="12">
        <v>1281.4992</v>
      </c>
      <c r="C6738" s="12">
        <v>0</v>
      </c>
      <c r="D6738" s="13">
        <v>0</v>
      </c>
      <c r="E6738" s="12">
        <v>0</v>
      </c>
      <c r="F6738" s="14">
        <v>0</v>
      </c>
      <c r="G6738" s="13">
        <v>1315700.4893</v>
      </c>
      <c r="H6738" s="14">
        <v>1686069124.4775591</v>
      </c>
      <c r="I6738" s="14" t="e">
        <f>=Round(17733.13440000,0)</f>
        <v>#VALUE!</v>
      </c>
      <c r="J6738" s="14" t="e">
        <f>=Round(0.00000000,0)</f>
        <v>#VALUE!</v>
      </c>
    </row>
    <row r="6739">
      <c r="A6739" s="11" t="s">
        <v>48</v>
      </c>
      <c r="B6739" s="12">
        <v>1281.706</v>
      </c>
      <c r="C6739" s="12">
        <v>0</v>
      </c>
      <c r="D6739" s="13">
        <v>0</v>
      </c>
      <c r="E6739" s="12">
        <v>0</v>
      </c>
      <c r="F6739" s="14">
        <v>0</v>
      </c>
      <c r="G6739" s="13">
        <v>1315700.4893</v>
      </c>
      <c r="H6739" s="14">
        <v>1686341211.3387461</v>
      </c>
      <c r="I6739" s="14" t="e">
        <f>=Round(17735.97300000,0)</f>
        <v>#VALUE!</v>
      </c>
      <c r="J6739" s="14" t="e">
        <f>=Round(0.00000000,0)</f>
        <v>#VALUE!</v>
      </c>
    </row>
    <row r="6740">
      <c r="A6740" s="11" t="s">
        <v>49</v>
      </c>
      <c r="B6740" s="12">
        <v>1281.706</v>
      </c>
      <c r="C6740" s="12">
        <v>0</v>
      </c>
      <c r="D6740" s="13">
        <v>0</v>
      </c>
      <c r="E6740" s="12">
        <v>0</v>
      </c>
      <c r="F6740" s="14">
        <v>0</v>
      </c>
      <c r="G6740" s="13">
        <v>1315700.4893</v>
      </c>
      <c r="H6740" s="14">
        <v>1686341211.3387461</v>
      </c>
      <c r="I6740" s="14" t="e">
        <f>=Round(17738.83510000,0)</f>
        <v>#VALUE!</v>
      </c>
      <c r="J6740" s="14" t="e">
        <f>=Round(0.00000000,0)</f>
        <v>#VALUE!</v>
      </c>
    </row>
    <row r="6741">
      <c r="A6741" s="11" t="s">
        <v>50</v>
      </c>
      <c r="B6741" s="12">
        <v>1281.706</v>
      </c>
      <c r="C6741" s="12">
        <v>0</v>
      </c>
      <c r="D6741" s="13">
        <v>0</v>
      </c>
      <c r="E6741" s="12">
        <v>0</v>
      </c>
      <c r="F6741" s="14">
        <v>0</v>
      </c>
      <c r="G6741" s="13">
        <v>1315700.4893</v>
      </c>
      <c r="H6741" s="14">
        <v>1686341211.3387461</v>
      </c>
      <c r="I6741" s="14" t="e">
        <f>=Round(17738.83510000,0)</f>
        <v>#VALUE!</v>
      </c>
      <c r="J6741" s="14" t="e">
        <f>=Round(0.00000000,0)</f>
        <v>#VALUE!</v>
      </c>
    </row>
    <row r="6742">
      <c r="A6742" s="11" t="s">
        <v>51</v>
      </c>
      <c r="B6742" s="12">
        <v>1282.3206</v>
      </c>
      <c r="C6742" s="12">
        <v>0</v>
      </c>
      <c r="D6742" s="13">
        <v>0</v>
      </c>
      <c r="E6742" s="12">
        <v>0</v>
      </c>
      <c r="F6742" s="14">
        <v>0</v>
      </c>
      <c r="G6742" s="13">
        <v>1315700.4893</v>
      </c>
      <c r="H6742" s="14">
        <v>1687149840.85947</v>
      </c>
      <c r="I6742" s="14" t="e">
        <f>=Round(17738.83510000,0)</f>
        <v>#VALUE!</v>
      </c>
      <c r="J6742" s="14" t="e">
        <f>=Round(0.00000000,0)</f>
        <v>#VALUE!</v>
      </c>
    </row>
    <row r="6743">
      <c r="A6743" s="11" t="s">
        <v>52</v>
      </c>
      <c r="B6743" s="12">
        <v>1282.524</v>
      </c>
      <c r="C6743" s="12">
        <v>0</v>
      </c>
      <c r="D6743" s="13">
        <v>0</v>
      </c>
      <c r="E6743" s="12">
        <v>0</v>
      </c>
      <c r="F6743" s="14">
        <v>0</v>
      </c>
      <c r="G6743" s="13">
        <v>1315700.4893</v>
      </c>
      <c r="H6743" s="14">
        <v>1687417454.3389931</v>
      </c>
      <c r="I6743" s="14" t="e">
        <f>=Round(17747.34120000,0)</f>
        <v>#VALUE!</v>
      </c>
      <c r="J6743" s="14" t="e">
        <f>=Round(0.00000000,0)</f>
        <v>#VALUE!</v>
      </c>
    </row>
    <row r="6744">
      <c r="A6744" s="11" t="s">
        <v>53</v>
      </c>
      <c r="B6744" s="12">
        <v>1282.7292</v>
      </c>
      <c r="C6744" s="12">
        <v>0</v>
      </c>
      <c r="D6744" s="13">
        <v>0</v>
      </c>
      <c r="E6744" s="12">
        <v>0</v>
      </c>
      <c r="F6744" s="14">
        <v>0</v>
      </c>
      <c r="G6744" s="13">
        <v>1315700.4893</v>
      </c>
      <c r="H6744" s="14">
        <v>1687687436.0793979</v>
      </c>
      <c r="I6744" s="14" t="e">
        <f>=Round(17750.15630000,0)</f>
        <v>#VALUE!</v>
      </c>
      <c r="J6744" s="14" t="e">
        <f>=Round(0.00000000,0)</f>
        <v>#VALUE!</v>
      </c>
    </row>
    <row r="6745">
      <c r="A6745" s="11" t="s">
        <v>54</v>
      </c>
      <c r="B6745" s="12">
        <v>1282.9343</v>
      </c>
      <c r="C6745" s="12">
        <v>0</v>
      </c>
      <c r="D6745" s="13">
        <v>0</v>
      </c>
      <c r="E6745" s="12">
        <v>0</v>
      </c>
      <c r="F6745" s="14">
        <v>0</v>
      </c>
      <c r="G6745" s="13">
        <v>1315700.4893</v>
      </c>
      <c r="H6745" s="14">
        <v>1687957286.249753</v>
      </c>
      <c r="I6745" s="14" t="e">
        <f>=Round(17752.99630000,0)</f>
        <v>#VALUE!</v>
      </c>
      <c r="J6745" s="14" t="e">
        <f>=Round(0.00000000,0)</f>
        <v>#VALUE!</v>
      </c>
    </row>
    <row r="6746">
      <c r="A6746" s="11" t="s">
        <v>55</v>
      </c>
      <c r="B6746" s="12">
        <v>1283.1158</v>
      </c>
      <c r="C6746" s="12">
        <v>0</v>
      </c>
      <c r="D6746" s="13">
        <v>0</v>
      </c>
      <c r="E6746" s="12">
        <v>0</v>
      </c>
      <c r="F6746" s="14">
        <v>0</v>
      </c>
      <c r="G6746" s="13">
        <v>1315700.4893</v>
      </c>
      <c r="H6746" s="14">
        <v>1688196085.888561</v>
      </c>
      <c r="I6746" s="14" t="e">
        <f>=Round(17755.83480000,0)</f>
        <v>#VALUE!</v>
      </c>
      <c r="J6746" s="14" t="e">
        <f>=Round(0.00000000,0)</f>
        <v>#VALUE!</v>
      </c>
    </row>
    <row r="6747" ht="-1">
      <c r="A6747" s="15"/>
      <c r="B6747" s="16" t="s">
        <v>56</v>
      </c>
      <c r="C6747" s="15"/>
      <c r="D6747" s="15"/>
      <c r="E6747" s="15"/>
      <c r="F6747" s="15"/>
      <c r="G6747" s="15"/>
      <c r="H6747" s="15"/>
      <c r="I6747" s="17" t="e">
        <f>=Round(SUM(I6721:I6746),0)</f>
        <v>#VALUE!</v>
      </c>
      <c r="J6747" s="17" t="e">
        <f>=Round(SUM(J6721:J6746),0)</f>
        <v>#VALUE!</v>
      </c>
    </row>
    <row r="6748">
      <c r="A6748" s="1" t="s">
        <v>0</v>
      </c>
      <c r="B6748" s="1"/>
      <c r="C6748" s="1"/>
      <c r="D6748" s="1"/>
    </row>
    <row r="6749">
      <c r="A6749" s="0" t="s">
        <v>1</v>
      </c>
      <c r="C6749" s="0" t="s">
        <v>234</v>
      </c>
      <c r="H6749" s="2" t="s">
        <v>3</v>
      </c>
    </row>
    <row r="6750">
      <c r="A6750" s="0" t="s">
        <v>4</v>
      </c>
      <c r="C6750" s="0" t="s">
        <v>248</v>
      </c>
      <c r="H6750" s="3" t="s">
        <v>6</v>
      </c>
    </row>
    <row r="6751">
      <c r="A6751" s="0" t="s">
        <v>7</v>
      </c>
      <c r="C6751" s="4" t="s">
        <v>205</v>
      </c>
      <c r="H6751" s="2" t="s">
        <v>9</v>
      </c>
    </row>
    <row r="6752">
      <c r="A6752" s="0" t="s">
        <v>10</v>
      </c>
      <c r="C6752" s="4" t="s">
        <v>11</v>
      </c>
      <c r="H6752" s="2" t="s">
        <v>12</v>
      </c>
    </row>
    <row r="6753">
      <c r="A6753" s="0" t="s">
        <v>13</v>
      </c>
      <c r="C6753" s="0" t="s">
        <v>14</v>
      </c>
    </row>
    <row r="6754">
      <c r="A6754" s="0" t="s">
        <v>15</v>
      </c>
      <c r="C6754" s="0" t="s">
        <v>16</v>
      </c>
    </row>
    <row r="6755">
      <c r="A6755" s="0" t="s">
        <v>17</v>
      </c>
      <c r="C6755" s="0" t="s">
        <v>18</v>
      </c>
    </row>
    <row r="6758">
      <c r="A6758" s="5" t="s">
        <v>19</v>
      </c>
      <c r="B6758" s="5" t="s">
        <v>20</v>
      </c>
      <c r="C6758" s="7" t="s">
        <v>21</v>
      </c>
      <c r="D6758" s="9"/>
      <c r="E6758" s="7" t="s">
        <v>22</v>
      </c>
      <c r="F6758" s="9"/>
      <c r="G6758" s="5" t="s">
        <v>23</v>
      </c>
      <c r="H6758" s="5" t="s">
        <v>24</v>
      </c>
      <c r="I6758" s="5" t="s">
        <v>206</v>
      </c>
      <c r="J6758" s="5" t="s">
        <v>26</v>
      </c>
    </row>
    <row r="6759">
      <c r="A6759" s="6"/>
      <c r="B6759" s="6"/>
      <c r="C6759" s="8" t="s">
        <v>27</v>
      </c>
      <c r="D6759" s="8" t="s">
        <v>28</v>
      </c>
      <c r="E6759" s="8" t="s">
        <v>27</v>
      </c>
      <c r="F6759" s="8" t="s">
        <v>28</v>
      </c>
      <c r="G6759" s="6"/>
      <c r="H6759" s="6"/>
      <c r="I6759" s="10" t="s">
        <v>29</v>
      </c>
      <c r="J6759" s="6"/>
    </row>
    <row r="6760">
      <c r="A6760" s="11" t="s">
        <v>30</v>
      </c>
      <c r="B6760" s="12">
        <v>1278.0261</v>
      </c>
      <c r="C6760" s="12">
        <v>0</v>
      </c>
      <c r="D6760" s="13">
        <v>0</v>
      </c>
      <c r="E6760" s="12">
        <v>0</v>
      </c>
      <c r="F6760" s="14">
        <v>0</v>
      </c>
      <c r="G6760" s="13">
        <v>0.0035</v>
      </c>
      <c r="H6760" s="14">
        <v>4.473091</v>
      </c>
      <c r="I6760" s="14" t="e">
        <f>=Round(0.00000000,0)</f>
        <v>#VALUE!</v>
      </c>
      <c r="J6760" s="14" t="e">
        <f>=Round(0.00000000,0)</f>
        <v>#VALUE!</v>
      </c>
    </row>
    <row r="6761">
      <c r="A6761" s="11" t="s">
        <v>31</v>
      </c>
      <c r="B6761" s="12">
        <v>1278.2299</v>
      </c>
      <c r="C6761" s="12">
        <v>0</v>
      </c>
      <c r="D6761" s="13">
        <v>0</v>
      </c>
      <c r="E6761" s="12">
        <v>0</v>
      </c>
      <c r="F6761" s="14">
        <v>0</v>
      </c>
      <c r="G6761" s="13">
        <v>0.0035</v>
      </c>
      <c r="H6761" s="14">
        <v>4.473805</v>
      </c>
      <c r="I6761" s="14" t="e">
        <f>=Round(0.00000000,0)</f>
        <v>#VALUE!</v>
      </c>
      <c r="J6761" s="14" t="e">
        <f>=Round(0.00000000,0)</f>
        <v>#VALUE!</v>
      </c>
    </row>
    <row r="6762">
      <c r="A6762" s="11" t="s">
        <v>32</v>
      </c>
      <c r="B6762" s="12">
        <v>1278.4335</v>
      </c>
      <c r="C6762" s="12">
        <v>0</v>
      </c>
      <c r="D6762" s="13">
        <v>0</v>
      </c>
      <c r="E6762" s="12">
        <v>0</v>
      </c>
      <c r="F6762" s="14">
        <v>0</v>
      </c>
      <c r="G6762" s="13">
        <v>0.0035</v>
      </c>
      <c r="H6762" s="14">
        <v>4.474517</v>
      </c>
      <c r="I6762" s="14" t="e">
        <f>=Round(0.00000000,0)</f>
        <v>#VALUE!</v>
      </c>
      <c r="J6762" s="14" t="e">
        <f>=Round(0.00000000,0)</f>
        <v>#VALUE!</v>
      </c>
    </row>
    <row r="6763">
      <c r="A6763" s="11" t="s">
        <v>33</v>
      </c>
      <c r="B6763" s="12">
        <v>1278.6325</v>
      </c>
      <c r="C6763" s="12">
        <v>0</v>
      </c>
      <c r="D6763" s="13">
        <v>0</v>
      </c>
      <c r="E6763" s="12">
        <v>0</v>
      </c>
      <c r="F6763" s="14">
        <v>0</v>
      </c>
      <c r="G6763" s="13">
        <v>0.0035</v>
      </c>
      <c r="H6763" s="14">
        <v>4.475214</v>
      </c>
      <c r="I6763" s="14" t="e">
        <f>=Round(0.00000000,0)</f>
        <v>#VALUE!</v>
      </c>
      <c r="J6763" s="14" t="e">
        <f>=Round(0.00000000,0)</f>
        <v>#VALUE!</v>
      </c>
    </row>
    <row r="6764">
      <c r="A6764" s="11" t="s">
        <v>34</v>
      </c>
      <c r="B6764" s="12">
        <v>1278.837</v>
      </c>
      <c r="C6764" s="12">
        <v>0</v>
      </c>
      <c r="D6764" s="13">
        <v>0</v>
      </c>
      <c r="E6764" s="12">
        <v>0</v>
      </c>
      <c r="F6764" s="14">
        <v>0</v>
      </c>
      <c r="G6764" s="13">
        <v>0.0035</v>
      </c>
      <c r="H6764" s="14">
        <v>4.47593</v>
      </c>
      <c r="I6764" s="14" t="e">
        <f>=Round(0.00000000,0)</f>
        <v>#VALUE!</v>
      </c>
      <c r="J6764" s="14" t="e">
        <f>=Round(0.00000000,0)</f>
        <v>#VALUE!</v>
      </c>
    </row>
    <row r="6765">
      <c r="A6765" s="11" t="s">
        <v>35</v>
      </c>
      <c r="B6765" s="12">
        <v>1278.837</v>
      </c>
      <c r="C6765" s="12">
        <v>0</v>
      </c>
      <c r="D6765" s="13">
        <v>0</v>
      </c>
      <c r="E6765" s="12">
        <v>0</v>
      </c>
      <c r="F6765" s="14">
        <v>0</v>
      </c>
      <c r="G6765" s="13">
        <v>0.0035</v>
      </c>
      <c r="H6765" s="14">
        <v>4.47593</v>
      </c>
      <c r="I6765" s="14" t="e">
        <f>=Round(0.00000000,0)</f>
        <v>#VALUE!</v>
      </c>
      <c r="J6765" s="14" t="e">
        <f>=Round(0.00000000,0)</f>
        <v>#VALUE!</v>
      </c>
    </row>
    <row r="6766">
      <c r="A6766" s="11" t="s">
        <v>36</v>
      </c>
      <c r="B6766" s="12">
        <v>1278.837</v>
      </c>
      <c r="C6766" s="12">
        <v>0</v>
      </c>
      <c r="D6766" s="13">
        <v>0</v>
      </c>
      <c r="E6766" s="12">
        <v>0</v>
      </c>
      <c r="F6766" s="14">
        <v>0</v>
      </c>
      <c r="G6766" s="13">
        <v>0.0035</v>
      </c>
      <c r="H6766" s="14">
        <v>4.47593</v>
      </c>
      <c r="I6766" s="14" t="e">
        <f>=Round(0.00000000,0)</f>
        <v>#VALUE!</v>
      </c>
      <c r="J6766" s="14" t="e">
        <f>=Round(0.00000000,0)</f>
        <v>#VALUE!</v>
      </c>
    </row>
    <row r="6767">
      <c r="A6767" s="11" t="s">
        <v>37</v>
      </c>
      <c r="B6767" s="12">
        <v>1279.4503</v>
      </c>
      <c r="C6767" s="12">
        <v>0</v>
      </c>
      <c r="D6767" s="13">
        <v>0</v>
      </c>
      <c r="E6767" s="12">
        <v>0</v>
      </c>
      <c r="F6767" s="14">
        <v>0</v>
      </c>
      <c r="G6767" s="13">
        <v>0.0035</v>
      </c>
      <c r="H6767" s="14">
        <v>4.478076</v>
      </c>
      <c r="I6767" s="14" t="e">
        <f>=Round(0.00000000,0)</f>
        <v>#VALUE!</v>
      </c>
      <c r="J6767" s="14" t="e">
        <f>=Round(0.00000000,0)</f>
        <v>#VALUE!</v>
      </c>
    </row>
    <row r="6768">
      <c r="A6768" s="11" t="s">
        <v>38</v>
      </c>
      <c r="B6768" s="12">
        <v>1279.6545</v>
      </c>
      <c r="C6768" s="12">
        <v>0</v>
      </c>
      <c r="D6768" s="13">
        <v>0</v>
      </c>
      <c r="E6768" s="12">
        <v>0</v>
      </c>
      <c r="F6768" s="14">
        <v>0</v>
      </c>
      <c r="G6768" s="13">
        <v>0.0035</v>
      </c>
      <c r="H6768" s="14">
        <v>4.478791</v>
      </c>
      <c r="I6768" s="14" t="e">
        <f>=Round(0.00000000,0)</f>
        <v>#VALUE!</v>
      </c>
      <c r="J6768" s="14" t="e">
        <f>=Round(0.00000000,0)</f>
        <v>#VALUE!</v>
      </c>
    </row>
    <row r="6769">
      <c r="A6769" s="11" t="s">
        <v>39</v>
      </c>
      <c r="B6769" s="12">
        <v>1279.8598</v>
      </c>
      <c r="C6769" s="12">
        <v>0</v>
      </c>
      <c r="D6769" s="13">
        <v>0</v>
      </c>
      <c r="E6769" s="12">
        <v>0</v>
      </c>
      <c r="F6769" s="14">
        <v>0</v>
      </c>
      <c r="G6769" s="13">
        <v>0.0035</v>
      </c>
      <c r="H6769" s="14">
        <v>4.479509</v>
      </c>
      <c r="I6769" s="14" t="e">
        <f>=Round(0.00000000,0)</f>
        <v>#VALUE!</v>
      </c>
      <c r="J6769" s="14" t="e">
        <f>=Round(0.00000000,0)</f>
        <v>#VALUE!</v>
      </c>
    </row>
    <row r="6770">
      <c r="A6770" s="11" t="s">
        <v>40</v>
      </c>
      <c r="B6770" s="12">
        <v>1280.0644</v>
      </c>
      <c r="C6770" s="12">
        <v>0</v>
      </c>
      <c r="D6770" s="13">
        <v>0</v>
      </c>
      <c r="E6770" s="12">
        <v>0</v>
      </c>
      <c r="F6770" s="14">
        <v>0</v>
      </c>
      <c r="G6770" s="13">
        <v>0.0035</v>
      </c>
      <c r="H6770" s="14">
        <v>4.480225</v>
      </c>
      <c r="I6770" s="14" t="e">
        <f>=Round(0.00000000,0)</f>
        <v>#VALUE!</v>
      </c>
      <c r="J6770" s="14" t="e">
        <f>=Round(0.00000000,0)</f>
        <v>#VALUE!</v>
      </c>
    </row>
    <row r="6771">
      <c r="A6771" s="11" t="s">
        <v>41</v>
      </c>
      <c r="B6771" s="12">
        <v>1280.2685</v>
      </c>
      <c r="C6771" s="12">
        <v>0</v>
      </c>
      <c r="D6771" s="13">
        <v>0</v>
      </c>
      <c r="E6771" s="12">
        <v>0</v>
      </c>
      <c r="F6771" s="14">
        <v>0</v>
      </c>
      <c r="G6771" s="13">
        <v>0.0035</v>
      </c>
      <c r="H6771" s="14">
        <v>4.48094</v>
      </c>
      <c r="I6771" s="14" t="e">
        <f>=Round(0.00000000,0)</f>
        <v>#VALUE!</v>
      </c>
      <c r="J6771" s="14" t="e">
        <f>=Round(0.00000000,0)</f>
        <v>#VALUE!</v>
      </c>
    </row>
    <row r="6772">
      <c r="A6772" s="11" t="s">
        <v>42</v>
      </c>
      <c r="B6772" s="12">
        <v>1280.2685</v>
      </c>
      <c r="C6772" s="12">
        <v>0</v>
      </c>
      <c r="D6772" s="13">
        <v>0</v>
      </c>
      <c r="E6772" s="12">
        <v>0</v>
      </c>
      <c r="F6772" s="14">
        <v>0</v>
      </c>
      <c r="G6772" s="13">
        <v>0.0035</v>
      </c>
      <c r="H6772" s="14">
        <v>4.48094</v>
      </c>
      <c r="I6772" s="14" t="e">
        <f>=Round(0.00000000,0)</f>
        <v>#VALUE!</v>
      </c>
      <c r="J6772" s="14" t="e">
        <f>=Round(0.00000000,0)</f>
        <v>#VALUE!</v>
      </c>
    </row>
    <row r="6773">
      <c r="A6773" s="11" t="s">
        <v>43</v>
      </c>
      <c r="B6773" s="12">
        <v>1280.2685</v>
      </c>
      <c r="C6773" s="12">
        <v>0</v>
      </c>
      <c r="D6773" s="13">
        <v>0</v>
      </c>
      <c r="E6773" s="12">
        <v>0</v>
      </c>
      <c r="F6773" s="14">
        <v>0</v>
      </c>
      <c r="G6773" s="13">
        <v>0.0035</v>
      </c>
      <c r="H6773" s="14">
        <v>4.48094</v>
      </c>
      <c r="I6773" s="14" t="e">
        <f>=Round(0.00000000,0)</f>
        <v>#VALUE!</v>
      </c>
      <c r="J6773" s="14" t="e">
        <f>=Round(0.00000000,0)</f>
        <v>#VALUE!</v>
      </c>
    </row>
    <row r="6774">
      <c r="A6774" s="11" t="s">
        <v>44</v>
      </c>
      <c r="B6774" s="12">
        <v>1280.8839</v>
      </c>
      <c r="C6774" s="12">
        <v>0</v>
      </c>
      <c r="D6774" s="13">
        <v>0</v>
      </c>
      <c r="E6774" s="12">
        <v>0</v>
      </c>
      <c r="F6774" s="14">
        <v>0</v>
      </c>
      <c r="G6774" s="13">
        <v>0.0035</v>
      </c>
      <c r="H6774" s="14">
        <v>4.483094</v>
      </c>
      <c r="I6774" s="14" t="e">
        <f>=Round(0.00000000,0)</f>
        <v>#VALUE!</v>
      </c>
      <c r="J6774" s="14" t="e">
        <f>=Round(0.00000000,0)</f>
        <v>#VALUE!</v>
      </c>
    </row>
    <row r="6775">
      <c r="A6775" s="11" t="s">
        <v>45</v>
      </c>
      <c r="B6775" s="12">
        <v>1281.0899</v>
      </c>
      <c r="C6775" s="12">
        <v>0</v>
      </c>
      <c r="D6775" s="13">
        <v>0</v>
      </c>
      <c r="E6775" s="12">
        <v>0</v>
      </c>
      <c r="F6775" s="14">
        <v>0</v>
      </c>
      <c r="G6775" s="13">
        <v>0.0035</v>
      </c>
      <c r="H6775" s="14">
        <v>4.483815</v>
      </c>
      <c r="I6775" s="14" t="e">
        <f>=Round(0.00000000,0)</f>
        <v>#VALUE!</v>
      </c>
      <c r="J6775" s="14" t="e">
        <f>=Round(0.00000000,0)</f>
        <v>#VALUE!</v>
      </c>
    </row>
    <row r="6776">
      <c r="A6776" s="11" t="s">
        <v>46</v>
      </c>
      <c r="B6776" s="12">
        <v>1281.2941</v>
      </c>
      <c r="C6776" s="12">
        <v>0</v>
      </c>
      <c r="D6776" s="13">
        <v>0</v>
      </c>
      <c r="E6776" s="12">
        <v>0</v>
      </c>
      <c r="F6776" s="14">
        <v>0</v>
      </c>
      <c r="G6776" s="13">
        <v>0.0035</v>
      </c>
      <c r="H6776" s="14">
        <v>4.484529</v>
      </c>
      <c r="I6776" s="14" t="e">
        <f>=Round(0.00000000,0)</f>
        <v>#VALUE!</v>
      </c>
      <c r="J6776" s="14" t="e">
        <f>=Round(0.00000000,0)</f>
        <v>#VALUE!</v>
      </c>
    </row>
    <row r="6777">
      <c r="A6777" s="11" t="s">
        <v>47</v>
      </c>
      <c r="B6777" s="12">
        <v>1281.4992</v>
      </c>
      <c r="C6777" s="12">
        <v>0</v>
      </c>
      <c r="D6777" s="13">
        <v>0</v>
      </c>
      <c r="E6777" s="12">
        <v>0</v>
      </c>
      <c r="F6777" s="14">
        <v>0</v>
      </c>
      <c r="G6777" s="13">
        <v>0.0035</v>
      </c>
      <c r="H6777" s="14">
        <v>4.485247</v>
      </c>
      <c r="I6777" s="14" t="e">
        <f>=Round(0.00000000,0)</f>
        <v>#VALUE!</v>
      </c>
      <c r="J6777" s="14" t="e">
        <f>=Round(0.00000000,0)</f>
        <v>#VALUE!</v>
      </c>
    </row>
    <row r="6778">
      <c r="A6778" s="11" t="s">
        <v>48</v>
      </c>
      <c r="B6778" s="12">
        <v>1281.706</v>
      </c>
      <c r="C6778" s="12">
        <v>0</v>
      </c>
      <c r="D6778" s="13">
        <v>0</v>
      </c>
      <c r="E6778" s="12">
        <v>0</v>
      </c>
      <c r="F6778" s="14">
        <v>0</v>
      </c>
      <c r="G6778" s="13">
        <v>0.0035</v>
      </c>
      <c r="H6778" s="14">
        <v>4.485971</v>
      </c>
      <c r="I6778" s="14" t="e">
        <f>=Round(0.00000000,0)</f>
        <v>#VALUE!</v>
      </c>
      <c r="J6778" s="14" t="e">
        <f>=Round(0.00000000,0)</f>
        <v>#VALUE!</v>
      </c>
    </row>
    <row r="6779">
      <c r="A6779" s="11" t="s">
        <v>49</v>
      </c>
      <c r="B6779" s="12">
        <v>1281.706</v>
      </c>
      <c r="C6779" s="12">
        <v>0</v>
      </c>
      <c r="D6779" s="13">
        <v>0</v>
      </c>
      <c r="E6779" s="12">
        <v>0</v>
      </c>
      <c r="F6779" s="14">
        <v>0</v>
      </c>
      <c r="G6779" s="13">
        <v>0.0035</v>
      </c>
      <c r="H6779" s="14">
        <v>4.485971</v>
      </c>
      <c r="I6779" s="14" t="e">
        <f>=Round(0.00000000,0)</f>
        <v>#VALUE!</v>
      </c>
      <c r="J6779" s="14" t="e">
        <f>=Round(0.00000000,0)</f>
        <v>#VALUE!</v>
      </c>
    </row>
    <row r="6780">
      <c r="A6780" s="11" t="s">
        <v>50</v>
      </c>
      <c r="B6780" s="12">
        <v>1281.706</v>
      </c>
      <c r="C6780" s="12">
        <v>0</v>
      </c>
      <c r="D6780" s="13">
        <v>0</v>
      </c>
      <c r="E6780" s="12">
        <v>0</v>
      </c>
      <c r="F6780" s="14">
        <v>0</v>
      </c>
      <c r="G6780" s="13">
        <v>0.0035</v>
      </c>
      <c r="H6780" s="14">
        <v>4.485971</v>
      </c>
      <c r="I6780" s="14" t="e">
        <f>=Round(0.00000000,0)</f>
        <v>#VALUE!</v>
      </c>
      <c r="J6780" s="14" t="e">
        <f>=Round(0.00000000,0)</f>
        <v>#VALUE!</v>
      </c>
    </row>
    <row r="6781">
      <c r="A6781" s="11" t="s">
        <v>51</v>
      </c>
      <c r="B6781" s="12">
        <v>1282.3206</v>
      </c>
      <c r="C6781" s="12">
        <v>0</v>
      </c>
      <c r="D6781" s="13">
        <v>0</v>
      </c>
      <c r="E6781" s="12">
        <v>0</v>
      </c>
      <c r="F6781" s="14">
        <v>0</v>
      </c>
      <c r="G6781" s="13">
        <v>0.0035</v>
      </c>
      <c r="H6781" s="14">
        <v>4.488122</v>
      </c>
      <c r="I6781" s="14" t="e">
        <f>=Round(0.00000000,0)</f>
        <v>#VALUE!</v>
      </c>
      <c r="J6781" s="14" t="e">
        <f>=Round(0.00000000,0)</f>
        <v>#VALUE!</v>
      </c>
    </row>
    <row r="6782">
      <c r="A6782" s="11" t="s">
        <v>52</v>
      </c>
      <c r="B6782" s="12">
        <v>1282.524</v>
      </c>
      <c r="C6782" s="12">
        <v>0</v>
      </c>
      <c r="D6782" s="13">
        <v>0</v>
      </c>
      <c r="E6782" s="12">
        <v>0</v>
      </c>
      <c r="F6782" s="14">
        <v>0</v>
      </c>
      <c r="G6782" s="13">
        <v>0.0035</v>
      </c>
      <c r="H6782" s="14">
        <v>4.488834</v>
      </c>
      <c r="I6782" s="14" t="e">
        <f>=Round(0.00000000,0)</f>
        <v>#VALUE!</v>
      </c>
      <c r="J6782" s="14" t="e">
        <f>=Round(0.00000000,0)</f>
        <v>#VALUE!</v>
      </c>
    </row>
    <row r="6783">
      <c r="A6783" s="11" t="s">
        <v>53</v>
      </c>
      <c r="B6783" s="12">
        <v>1282.7292</v>
      </c>
      <c r="C6783" s="12">
        <v>0</v>
      </c>
      <c r="D6783" s="13">
        <v>0</v>
      </c>
      <c r="E6783" s="12">
        <v>0</v>
      </c>
      <c r="F6783" s="14">
        <v>0</v>
      </c>
      <c r="G6783" s="13">
        <v>0.0035</v>
      </c>
      <c r="H6783" s="14">
        <v>4.489552</v>
      </c>
      <c r="I6783" s="14" t="e">
        <f>=Round(0.00000000,0)</f>
        <v>#VALUE!</v>
      </c>
      <c r="J6783" s="14" t="e">
        <f>=Round(0.00000000,0)</f>
        <v>#VALUE!</v>
      </c>
    </row>
    <row r="6784">
      <c r="A6784" s="11" t="s">
        <v>54</v>
      </c>
      <c r="B6784" s="12">
        <v>1282.9343</v>
      </c>
      <c r="C6784" s="12">
        <v>0</v>
      </c>
      <c r="D6784" s="13">
        <v>0</v>
      </c>
      <c r="E6784" s="12">
        <v>0</v>
      </c>
      <c r="F6784" s="14">
        <v>0</v>
      </c>
      <c r="G6784" s="13">
        <v>0.0035</v>
      </c>
      <c r="H6784" s="14">
        <v>4.49027</v>
      </c>
      <c r="I6784" s="14" t="e">
        <f>=Round(0.00000000,0)</f>
        <v>#VALUE!</v>
      </c>
      <c r="J6784" s="14" t="e">
        <f>=Round(0.00000000,0)</f>
        <v>#VALUE!</v>
      </c>
    </row>
    <row r="6785">
      <c r="A6785" s="11" t="s">
        <v>55</v>
      </c>
      <c r="B6785" s="12">
        <v>1283.1158</v>
      </c>
      <c r="C6785" s="12">
        <v>0</v>
      </c>
      <c r="D6785" s="13">
        <v>0</v>
      </c>
      <c r="E6785" s="12">
        <v>0</v>
      </c>
      <c r="F6785" s="14">
        <v>0</v>
      </c>
      <c r="G6785" s="13">
        <v>0.0035</v>
      </c>
      <c r="H6785" s="14">
        <v>4.490905</v>
      </c>
      <c r="I6785" s="14" t="e">
        <f>=Round(0.00000000,0)</f>
        <v>#VALUE!</v>
      </c>
      <c r="J6785" s="14" t="e">
        <f>=Round(0.00000000,0)</f>
        <v>#VALUE!</v>
      </c>
    </row>
    <row r="6786" ht="-1">
      <c r="A6786" s="15"/>
      <c r="B6786" s="16" t="s">
        <v>56</v>
      </c>
      <c r="C6786" s="15"/>
      <c r="D6786" s="15"/>
      <c r="E6786" s="15"/>
      <c r="F6786" s="15"/>
      <c r="G6786" s="15"/>
      <c r="H6786" s="15"/>
      <c r="I6786" s="17" t="e">
        <f>=Round(SUM(I6760:I6785),0)</f>
        <v>#VALUE!</v>
      </c>
      <c r="J6786" s="17" t="e">
        <f>=Round(SUM(J6760:J6785),0)</f>
        <v>#VALUE!</v>
      </c>
    </row>
    <row r="6787">
      <c r="A6787" s="1" t="s">
        <v>0</v>
      </c>
      <c r="B6787" s="1"/>
      <c r="C6787" s="1"/>
      <c r="D6787" s="1"/>
    </row>
    <row r="6788">
      <c r="A6788" s="0" t="s">
        <v>1</v>
      </c>
      <c r="C6788" s="0" t="s">
        <v>234</v>
      </c>
      <c r="H6788" s="2" t="s">
        <v>3</v>
      </c>
    </row>
    <row r="6789">
      <c r="A6789" s="0" t="s">
        <v>4</v>
      </c>
      <c r="C6789" s="0" t="s">
        <v>249</v>
      </c>
      <c r="H6789" s="3" t="s">
        <v>6</v>
      </c>
    </row>
    <row r="6790">
      <c r="A6790" s="0" t="s">
        <v>7</v>
      </c>
      <c r="C6790" s="4" t="s">
        <v>205</v>
      </c>
      <c r="H6790" s="2" t="s">
        <v>9</v>
      </c>
    </row>
    <row r="6791">
      <c r="A6791" s="0" t="s">
        <v>10</v>
      </c>
      <c r="C6791" s="4" t="s">
        <v>11</v>
      </c>
      <c r="H6791" s="2" t="s">
        <v>12</v>
      </c>
    </row>
    <row r="6792">
      <c r="A6792" s="0" t="s">
        <v>13</v>
      </c>
      <c r="C6792" s="0" t="s">
        <v>14</v>
      </c>
    </row>
    <row r="6793">
      <c r="A6793" s="0" t="s">
        <v>15</v>
      </c>
      <c r="C6793" s="0" t="s">
        <v>16</v>
      </c>
    </row>
    <row r="6794">
      <c r="A6794" s="0" t="s">
        <v>17</v>
      </c>
      <c r="C6794" s="0" t="s">
        <v>18</v>
      </c>
    </row>
    <row r="6797">
      <c r="A6797" s="5" t="s">
        <v>19</v>
      </c>
      <c r="B6797" s="5" t="s">
        <v>20</v>
      </c>
      <c r="C6797" s="7" t="s">
        <v>21</v>
      </c>
      <c r="D6797" s="9"/>
      <c r="E6797" s="7" t="s">
        <v>22</v>
      </c>
      <c r="F6797" s="9"/>
      <c r="G6797" s="5" t="s">
        <v>23</v>
      </c>
      <c r="H6797" s="5" t="s">
        <v>24</v>
      </c>
      <c r="I6797" s="5" t="s">
        <v>206</v>
      </c>
      <c r="J6797" s="5" t="s">
        <v>26</v>
      </c>
    </row>
    <row r="6798">
      <c r="A6798" s="6"/>
      <c r="B6798" s="6"/>
      <c r="C6798" s="8" t="s">
        <v>27</v>
      </c>
      <c r="D6798" s="8" t="s">
        <v>28</v>
      </c>
      <c r="E6798" s="8" t="s">
        <v>27</v>
      </c>
      <c r="F6798" s="8" t="s">
        <v>28</v>
      </c>
      <c r="G6798" s="6"/>
      <c r="H6798" s="6"/>
      <c r="I6798" s="10" t="s">
        <v>29</v>
      </c>
      <c r="J6798" s="6"/>
    </row>
    <row r="6799">
      <c r="A6799" s="11" t="s">
        <v>30</v>
      </c>
      <c r="B6799" s="12">
        <v>1278.0261</v>
      </c>
      <c r="C6799" s="12">
        <v>0</v>
      </c>
      <c r="D6799" s="13">
        <v>0</v>
      </c>
      <c r="E6799" s="12">
        <v>0</v>
      </c>
      <c r="F6799" s="14">
        <v>0</v>
      </c>
      <c r="G6799" s="13">
        <v>0.0025</v>
      </c>
      <c r="H6799" s="14">
        <v>3.195065</v>
      </c>
      <c r="I6799" s="14" t="e">
        <f>=Round(0.00000000,0)</f>
        <v>#VALUE!</v>
      </c>
      <c r="J6799" s="14" t="e">
        <f>=Round(0.00000000,0)</f>
        <v>#VALUE!</v>
      </c>
    </row>
    <row r="6800">
      <c r="A6800" s="11" t="s">
        <v>31</v>
      </c>
      <c r="B6800" s="12">
        <v>1278.2299</v>
      </c>
      <c r="C6800" s="12">
        <v>0</v>
      </c>
      <c r="D6800" s="13">
        <v>0</v>
      </c>
      <c r="E6800" s="12">
        <v>0</v>
      </c>
      <c r="F6800" s="14">
        <v>0</v>
      </c>
      <c r="G6800" s="13">
        <v>0.0025</v>
      </c>
      <c r="H6800" s="14">
        <v>3.195575</v>
      </c>
      <c r="I6800" s="14" t="e">
        <f>=Round(0.00000000,0)</f>
        <v>#VALUE!</v>
      </c>
      <c r="J6800" s="14" t="e">
        <f>=Round(0.00000000,0)</f>
        <v>#VALUE!</v>
      </c>
    </row>
    <row r="6801">
      <c r="A6801" s="11" t="s">
        <v>32</v>
      </c>
      <c r="B6801" s="12">
        <v>1278.4335</v>
      </c>
      <c r="C6801" s="12">
        <v>0</v>
      </c>
      <c r="D6801" s="13">
        <v>0</v>
      </c>
      <c r="E6801" s="12">
        <v>0</v>
      </c>
      <c r="F6801" s="14">
        <v>0</v>
      </c>
      <c r="G6801" s="13">
        <v>0.0025</v>
      </c>
      <c r="H6801" s="14">
        <v>3.196084</v>
      </c>
      <c r="I6801" s="14" t="e">
        <f>=Round(0.00000000,0)</f>
        <v>#VALUE!</v>
      </c>
      <c r="J6801" s="14" t="e">
        <f>=Round(0.00000000,0)</f>
        <v>#VALUE!</v>
      </c>
    </row>
    <row r="6802">
      <c r="A6802" s="11" t="s">
        <v>33</v>
      </c>
      <c r="B6802" s="12">
        <v>1278.6325</v>
      </c>
      <c r="C6802" s="12">
        <v>0</v>
      </c>
      <c r="D6802" s="13">
        <v>0</v>
      </c>
      <c r="E6802" s="12">
        <v>0</v>
      </c>
      <c r="F6802" s="14">
        <v>0</v>
      </c>
      <c r="G6802" s="13">
        <v>0.0025</v>
      </c>
      <c r="H6802" s="14">
        <v>3.196581</v>
      </c>
      <c r="I6802" s="14" t="e">
        <f>=Round(0.00000000,0)</f>
        <v>#VALUE!</v>
      </c>
      <c r="J6802" s="14" t="e">
        <f>=Round(0.00000000,0)</f>
        <v>#VALUE!</v>
      </c>
    </row>
    <row r="6803">
      <c r="A6803" s="11" t="s">
        <v>34</v>
      </c>
      <c r="B6803" s="12">
        <v>1278.837</v>
      </c>
      <c r="C6803" s="12">
        <v>0</v>
      </c>
      <c r="D6803" s="13">
        <v>0</v>
      </c>
      <c r="E6803" s="12">
        <v>0</v>
      </c>
      <c r="F6803" s="14">
        <v>0</v>
      </c>
      <c r="G6803" s="13">
        <v>0.0025</v>
      </c>
      <c r="H6803" s="14">
        <v>3.197093</v>
      </c>
      <c r="I6803" s="14" t="e">
        <f>=Round(0.00000000,0)</f>
        <v>#VALUE!</v>
      </c>
      <c r="J6803" s="14" t="e">
        <f>=Round(0.00000000,0)</f>
        <v>#VALUE!</v>
      </c>
    </row>
    <row r="6804">
      <c r="A6804" s="11" t="s">
        <v>35</v>
      </c>
      <c r="B6804" s="12">
        <v>1278.837</v>
      </c>
      <c r="C6804" s="12">
        <v>0</v>
      </c>
      <c r="D6804" s="13">
        <v>0</v>
      </c>
      <c r="E6804" s="12">
        <v>0</v>
      </c>
      <c r="F6804" s="14">
        <v>0</v>
      </c>
      <c r="G6804" s="13">
        <v>0.0025</v>
      </c>
      <c r="H6804" s="14">
        <v>3.197093</v>
      </c>
      <c r="I6804" s="14" t="e">
        <f>=Round(0.00000000,0)</f>
        <v>#VALUE!</v>
      </c>
      <c r="J6804" s="14" t="e">
        <f>=Round(0.00000000,0)</f>
        <v>#VALUE!</v>
      </c>
    </row>
    <row r="6805">
      <c r="A6805" s="11" t="s">
        <v>36</v>
      </c>
      <c r="B6805" s="12">
        <v>1278.837</v>
      </c>
      <c r="C6805" s="12">
        <v>0</v>
      </c>
      <c r="D6805" s="13">
        <v>0</v>
      </c>
      <c r="E6805" s="12">
        <v>0</v>
      </c>
      <c r="F6805" s="14">
        <v>0</v>
      </c>
      <c r="G6805" s="13">
        <v>0.0025</v>
      </c>
      <c r="H6805" s="14">
        <v>3.197093</v>
      </c>
      <c r="I6805" s="14" t="e">
        <f>=Round(0.00000000,0)</f>
        <v>#VALUE!</v>
      </c>
      <c r="J6805" s="14" t="e">
        <f>=Round(0.00000000,0)</f>
        <v>#VALUE!</v>
      </c>
    </row>
    <row r="6806">
      <c r="A6806" s="11" t="s">
        <v>37</v>
      </c>
      <c r="B6806" s="12">
        <v>1279.4503</v>
      </c>
      <c r="C6806" s="12">
        <v>0</v>
      </c>
      <c r="D6806" s="13">
        <v>0</v>
      </c>
      <c r="E6806" s="12">
        <v>0</v>
      </c>
      <c r="F6806" s="14">
        <v>0</v>
      </c>
      <c r="G6806" s="13">
        <v>0.0025</v>
      </c>
      <c r="H6806" s="14">
        <v>3.198626</v>
      </c>
      <c r="I6806" s="14" t="e">
        <f>=Round(0.00000000,0)</f>
        <v>#VALUE!</v>
      </c>
      <c r="J6806" s="14" t="e">
        <f>=Round(0.00000000,0)</f>
        <v>#VALUE!</v>
      </c>
    </row>
    <row r="6807">
      <c r="A6807" s="11" t="s">
        <v>38</v>
      </c>
      <c r="B6807" s="12">
        <v>1279.6545</v>
      </c>
      <c r="C6807" s="12">
        <v>0</v>
      </c>
      <c r="D6807" s="13">
        <v>0</v>
      </c>
      <c r="E6807" s="12">
        <v>0</v>
      </c>
      <c r="F6807" s="14">
        <v>0</v>
      </c>
      <c r="G6807" s="13">
        <v>0.0025</v>
      </c>
      <c r="H6807" s="14">
        <v>3.199136</v>
      </c>
      <c r="I6807" s="14" t="e">
        <f>=Round(0.00000000,0)</f>
        <v>#VALUE!</v>
      </c>
      <c r="J6807" s="14" t="e">
        <f>=Round(0.00000000,0)</f>
        <v>#VALUE!</v>
      </c>
    </row>
    <row r="6808">
      <c r="A6808" s="11" t="s">
        <v>39</v>
      </c>
      <c r="B6808" s="12">
        <v>1279.8598</v>
      </c>
      <c r="C6808" s="12">
        <v>0</v>
      </c>
      <c r="D6808" s="13">
        <v>0</v>
      </c>
      <c r="E6808" s="12">
        <v>0</v>
      </c>
      <c r="F6808" s="14">
        <v>0</v>
      </c>
      <c r="G6808" s="13">
        <v>0.0025</v>
      </c>
      <c r="H6808" s="14">
        <v>3.19965</v>
      </c>
      <c r="I6808" s="14" t="e">
        <f>=Round(0.00000000,0)</f>
        <v>#VALUE!</v>
      </c>
      <c r="J6808" s="14" t="e">
        <f>=Round(0.00000000,0)</f>
        <v>#VALUE!</v>
      </c>
    </row>
    <row r="6809">
      <c r="A6809" s="11" t="s">
        <v>40</v>
      </c>
      <c r="B6809" s="12">
        <v>1280.0644</v>
      </c>
      <c r="C6809" s="12">
        <v>0</v>
      </c>
      <c r="D6809" s="13">
        <v>0</v>
      </c>
      <c r="E6809" s="12">
        <v>0</v>
      </c>
      <c r="F6809" s="14">
        <v>0</v>
      </c>
      <c r="G6809" s="13">
        <v>0.0025</v>
      </c>
      <c r="H6809" s="14">
        <v>3.200161</v>
      </c>
      <c r="I6809" s="14" t="e">
        <f>=Round(0.00000000,0)</f>
        <v>#VALUE!</v>
      </c>
      <c r="J6809" s="14" t="e">
        <f>=Round(0.00000000,0)</f>
        <v>#VALUE!</v>
      </c>
    </row>
    <row r="6810">
      <c r="A6810" s="11" t="s">
        <v>41</v>
      </c>
      <c r="B6810" s="12">
        <v>1280.2685</v>
      </c>
      <c r="C6810" s="12">
        <v>0</v>
      </c>
      <c r="D6810" s="13">
        <v>0</v>
      </c>
      <c r="E6810" s="12">
        <v>0</v>
      </c>
      <c r="F6810" s="14">
        <v>0</v>
      </c>
      <c r="G6810" s="13">
        <v>0.0025</v>
      </c>
      <c r="H6810" s="14">
        <v>3.200671</v>
      </c>
      <c r="I6810" s="14" t="e">
        <f>=Round(0.00000000,0)</f>
        <v>#VALUE!</v>
      </c>
      <c r="J6810" s="14" t="e">
        <f>=Round(0.00000000,0)</f>
        <v>#VALUE!</v>
      </c>
    </row>
    <row r="6811">
      <c r="A6811" s="11" t="s">
        <v>42</v>
      </c>
      <c r="B6811" s="12">
        <v>1280.2685</v>
      </c>
      <c r="C6811" s="12">
        <v>0</v>
      </c>
      <c r="D6811" s="13">
        <v>0</v>
      </c>
      <c r="E6811" s="12">
        <v>0</v>
      </c>
      <c r="F6811" s="14">
        <v>0</v>
      </c>
      <c r="G6811" s="13">
        <v>0.0025</v>
      </c>
      <c r="H6811" s="14">
        <v>3.200671</v>
      </c>
      <c r="I6811" s="14" t="e">
        <f>=Round(0.00000000,0)</f>
        <v>#VALUE!</v>
      </c>
      <c r="J6811" s="14" t="e">
        <f>=Round(0.00000000,0)</f>
        <v>#VALUE!</v>
      </c>
    </row>
    <row r="6812">
      <c r="A6812" s="11" t="s">
        <v>43</v>
      </c>
      <c r="B6812" s="12">
        <v>1280.2685</v>
      </c>
      <c r="C6812" s="12">
        <v>0</v>
      </c>
      <c r="D6812" s="13">
        <v>0</v>
      </c>
      <c r="E6812" s="12">
        <v>0</v>
      </c>
      <c r="F6812" s="14">
        <v>0</v>
      </c>
      <c r="G6812" s="13">
        <v>0.0025</v>
      </c>
      <c r="H6812" s="14">
        <v>3.200671</v>
      </c>
      <c r="I6812" s="14" t="e">
        <f>=Round(0.00000000,0)</f>
        <v>#VALUE!</v>
      </c>
      <c r="J6812" s="14" t="e">
        <f>=Round(0.00000000,0)</f>
        <v>#VALUE!</v>
      </c>
    </row>
    <row r="6813">
      <c r="A6813" s="11" t="s">
        <v>44</v>
      </c>
      <c r="B6813" s="12">
        <v>1280.8839</v>
      </c>
      <c r="C6813" s="12">
        <v>0</v>
      </c>
      <c r="D6813" s="13">
        <v>0</v>
      </c>
      <c r="E6813" s="12">
        <v>0</v>
      </c>
      <c r="F6813" s="14">
        <v>0</v>
      </c>
      <c r="G6813" s="13">
        <v>0.0025</v>
      </c>
      <c r="H6813" s="14">
        <v>3.20221</v>
      </c>
      <c r="I6813" s="14" t="e">
        <f>=Round(0.00000000,0)</f>
        <v>#VALUE!</v>
      </c>
      <c r="J6813" s="14" t="e">
        <f>=Round(0.00000000,0)</f>
        <v>#VALUE!</v>
      </c>
    </row>
    <row r="6814">
      <c r="A6814" s="11" t="s">
        <v>45</v>
      </c>
      <c r="B6814" s="12">
        <v>1281.0899</v>
      </c>
      <c r="C6814" s="12">
        <v>0</v>
      </c>
      <c r="D6814" s="13">
        <v>0</v>
      </c>
      <c r="E6814" s="12">
        <v>0</v>
      </c>
      <c r="F6814" s="14">
        <v>0</v>
      </c>
      <c r="G6814" s="13">
        <v>0.0025</v>
      </c>
      <c r="H6814" s="14">
        <v>3.202725</v>
      </c>
      <c r="I6814" s="14" t="e">
        <f>=Round(0.00000000,0)</f>
        <v>#VALUE!</v>
      </c>
      <c r="J6814" s="14" t="e">
        <f>=Round(0.00000000,0)</f>
        <v>#VALUE!</v>
      </c>
    </row>
    <row r="6815">
      <c r="A6815" s="11" t="s">
        <v>46</v>
      </c>
      <c r="B6815" s="12">
        <v>1281.2941</v>
      </c>
      <c r="C6815" s="12">
        <v>0</v>
      </c>
      <c r="D6815" s="13">
        <v>0</v>
      </c>
      <c r="E6815" s="12">
        <v>0</v>
      </c>
      <c r="F6815" s="14">
        <v>0</v>
      </c>
      <c r="G6815" s="13">
        <v>0.0025</v>
      </c>
      <c r="H6815" s="14">
        <v>3.203235</v>
      </c>
      <c r="I6815" s="14" t="e">
        <f>=Round(0.00000000,0)</f>
        <v>#VALUE!</v>
      </c>
      <c r="J6815" s="14" t="e">
        <f>=Round(0.00000000,0)</f>
        <v>#VALUE!</v>
      </c>
    </row>
    <row r="6816">
      <c r="A6816" s="11" t="s">
        <v>47</v>
      </c>
      <c r="B6816" s="12">
        <v>1281.4992</v>
      </c>
      <c r="C6816" s="12">
        <v>0</v>
      </c>
      <c r="D6816" s="13">
        <v>0</v>
      </c>
      <c r="E6816" s="12">
        <v>0</v>
      </c>
      <c r="F6816" s="14">
        <v>0</v>
      </c>
      <c r="G6816" s="13">
        <v>0.0025</v>
      </c>
      <c r="H6816" s="14">
        <v>3.203748</v>
      </c>
      <c r="I6816" s="14" t="e">
        <f>=Round(0.00000000,0)</f>
        <v>#VALUE!</v>
      </c>
      <c r="J6816" s="14" t="e">
        <f>=Round(0.00000000,0)</f>
        <v>#VALUE!</v>
      </c>
    </row>
    <row r="6817">
      <c r="A6817" s="11" t="s">
        <v>48</v>
      </c>
      <c r="B6817" s="12">
        <v>1281.706</v>
      </c>
      <c r="C6817" s="12">
        <v>0</v>
      </c>
      <c r="D6817" s="13">
        <v>0</v>
      </c>
      <c r="E6817" s="12">
        <v>0</v>
      </c>
      <c r="F6817" s="14">
        <v>0</v>
      </c>
      <c r="G6817" s="13">
        <v>0.0025</v>
      </c>
      <c r="H6817" s="14">
        <v>3.204265</v>
      </c>
      <c r="I6817" s="14" t="e">
        <f>=Round(0.00000000,0)</f>
        <v>#VALUE!</v>
      </c>
      <c r="J6817" s="14" t="e">
        <f>=Round(0.00000000,0)</f>
        <v>#VALUE!</v>
      </c>
    </row>
    <row r="6818">
      <c r="A6818" s="11" t="s">
        <v>49</v>
      </c>
      <c r="B6818" s="12">
        <v>1281.706</v>
      </c>
      <c r="C6818" s="12">
        <v>0</v>
      </c>
      <c r="D6818" s="13">
        <v>0</v>
      </c>
      <c r="E6818" s="12">
        <v>0</v>
      </c>
      <c r="F6818" s="14">
        <v>0</v>
      </c>
      <c r="G6818" s="13">
        <v>0.0025</v>
      </c>
      <c r="H6818" s="14">
        <v>3.204265</v>
      </c>
      <c r="I6818" s="14" t="e">
        <f>=Round(0.00000000,0)</f>
        <v>#VALUE!</v>
      </c>
      <c r="J6818" s="14" t="e">
        <f>=Round(0.00000000,0)</f>
        <v>#VALUE!</v>
      </c>
    </row>
    <row r="6819">
      <c r="A6819" s="11" t="s">
        <v>50</v>
      </c>
      <c r="B6819" s="12">
        <v>1281.706</v>
      </c>
      <c r="C6819" s="12">
        <v>0</v>
      </c>
      <c r="D6819" s="13">
        <v>0</v>
      </c>
      <c r="E6819" s="12">
        <v>0</v>
      </c>
      <c r="F6819" s="14">
        <v>0</v>
      </c>
      <c r="G6819" s="13">
        <v>0.0025</v>
      </c>
      <c r="H6819" s="14">
        <v>3.204265</v>
      </c>
      <c r="I6819" s="14" t="e">
        <f>=Round(0.00000000,0)</f>
        <v>#VALUE!</v>
      </c>
      <c r="J6819" s="14" t="e">
        <f>=Round(0.00000000,0)</f>
        <v>#VALUE!</v>
      </c>
    </row>
    <row r="6820">
      <c r="A6820" s="11" t="s">
        <v>51</v>
      </c>
      <c r="B6820" s="12">
        <v>1282.3206</v>
      </c>
      <c r="C6820" s="12">
        <v>0</v>
      </c>
      <c r="D6820" s="13">
        <v>0</v>
      </c>
      <c r="E6820" s="12">
        <v>0</v>
      </c>
      <c r="F6820" s="14">
        <v>0</v>
      </c>
      <c r="G6820" s="13">
        <v>0.0025</v>
      </c>
      <c r="H6820" s="14">
        <v>3.205802</v>
      </c>
      <c r="I6820" s="14" t="e">
        <f>=Round(0.00000000,0)</f>
        <v>#VALUE!</v>
      </c>
      <c r="J6820" s="14" t="e">
        <f>=Round(0.00000000,0)</f>
        <v>#VALUE!</v>
      </c>
    </row>
    <row r="6821">
      <c r="A6821" s="11" t="s">
        <v>52</v>
      </c>
      <c r="B6821" s="12">
        <v>1282.524</v>
      </c>
      <c r="C6821" s="12">
        <v>0</v>
      </c>
      <c r="D6821" s="13">
        <v>0</v>
      </c>
      <c r="E6821" s="12">
        <v>0</v>
      </c>
      <c r="F6821" s="14">
        <v>0</v>
      </c>
      <c r="G6821" s="13">
        <v>0.0025</v>
      </c>
      <c r="H6821" s="14">
        <v>3.20631</v>
      </c>
      <c r="I6821" s="14" t="e">
        <f>=Round(0.00000000,0)</f>
        <v>#VALUE!</v>
      </c>
      <c r="J6821" s="14" t="e">
        <f>=Round(0.00000000,0)</f>
        <v>#VALUE!</v>
      </c>
    </row>
    <row r="6822">
      <c r="A6822" s="11" t="s">
        <v>53</v>
      </c>
      <c r="B6822" s="12">
        <v>1282.7292</v>
      </c>
      <c r="C6822" s="12">
        <v>0</v>
      </c>
      <c r="D6822" s="13">
        <v>0</v>
      </c>
      <c r="E6822" s="12">
        <v>0</v>
      </c>
      <c r="F6822" s="14">
        <v>0</v>
      </c>
      <c r="G6822" s="13">
        <v>0.0025</v>
      </c>
      <c r="H6822" s="14">
        <v>3.206823</v>
      </c>
      <c r="I6822" s="14" t="e">
        <f>=Round(0.00000000,0)</f>
        <v>#VALUE!</v>
      </c>
      <c r="J6822" s="14" t="e">
        <f>=Round(0.00000000,0)</f>
        <v>#VALUE!</v>
      </c>
    </row>
    <row r="6823">
      <c r="A6823" s="11" t="s">
        <v>54</v>
      </c>
      <c r="B6823" s="12">
        <v>1282.9343</v>
      </c>
      <c r="C6823" s="12">
        <v>0</v>
      </c>
      <c r="D6823" s="13">
        <v>0</v>
      </c>
      <c r="E6823" s="12">
        <v>0</v>
      </c>
      <c r="F6823" s="14">
        <v>0</v>
      </c>
      <c r="G6823" s="13">
        <v>0.0025</v>
      </c>
      <c r="H6823" s="14">
        <v>3.207336</v>
      </c>
      <c r="I6823" s="14" t="e">
        <f>=Round(0.00000000,0)</f>
        <v>#VALUE!</v>
      </c>
      <c r="J6823" s="14" t="e">
        <f>=Round(0.00000000,0)</f>
        <v>#VALUE!</v>
      </c>
    </row>
    <row r="6824">
      <c r="A6824" s="11" t="s">
        <v>55</v>
      </c>
      <c r="B6824" s="12">
        <v>1283.1158</v>
      </c>
      <c r="C6824" s="12">
        <v>0</v>
      </c>
      <c r="D6824" s="13">
        <v>0</v>
      </c>
      <c r="E6824" s="12">
        <v>0</v>
      </c>
      <c r="F6824" s="14">
        <v>0</v>
      </c>
      <c r="G6824" s="13">
        <v>0.0025</v>
      </c>
      <c r="H6824" s="14">
        <v>3.20779</v>
      </c>
      <c r="I6824" s="14" t="e">
        <f>=Round(0.00000000,0)</f>
        <v>#VALUE!</v>
      </c>
      <c r="J6824" s="14" t="e">
        <f>=Round(0.00000000,0)</f>
        <v>#VALUE!</v>
      </c>
    </row>
    <row r="6825" ht="-1">
      <c r="A6825" s="15"/>
      <c r="B6825" s="16" t="s">
        <v>56</v>
      </c>
      <c r="C6825" s="15"/>
      <c r="D6825" s="15"/>
      <c r="E6825" s="15"/>
      <c r="F6825" s="15"/>
      <c r="G6825" s="15"/>
      <c r="H6825" s="15"/>
      <c r="I6825" s="17" t="e">
        <f>=Round(SUM(I6799:I6824),0)</f>
        <v>#VALUE!</v>
      </c>
      <c r="J6825" s="17" t="e">
        <f>=Round(SUM(J6799:J6824),0)</f>
        <v>#VALUE!</v>
      </c>
    </row>
    <row r="6826">
      <c r="A6826" s="1" t="s">
        <v>0</v>
      </c>
      <c r="B6826" s="1"/>
      <c r="C6826" s="1"/>
      <c r="D6826" s="1"/>
    </row>
    <row r="6827">
      <c r="A6827" s="0" t="s">
        <v>1</v>
      </c>
      <c r="C6827" s="0" t="s">
        <v>234</v>
      </c>
      <c r="H6827" s="2" t="s">
        <v>3</v>
      </c>
    </row>
    <row r="6828">
      <c r="A6828" s="0" t="s">
        <v>4</v>
      </c>
      <c r="C6828" s="0" t="s">
        <v>126</v>
      </c>
      <c r="H6828" s="3" t="s">
        <v>6</v>
      </c>
    </row>
    <row r="6829">
      <c r="A6829" s="0" t="s">
        <v>7</v>
      </c>
      <c r="C6829" s="4" t="s">
        <v>205</v>
      </c>
      <c r="H6829" s="2" t="s">
        <v>9</v>
      </c>
    </row>
    <row r="6830">
      <c r="A6830" s="0" t="s">
        <v>10</v>
      </c>
      <c r="C6830" s="4" t="s">
        <v>124</v>
      </c>
      <c r="H6830" s="2" t="s">
        <v>12</v>
      </c>
    </row>
    <row r="6831">
      <c r="A6831" s="0" t="s">
        <v>13</v>
      </c>
      <c r="C6831" s="0" t="s">
        <v>14</v>
      </c>
    </row>
    <row r="6832">
      <c r="A6832" s="0" t="s">
        <v>15</v>
      </c>
      <c r="C6832" s="0" t="s">
        <v>16</v>
      </c>
    </row>
    <row r="6833">
      <c r="A6833" s="0" t="s">
        <v>17</v>
      </c>
      <c r="C6833" s="0" t="s">
        <v>18</v>
      </c>
    </row>
    <row r="6836">
      <c r="A6836" s="5" t="s">
        <v>19</v>
      </c>
      <c r="B6836" s="5" t="s">
        <v>20</v>
      </c>
      <c r="C6836" s="7" t="s">
        <v>21</v>
      </c>
      <c r="D6836" s="9"/>
      <c r="E6836" s="7" t="s">
        <v>22</v>
      </c>
      <c r="F6836" s="9"/>
      <c r="G6836" s="5" t="s">
        <v>23</v>
      </c>
      <c r="H6836" s="5" t="s">
        <v>24</v>
      </c>
      <c r="I6836" s="5" t="s">
        <v>206</v>
      </c>
      <c r="J6836" s="5" t="s">
        <v>125</v>
      </c>
    </row>
    <row r="6837">
      <c r="A6837" s="6"/>
      <c r="B6837" s="6"/>
      <c r="C6837" s="8" t="s">
        <v>27</v>
      </c>
      <c r="D6837" s="8" t="s">
        <v>28</v>
      </c>
      <c r="E6837" s="8" t="s">
        <v>27</v>
      </c>
      <c r="F6837" s="8" t="s">
        <v>28</v>
      </c>
      <c r="G6837" s="6"/>
      <c r="H6837" s="6"/>
      <c r="I6837" s="10" t="s">
        <v>29</v>
      </c>
      <c r="J6837" s="6"/>
    </row>
    <row r="6838">
      <c r="A6838" s="11" t="s">
        <v>30</v>
      </c>
      <c r="B6838" s="12">
        <v>1278.0261</v>
      </c>
      <c r="C6838" s="12">
        <v>0</v>
      </c>
      <c r="D6838" s="13">
        <v>0</v>
      </c>
      <c r="E6838" s="12">
        <v>0</v>
      </c>
      <c r="F6838" s="14">
        <v>0</v>
      </c>
      <c r="G6838" s="13">
        <v>1194381.7274</v>
      </c>
      <c r="H6838" s="14">
        <v>1526451020.9802849</v>
      </c>
      <c r="I6838" s="14" t="e">
        <f>=Round(14997.33350000,0)</f>
        <v>#VALUE!</v>
      </c>
      <c r="J6838" s="14" t="e">
        <f>=Round(6816.96300000,0)</f>
        <v>#VALUE!</v>
      </c>
    </row>
    <row r="6839">
      <c r="A6839" s="11" t="s">
        <v>31</v>
      </c>
      <c r="B6839" s="12">
        <v>1278.2299</v>
      </c>
      <c r="C6839" s="12">
        <v>0</v>
      </c>
      <c r="D6839" s="13">
        <v>0</v>
      </c>
      <c r="E6839" s="12">
        <v>0</v>
      </c>
      <c r="F6839" s="14">
        <v>0</v>
      </c>
      <c r="G6839" s="13">
        <v>1194381.7274</v>
      </c>
      <c r="H6839" s="14">
        <v>1526694435.9763291</v>
      </c>
      <c r="I6839" s="14" t="e">
        <f>=Round(16056.93010000,0)</f>
        <v>#VALUE!</v>
      </c>
      <c r="J6839" s="14" t="e">
        <f>=Round(7298.59730000,0)</f>
        <v>#VALUE!</v>
      </c>
    </row>
    <row r="6840">
      <c r="A6840" s="11" t="s">
        <v>32</v>
      </c>
      <c r="B6840" s="12">
        <v>1278.4335</v>
      </c>
      <c r="C6840" s="12">
        <v>1368862.7527</v>
      </c>
      <c r="D6840" s="13">
        <v>1750000000</v>
      </c>
      <c r="E6840" s="12">
        <v>0</v>
      </c>
      <c r="F6840" s="14">
        <v>0</v>
      </c>
      <c r="G6840" s="13">
        <v>1194381.7274</v>
      </c>
      <c r="H6840" s="14">
        <v>1526937612.0960281</v>
      </c>
      <c r="I6840" s="14" t="e">
        <f>=Round(16059.49070000,0)</f>
        <v>#VALUE!</v>
      </c>
      <c r="J6840" s="14" t="e">
        <f>=Round(7299.76120000,0)</f>
        <v>#VALUE!</v>
      </c>
    </row>
    <row r="6841">
      <c r="A6841" s="11" t="s">
        <v>33</v>
      </c>
      <c r="B6841" s="12">
        <v>1278.6325</v>
      </c>
      <c r="C6841" s="12">
        <v>0.0002</v>
      </c>
      <c r="D6841" s="13">
        <v>0</v>
      </c>
      <c r="E6841" s="12">
        <v>157540.8031</v>
      </c>
      <c r="F6841" s="14">
        <v>201436790.92</v>
      </c>
      <c r="G6841" s="13">
        <v>2563244.4801</v>
      </c>
      <c r="H6841" s="14">
        <v>3277447697.7014632</v>
      </c>
      <c r="I6841" s="14" t="e">
        <f>=Round(16062.04870000,0)</f>
        <v>#VALUE!</v>
      </c>
      <c r="J6841" s="14" t="e">
        <f>=Round(7300.92390000,0)</f>
        <v>#VALUE!</v>
      </c>
    </row>
    <row r="6842">
      <c r="A6842" s="11" t="s">
        <v>34</v>
      </c>
      <c r="B6842" s="12">
        <v>1278.837</v>
      </c>
      <c r="C6842" s="12">
        <v>0</v>
      </c>
      <c r="D6842" s="13">
        <v>0</v>
      </c>
      <c r="E6842" s="12">
        <v>0</v>
      </c>
      <c r="F6842" s="14">
        <v>0</v>
      </c>
      <c r="G6842" s="13">
        <v>2405703.6772</v>
      </c>
      <c r="H6842" s="14">
        <v>3076502873.4394159</v>
      </c>
      <c r="I6842" s="14" t="e">
        <f>=Round(34475.88430000,0)</f>
        <v>#VALUE!</v>
      </c>
      <c r="J6842" s="14" t="e">
        <f>=Round(15670.84080000,0)</f>
        <v>#VALUE!</v>
      </c>
    </row>
    <row r="6843">
      <c r="A6843" s="11" t="s">
        <v>35</v>
      </c>
      <c r="B6843" s="12">
        <v>1278.837</v>
      </c>
      <c r="C6843" s="12">
        <v>0</v>
      </c>
      <c r="D6843" s="13">
        <v>0</v>
      </c>
      <c r="E6843" s="12">
        <v>0</v>
      </c>
      <c r="F6843" s="14">
        <v>0</v>
      </c>
      <c r="G6843" s="13">
        <v>2405703.6772</v>
      </c>
      <c r="H6843" s="14">
        <v>3076502873.4394159</v>
      </c>
      <c r="I6843" s="14" t="e">
        <f>=Round(32362.12040000,0)</f>
        <v>#VALUE!</v>
      </c>
      <c r="J6843" s="14" t="e">
        <f>=Round(14710.04000000,0)</f>
        <v>#VALUE!</v>
      </c>
    </row>
    <row r="6844">
      <c r="A6844" s="11" t="s">
        <v>36</v>
      </c>
      <c r="B6844" s="12">
        <v>1278.837</v>
      </c>
      <c r="C6844" s="12">
        <v>0</v>
      </c>
      <c r="D6844" s="13">
        <v>0</v>
      </c>
      <c r="E6844" s="12">
        <v>0</v>
      </c>
      <c r="F6844" s="14">
        <v>0</v>
      </c>
      <c r="G6844" s="13">
        <v>2405703.6772</v>
      </c>
      <c r="H6844" s="14">
        <v>3076502873.4394159</v>
      </c>
      <c r="I6844" s="14" t="e">
        <f>=Round(32362.12040000,0)</f>
        <v>#VALUE!</v>
      </c>
      <c r="J6844" s="14" t="e">
        <f>=Round(14710.04000000,0)</f>
        <v>#VALUE!</v>
      </c>
    </row>
    <row r="6845">
      <c r="A6845" s="11" t="s">
        <v>37</v>
      </c>
      <c r="B6845" s="12">
        <v>1279.4503</v>
      </c>
      <c r="C6845" s="12">
        <v>0</v>
      </c>
      <c r="D6845" s="13">
        <v>0</v>
      </c>
      <c r="E6845" s="12">
        <v>0</v>
      </c>
      <c r="F6845" s="14">
        <v>0</v>
      </c>
      <c r="G6845" s="13">
        <v>2405703.6772</v>
      </c>
      <c r="H6845" s="14">
        <v>3077978291.504643</v>
      </c>
      <c r="I6845" s="14" t="e">
        <f>=Round(32362.12040000,0)</f>
        <v>#VALUE!</v>
      </c>
      <c r="J6845" s="14" t="e">
        <f>=Round(14710.04000000,0)</f>
        <v>#VALUE!</v>
      </c>
    </row>
    <row r="6846">
      <c r="A6846" s="11" t="s">
        <v>38</v>
      </c>
      <c r="B6846" s="12">
        <v>1279.6545</v>
      </c>
      <c r="C6846" s="12">
        <v>78146.0933</v>
      </c>
      <c r="D6846" s="13">
        <v>100000000</v>
      </c>
      <c r="E6846" s="12">
        <v>0</v>
      </c>
      <c r="F6846" s="14">
        <v>0</v>
      </c>
      <c r="G6846" s="13">
        <v>2405703.6772</v>
      </c>
      <c r="H6846" s="14">
        <v>3078469536.1955271</v>
      </c>
      <c r="I6846" s="14" t="e">
        <f>=Round(32377.64050000,0)</f>
        <v>#VALUE!</v>
      </c>
      <c r="J6846" s="14" t="e">
        <f>=Round(14717.09460000,0)</f>
        <v>#VALUE!</v>
      </c>
    </row>
    <row r="6847">
      <c r="A6847" s="11" t="s">
        <v>39</v>
      </c>
      <c r="B6847" s="12">
        <v>1279.8598</v>
      </c>
      <c r="C6847" s="12">
        <v>0</v>
      </c>
      <c r="D6847" s="13">
        <v>0</v>
      </c>
      <c r="E6847" s="12">
        <v>0</v>
      </c>
      <c r="F6847" s="14">
        <v>0</v>
      </c>
      <c r="G6847" s="13">
        <v>2483849.7704999996</v>
      </c>
      <c r="H6847" s="14">
        <v>3178979470.5021758</v>
      </c>
      <c r="I6847" s="14" t="e">
        <f>=Round(32382.80800000,0)</f>
        <v>#VALUE!</v>
      </c>
      <c r="J6847" s="14" t="e">
        <f>=Round(14719.44340000,0)</f>
        <v>#VALUE!</v>
      </c>
    </row>
    <row r="6848">
      <c r="A6848" s="11" t="s">
        <v>40</v>
      </c>
      <c r="B6848" s="12">
        <v>1280.0644</v>
      </c>
      <c r="C6848" s="12">
        <v>0</v>
      </c>
      <c r="D6848" s="13">
        <v>0</v>
      </c>
      <c r="E6848" s="12">
        <v>0</v>
      </c>
      <c r="F6848" s="14">
        <v>0</v>
      </c>
      <c r="G6848" s="13">
        <v>2483849.7704999996</v>
      </c>
      <c r="H6848" s="14">
        <v>3179487666.16522</v>
      </c>
      <c r="I6848" s="14" t="e">
        <f>=Round(33440.08460000,0)</f>
        <v>#VALUE!</v>
      </c>
      <c r="J6848" s="14" t="e">
        <f>=Round(15200.02330000,0)</f>
        <v>#VALUE!</v>
      </c>
    </row>
    <row r="6849">
      <c r="A6849" s="11" t="s">
        <v>41</v>
      </c>
      <c r="B6849" s="12">
        <v>1280.2685</v>
      </c>
      <c r="C6849" s="12">
        <v>39054.3077</v>
      </c>
      <c r="D6849" s="13">
        <v>50000000</v>
      </c>
      <c r="E6849" s="12">
        <v>0</v>
      </c>
      <c r="F6849" s="14">
        <v>0</v>
      </c>
      <c r="G6849" s="13">
        <v>2483849.7704999996</v>
      </c>
      <c r="H6849" s="14">
        <v>3179994619.903379</v>
      </c>
      <c r="I6849" s="14" t="e">
        <f>=Round(33445.43040000,0)</f>
        <v>#VALUE!</v>
      </c>
      <c r="J6849" s="14" t="e">
        <f>=Round(15202.45310000,0)</f>
        <v>#VALUE!</v>
      </c>
    </row>
    <row r="6850">
      <c r="A6850" s="11" t="s">
        <v>42</v>
      </c>
      <c r="B6850" s="12">
        <v>1280.2685</v>
      </c>
      <c r="C6850" s="12">
        <v>0</v>
      </c>
      <c r="D6850" s="13">
        <v>0</v>
      </c>
      <c r="E6850" s="12">
        <v>0</v>
      </c>
      <c r="F6850" s="14">
        <v>0</v>
      </c>
      <c r="G6850" s="13">
        <v>2483849.7704999996</v>
      </c>
      <c r="H6850" s="14">
        <v>3179994619.903379</v>
      </c>
      <c r="I6850" s="14" t="e">
        <f>=Round(33450.76310000,0)</f>
        <v>#VALUE!</v>
      </c>
      <c r="J6850" s="14" t="e">
        <f>=Round(15204.87710000,0)</f>
        <v>#VALUE!</v>
      </c>
    </row>
    <row r="6851">
      <c r="A6851" s="11" t="s">
        <v>43</v>
      </c>
      <c r="B6851" s="12">
        <v>1280.2685</v>
      </c>
      <c r="C6851" s="12">
        <v>0</v>
      </c>
      <c r="D6851" s="13">
        <v>0</v>
      </c>
      <c r="E6851" s="12">
        <v>0</v>
      </c>
      <c r="F6851" s="14">
        <v>0</v>
      </c>
      <c r="G6851" s="13">
        <v>2483849.7704999996</v>
      </c>
      <c r="H6851" s="14">
        <v>3179994619.903379</v>
      </c>
      <c r="I6851" s="14" t="e">
        <f>=Round(33450.76310000,0)</f>
        <v>#VALUE!</v>
      </c>
      <c r="J6851" s="14" t="e">
        <f>=Round(15204.87710000,0)</f>
        <v>#VALUE!</v>
      </c>
    </row>
    <row r="6852">
      <c r="A6852" s="11" t="s">
        <v>44</v>
      </c>
      <c r="B6852" s="12">
        <v>1280.8839</v>
      </c>
      <c r="C6852" s="12">
        <v>1249215.4832</v>
      </c>
      <c r="D6852" s="13">
        <v>1600100000</v>
      </c>
      <c r="E6852" s="12">
        <v>0</v>
      </c>
      <c r="F6852" s="14">
        <v>0</v>
      </c>
      <c r="G6852" s="13">
        <v>2522904.0782</v>
      </c>
      <c r="H6852" s="14">
        <v>3231547215.0107212</v>
      </c>
      <c r="I6852" s="14" t="e">
        <f>=Round(33450.76310000,0)</f>
        <v>#VALUE!</v>
      </c>
      <c r="J6852" s="14" t="e">
        <f>=Round(15204.87710000,0)</f>
        <v>#VALUE!</v>
      </c>
    </row>
    <row r="6853">
      <c r="A6853" s="11" t="s">
        <v>45</v>
      </c>
      <c r="B6853" s="12">
        <v>1281.0899</v>
      </c>
      <c r="C6853" s="12">
        <v>224769.8682</v>
      </c>
      <c r="D6853" s="13">
        <v>287950408</v>
      </c>
      <c r="E6853" s="12">
        <v>0</v>
      </c>
      <c r="F6853" s="14">
        <v>0</v>
      </c>
      <c r="G6853" s="13">
        <v>3772119.5614</v>
      </c>
      <c r="H6853" s="14">
        <v>4832424271.70197</v>
      </c>
      <c r="I6853" s="14" t="e">
        <f>=Round(33993.05130000,0)</f>
        <v>#VALUE!</v>
      </c>
      <c r="J6853" s="14" t="e">
        <f>=Round(15451.37150000,0)</f>
        <v>#VALUE!</v>
      </c>
    </row>
    <row r="6854">
      <c r="A6854" s="11" t="s">
        <v>46</v>
      </c>
      <c r="B6854" s="12">
        <v>1281.2941</v>
      </c>
      <c r="C6854" s="12">
        <v>0</v>
      </c>
      <c r="D6854" s="13">
        <v>0</v>
      </c>
      <c r="E6854" s="12">
        <v>0</v>
      </c>
      <c r="F6854" s="14">
        <v>0</v>
      </c>
      <c r="G6854" s="13">
        <v>3996889.4296</v>
      </c>
      <c r="H6854" s="14">
        <v>5121190844.4988451</v>
      </c>
      <c r="I6854" s="14" t="e">
        <f>=Round(50832.87830000,0)</f>
        <v>#VALUE!</v>
      </c>
      <c r="J6854" s="14" t="e">
        <f>=Round(23105.83070000,0)</f>
        <v>#VALUE!</v>
      </c>
    </row>
    <row r="6855">
      <c r="A6855" s="11" t="s">
        <v>47</v>
      </c>
      <c r="B6855" s="12">
        <v>1281.4992</v>
      </c>
      <c r="C6855" s="12">
        <v>0</v>
      </c>
      <c r="D6855" s="13">
        <v>0</v>
      </c>
      <c r="E6855" s="12">
        <v>0</v>
      </c>
      <c r="F6855" s="14">
        <v>0</v>
      </c>
      <c r="G6855" s="13">
        <v>3996889.4296</v>
      </c>
      <c r="H6855" s="14">
        <v>5122010606.5208559</v>
      </c>
      <c r="I6855" s="14" t="e">
        <f>=Round(53870.45010000,0)</f>
        <v>#VALUE!</v>
      </c>
      <c r="J6855" s="14" t="e">
        <f>=Round(24486.54380000,0)</f>
        <v>#VALUE!</v>
      </c>
    </row>
    <row r="6856">
      <c r="A6856" s="11" t="s">
        <v>48</v>
      </c>
      <c r="B6856" s="12">
        <v>1281.706</v>
      </c>
      <c r="C6856" s="12">
        <v>0</v>
      </c>
      <c r="D6856" s="13">
        <v>0</v>
      </c>
      <c r="E6856" s="12">
        <v>0</v>
      </c>
      <c r="F6856" s="14">
        <v>0</v>
      </c>
      <c r="G6856" s="13">
        <v>3996889.4296</v>
      </c>
      <c r="H6856" s="14">
        <v>5122837163.2548981</v>
      </c>
      <c r="I6856" s="14" t="e">
        <f>=Round(53879.07330000,0)</f>
        <v>#VALUE!</v>
      </c>
      <c r="J6856" s="14" t="e">
        <f>=Round(24490.46340000,0)</f>
        <v>#VALUE!</v>
      </c>
    </row>
    <row r="6857">
      <c r="A6857" s="11" t="s">
        <v>49</v>
      </c>
      <c r="B6857" s="12">
        <v>1281.706</v>
      </c>
      <c r="C6857" s="12">
        <v>0</v>
      </c>
      <c r="D6857" s="13">
        <v>0</v>
      </c>
      <c r="E6857" s="12">
        <v>0</v>
      </c>
      <c r="F6857" s="14">
        <v>0</v>
      </c>
      <c r="G6857" s="13">
        <v>3996889.4296</v>
      </c>
      <c r="H6857" s="14">
        <v>5122837163.2548981</v>
      </c>
      <c r="I6857" s="14" t="e">
        <f>=Round(53887.76800000,0)</f>
        <v>#VALUE!</v>
      </c>
      <c r="J6857" s="14" t="e">
        <f>=Round(24494.41550000,0)</f>
        <v>#VALUE!</v>
      </c>
    </row>
    <row r="6858">
      <c r="A6858" s="11" t="s">
        <v>50</v>
      </c>
      <c r="B6858" s="12">
        <v>1281.706</v>
      </c>
      <c r="C6858" s="12">
        <v>0</v>
      </c>
      <c r="D6858" s="13">
        <v>0</v>
      </c>
      <c r="E6858" s="12">
        <v>0</v>
      </c>
      <c r="F6858" s="14">
        <v>0</v>
      </c>
      <c r="G6858" s="13">
        <v>3996889.4296</v>
      </c>
      <c r="H6858" s="14">
        <v>5122837163.2548981</v>
      </c>
      <c r="I6858" s="14" t="e">
        <f>=Round(53887.76800000,0)</f>
        <v>#VALUE!</v>
      </c>
      <c r="J6858" s="14" t="e">
        <f>=Round(24494.41550000,0)</f>
        <v>#VALUE!</v>
      </c>
    </row>
    <row r="6859">
      <c r="A6859" s="11" t="s">
        <v>51</v>
      </c>
      <c r="B6859" s="12">
        <v>1282.3206</v>
      </c>
      <c r="C6859" s="12">
        <v>0</v>
      </c>
      <c r="D6859" s="13">
        <v>0</v>
      </c>
      <c r="E6859" s="12">
        <v>0</v>
      </c>
      <c r="F6859" s="14">
        <v>0</v>
      </c>
      <c r="G6859" s="13">
        <v>3996889.4296</v>
      </c>
      <c r="H6859" s="14">
        <v>5125293651.49833</v>
      </c>
      <c r="I6859" s="14" t="e">
        <f>=Round(53887.76800000,0)</f>
        <v>#VALUE!</v>
      </c>
      <c r="J6859" s="14" t="e">
        <f>=Round(24494.41550000,0)</f>
        <v>#VALUE!</v>
      </c>
    </row>
    <row r="6860">
      <c r="A6860" s="11" t="s">
        <v>52</v>
      </c>
      <c r="B6860" s="12">
        <v>1282.524</v>
      </c>
      <c r="C6860" s="12">
        <v>15385.6973</v>
      </c>
      <c r="D6860" s="13">
        <v>19732526</v>
      </c>
      <c r="E6860" s="12">
        <v>0</v>
      </c>
      <c r="F6860" s="14">
        <v>0</v>
      </c>
      <c r="G6860" s="13">
        <v>3996889.4296</v>
      </c>
      <c r="H6860" s="14">
        <v>5126106618.80831</v>
      </c>
      <c r="I6860" s="14" t="e">
        <f>=Round(53913.60810000,0)</f>
        <v>#VALUE!</v>
      </c>
      <c r="J6860" s="14" t="e">
        <f>=Round(24506.16100000,0)</f>
        <v>#VALUE!</v>
      </c>
    </row>
    <row r="6861">
      <c r="A6861" s="11" t="s">
        <v>53</v>
      </c>
      <c r="B6861" s="12">
        <v>1282.7292</v>
      </c>
      <c r="C6861" s="12">
        <v>0</v>
      </c>
      <c r="D6861" s="13">
        <v>0</v>
      </c>
      <c r="E6861" s="12">
        <v>0</v>
      </c>
      <c r="F6861" s="14">
        <v>0</v>
      </c>
      <c r="G6861" s="13">
        <v>4012275.1268999996</v>
      </c>
      <c r="H6861" s="14">
        <v>5146662463.7083349</v>
      </c>
      <c r="I6861" s="14" t="e">
        <f>=Round(53922.15980000,0)</f>
        <v>#VALUE!</v>
      </c>
      <c r="J6861" s="14" t="e">
        <f>=Round(24510.04810000,0)</f>
        <v>#VALUE!</v>
      </c>
    </row>
    <row r="6862">
      <c r="A6862" s="11" t="s">
        <v>54</v>
      </c>
      <c r="B6862" s="12">
        <v>1282.9343</v>
      </c>
      <c r="C6862" s="12">
        <v>0</v>
      </c>
      <c r="D6862" s="13">
        <v>0</v>
      </c>
      <c r="E6862" s="12">
        <v>1288191.7199</v>
      </c>
      <c r="F6862" s="14">
        <v>1652665342.44</v>
      </c>
      <c r="G6862" s="13">
        <v>4012275.1268999996</v>
      </c>
      <c r="H6862" s="14">
        <v>5147485381.3368626</v>
      </c>
      <c r="I6862" s="14" t="e">
        <f>=Round(54138.38930000,0)</f>
        <v>#VALUE!</v>
      </c>
      <c r="J6862" s="14" t="e">
        <f>=Round(24608.33420000,0)</f>
        <v>#VALUE!</v>
      </c>
    </row>
    <row r="6863">
      <c r="A6863" s="11" t="s">
        <v>55</v>
      </c>
      <c r="B6863" s="12">
        <v>1283.1158</v>
      </c>
      <c r="C6863" s="12">
        <v>0.0001</v>
      </c>
      <c r="D6863" s="13">
        <v>0</v>
      </c>
      <c r="E6863" s="12">
        <v>0</v>
      </c>
      <c r="F6863" s="14">
        <v>0</v>
      </c>
      <c r="G6863" s="13">
        <v>2724083.407</v>
      </c>
      <c r="H6863" s="14">
        <v>3495314460.0395312</v>
      </c>
      <c r="I6863" s="14" t="e">
        <f>=Round(54147.04570000,0)</f>
        <v>#VALUE!</v>
      </c>
      <c r="J6863" s="14" t="e">
        <f>=Round(24612.26890000,0)</f>
        <v>#VALUE!</v>
      </c>
    </row>
    <row r="6864" ht="-1">
      <c r="A6864" s="15"/>
      <c r="B6864" s="16" t="s">
        <v>56</v>
      </c>
      <c r="C6864" s="15"/>
      <c r="D6864" s="15"/>
      <c r="E6864" s="15"/>
      <c r="F6864" s="15"/>
      <c r="G6864" s="15"/>
      <c r="H6864" s="15"/>
      <c r="I6864" s="17" t="e">
        <f>=Round(SUM(I6838:I6863),0)</f>
        <v>#VALUE!</v>
      </c>
      <c r="J6864" s="17" t="e">
        <f>=Round(SUM(J6838:J6863),0)</f>
        <v>#VALUE!</v>
      </c>
    </row>
    <row r="6865">
      <c r="A6865" s="1" t="s">
        <v>0</v>
      </c>
      <c r="B6865" s="1"/>
      <c r="C6865" s="1"/>
      <c r="D6865" s="1"/>
    </row>
    <row r="6866">
      <c r="A6866" s="0" t="s">
        <v>1</v>
      </c>
      <c r="C6866" s="0" t="s">
        <v>234</v>
      </c>
      <c r="H6866" s="2" t="s">
        <v>3</v>
      </c>
    </row>
    <row r="6867">
      <c r="A6867" s="0" t="s">
        <v>4</v>
      </c>
      <c r="C6867" s="0" t="s">
        <v>127</v>
      </c>
      <c r="H6867" s="3" t="s">
        <v>6</v>
      </c>
    </row>
    <row r="6868">
      <c r="A6868" s="0" t="s">
        <v>7</v>
      </c>
      <c r="C6868" s="4" t="s">
        <v>205</v>
      </c>
      <c r="H6868" s="2" t="s">
        <v>9</v>
      </c>
    </row>
    <row r="6869">
      <c r="A6869" s="0" t="s">
        <v>10</v>
      </c>
      <c r="C6869" s="4" t="s">
        <v>124</v>
      </c>
      <c r="H6869" s="2" t="s">
        <v>12</v>
      </c>
    </row>
    <row r="6870">
      <c r="A6870" s="0" t="s">
        <v>13</v>
      </c>
      <c r="C6870" s="0" t="s">
        <v>14</v>
      </c>
    </row>
    <row r="6871">
      <c r="A6871" s="0" t="s">
        <v>15</v>
      </c>
      <c r="C6871" s="0" t="s">
        <v>16</v>
      </c>
    </row>
    <row r="6872">
      <c r="A6872" s="0" t="s">
        <v>17</v>
      </c>
      <c r="C6872" s="0" t="s">
        <v>18</v>
      </c>
    </row>
    <row r="6875">
      <c r="A6875" s="5" t="s">
        <v>19</v>
      </c>
      <c r="B6875" s="5" t="s">
        <v>20</v>
      </c>
      <c r="C6875" s="7" t="s">
        <v>21</v>
      </c>
      <c r="D6875" s="9"/>
      <c r="E6875" s="7" t="s">
        <v>22</v>
      </c>
      <c r="F6875" s="9"/>
      <c r="G6875" s="5" t="s">
        <v>23</v>
      </c>
      <c r="H6875" s="5" t="s">
        <v>24</v>
      </c>
      <c r="I6875" s="5" t="s">
        <v>206</v>
      </c>
      <c r="J6875" s="5" t="s">
        <v>125</v>
      </c>
    </row>
    <row r="6876">
      <c r="A6876" s="6"/>
      <c r="B6876" s="6"/>
      <c r="C6876" s="8" t="s">
        <v>27</v>
      </c>
      <c r="D6876" s="8" t="s">
        <v>28</v>
      </c>
      <c r="E6876" s="8" t="s">
        <v>27</v>
      </c>
      <c r="F6876" s="8" t="s">
        <v>28</v>
      </c>
      <c r="G6876" s="6"/>
      <c r="H6876" s="6"/>
      <c r="I6876" s="10" t="s">
        <v>29</v>
      </c>
      <c r="J6876" s="6"/>
    </row>
    <row r="6877">
      <c r="A6877" s="11" t="s">
        <v>30</v>
      </c>
      <c r="B6877" s="12">
        <v>1278.0261</v>
      </c>
      <c r="C6877" s="12">
        <v>2664.2651</v>
      </c>
      <c r="D6877" s="13">
        <v>3405000</v>
      </c>
      <c r="E6877" s="12">
        <v>0</v>
      </c>
      <c r="F6877" s="14">
        <v>0</v>
      </c>
      <c r="G6877" s="13">
        <v>340020.6149</v>
      </c>
      <c r="H6877" s="14">
        <v>434555220.380249</v>
      </c>
      <c r="I6877" s="14" t="e">
        <f>=Round(4637.72380000,0)</f>
        <v>#VALUE!</v>
      </c>
      <c r="J6877" s="14" t="e">
        <f>=Round(2108.05420000,0)</f>
        <v>#VALUE!</v>
      </c>
    </row>
    <row r="6878">
      <c r="A6878" s="11" t="s">
        <v>31</v>
      </c>
      <c r="B6878" s="12">
        <v>1278.2299</v>
      </c>
      <c r="C6878" s="12">
        <v>22648.508</v>
      </c>
      <c r="D6878" s="13">
        <v>28950000</v>
      </c>
      <c r="E6878" s="12">
        <v>0</v>
      </c>
      <c r="F6878" s="14">
        <v>0</v>
      </c>
      <c r="G6878" s="13">
        <v>342684.88</v>
      </c>
      <c r="H6878" s="14">
        <v>438030059.893912</v>
      </c>
      <c r="I6878" s="14" t="e">
        <f>=Round(4571.14100000,0)</f>
        <v>#VALUE!</v>
      </c>
      <c r="J6878" s="14" t="e">
        <f>=Round(2077.78930000,0)</f>
        <v>#VALUE!</v>
      </c>
    </row>
    <row r="6879">
      <c r="A6879" s="11" t="s">
        <v>32</v>
      </c>
      <c r="B6879" s="12">
        <v>1278.4335</v>
      </c>
      <c r="C6879" s="12">
        <v>2346.6219</v>
      </c>
      <c r="D6879" s="13">
        <v>3000000</v>
      </c>
      <c r="E6879" s="12">
        <v>0.0001</v>
      </c>
      <c r="F6879" s="14">
        <v>0</v>
      </c>
      <c r="G6879" s="13">
        <v>365333.388</v>
      </c>
      <c r="H6879" s="14">
        <v>467054441.887698</v>
      </c>
      <c r="I6879" s="14" t="e">
        <f>=Round(4607.69330000,0)</f>
        <v>#VALUE!</v>
      </c>
      <c r="J6879" s="14" t="e">
        <f>=Round(2094.40390000,0)</f>
        <v>#VALUE!</v>
      </c>
    </row>
    <row r="6880">
      <c r="A6880" s="11" t="s">
        <v>33</v>
      </c>
      <c r="B6880" s="12">
        <v>1278.6325</v>
      </c>
      <c r="C6880" s="12">
        <v>0</v>
      </c>
      <c r="D6880" s="13">
        <v>0</v>
      </c>
      <c r="E6880" s="12">
        <v>312.9328</v>
      </c>
      <c r="F6880" s="14">
        <v>400126.05</v>
      </c>
      <c r="G6880" s="13">
        <v>367680.0098</v>
      </c>
      <c r="H6880" s="14">
        <v>470127610.130599</v>
      </c>
      <c r="I6880" s="14" t="e">
        <f>=Round(4913.00440000,0)</f>
        <v>#VALUE!</v>
      </c>
      <c r="J6880" s="14" t="e">
        <f>=Round(2233.18160000,0)</f>
        <v>#VALUE!</v>
      </c>
    </row>
    <row r="6881">
      <c r="A6881" s="11" t="s">
        <v>34</v>
      </c>
      <c r="B6881" s="12">
        <v>1278.837</v>
      </c>
      <c r="C6881" s="12">
        <v>0</v>
      </c>
      <c r="D6881" s="13">
        <v>0</v>
      </c>
      <c r="E6881" s="12">
        <v>825.1332</v>
      </c>
      <c r="F6881" s="14">
        <v>1055210.87</v>
      </c>
      <c r="G6881" s="13">
        <v>367367.077</v>
      </c>
      <c r="H6881" s="14">
        <v>469802610.649449</v>
      </c>
      <c r="I6881" s="14" t="e">
        <f>=Round(4945.33140000,0)</f>
        <v>#VALUE!</v>
      </c>
      <c r="J6881" s="14" t="e">
        <f>=Round(2247.87570000,0)</f>
        <v>#VALUE!</v>
      </c>
    </row>
    <row r="6882">
      <c r="A6882" s="11" t="s">
        <v>35</v>
      </c>
      <c r="B6882" s="12">
        <v>1278.837</v>
      </c>
      <c r="C6882" s="12">
        <v>0</v>
      </c>
      <c r="D6882" s="13">
        <v>0</v>
      </c>
      <c r="E6882" s="12">
        <v>0</v>
      </c>
      <c r="F6882" s="14">
        <v>0</v>
      </c>
      <c r="G6882" s="13">
        <v>367367.077</v>
      </c>
      <c r="H6882" s="14">
        <v>469802610.649449</v>
      </c>
      <c r="I6882" s="14" t="e">
        <f>=Round(4941.91270000,0)</f>
        <v>#VALUE!</v>
      </c>
      <c r="J6882" s="14" t="e">
        <f>=Round(2246.32170000,0)</f>
        <v>#VALUE!</v>
      </c>
    </row>
    <row r="6883">
      <c r="A6883" s="11" t="s">
        <v>36</v>
      </c>
      <c r="B6883" s="12">
        <v>1278.837</v>
      </c>
      <c r="C6883" s="12">
        <v>0</v>
      </c>
      <c r="D6883" s="13">
        <v>0</v>
      </c>
      <c r="E6883" s="12">
        <v>0</v>
      </c>
      <c r="F6883" s="14">
        <v>0</v>
      </c>
      <c r="G6883" s="13">
        <v>367367.077</v>
      </c>
      <c r="H6883" s="14">
        <v>469802610.649449</v>
      </c>
      <c r="I6883" s="14" t="e">
        <f>=Round(4941.91270000,0)</f>
        <v>#VALUE!</v>
      </c>
      <c r="J6883" s="14" t="e">
        <f>=Round(2246.32170000,0)</f>
        <v>#VALUE!</v>
      </c>
    </row>
    <row r="6884">
      <c r="A6884" s="11" t="s">
        <v>37</v>
      </c>
      <c r="B6884" s="12">
        <v>1279.4503</v>
      </c>
      <c r="C6884" s="12">
        <v>1641.33</v>
      </c>
      <c r="D6884" s="13">
        <v>2100000</v>
      </c>
      <c r="E6884" s="12">
        <v>3140.3709</v>
      </c>
      <c r="F6884" s="14">
        <v>4017948.49</v>
      </c>
      <c r="G6884" s="13">
        <v>366541.9438</v>
      </c>
      <c r="H6884" s="14">
        <v>468972199.957493</v>
      </c>
      <c r="I6884" s="14" t="e">
        <f>=Round(4941.91270000,0)</f>
        <v>#VALUE!</v>
      </c>
      <c r="J6884" s="14" t="e">
        <f>=Round(2246.32170000,0)</f>
        <v>#VALUE!</v>
      </c>
    </row>
    <row r="6885">
      <c r="A6885" s="11" t="s">
        <v>38</v>
      </c>
      <c r="B6885" s="12">
        <v>1279.6545</v>
      </c>
      <c r="C6885" s="12">
        <v>1836.4332</v>
      </c>
      <c r="D6885" s="13">
        <v>2350000</v>
      </c>
      <c r="E6885" s="12">
        <v>156.1222</v>
      </c>
      <c r="F6885" s="14">
        <v>199782.48</v>
      </c>
      <c r="G6885" s="13">
        <v>365042.9029</v>
      </c>
      <c r="H6885" s="14">
        <v>467128793.389048</v>
      </c>
      <c r="I6885" s="14" t="e">
        <f>=Round(4933.17750000,0)</f>
        <v>#VALUE!</v>
      </c>
      <c r="J6885" s="14" t="e">
        <f>=Round(2242.35120000,0)</f>
        <v>#VALUE!</v>
      </c>
    </row>
    <row r="6886">
      <c r="A6886" s="11" t="s">
        <v>39</v>
      </c>
      <c r="B6886" s="12">
        <v>1279.8598</v>
      </c>
      <c r="C6886" s="12">
        <v>0</v>
      </c>
      <c r="D6886" s="13">
        <v>0</v>
      </c>
      <c r="E6886" s="12">
        <v>979.8025</v>
      </c>
      <c r="F6886" s="14">
        <v>1254009.83</v>
      </c>
      <c r="G6886" s="13">
        <v>366723.2139</v>
      </c>
      <c r="H6886" s="14">
        <v>469354299.197411</v>
      </c>
      <c r="I6886" s="14" t="e">
        <f>=Round(4913.78650000,0)</f>
        <v>#VALUE!</v>
      </c>
      <c r="J6886" s="14" t="e">
        <f>=Round(2233.53710000,0)</f>
        <v>#VALUE!</v>
      </c>
    </row>
    <row r="6887">
      <c r="A6887" s="11" t="s">
        <v>40</v>
      </c>
      <c r="B6887" s="12">
        <v>1280.0644</v>
      </c>
      <c r="C6887" s="12">
        <v>2343.6321</v>
      </c>
      <c r="D6887" s="13">
        <v>3000000</v>
      </c>
      <c r="E6887" s="12">
        <v>4141.813</v>
      </c>
      <c r="F6887" s="14">
        <v>5301787.37</v>
      </c>
      <c r="G6887" s="13">
        <v>365743.4114</v>
      </c>
      <c r="H6887" s="14">
        <v>468175120.467694</v>
      </c>
      <c r="I6887" s="14" t="e">
        <f>=Round(4937.19690000,0)</f>
        <v>#VALUE!</v>
      </c>
      <c r="J6887" s="14" t="e">
        <f>=Round(2244.17810000,0)</f>
        <v>#VALUE!</v>
      </c>
    </row>
    <row r="6888">
      <c r="A6888" s="11" t="s">
        <v>41</v>
      </c>
      <c r="B6888" s="12">
        <v>1280.2685</v>
      </c>
      <c r="C6888" s="12">
        <v>0</v>
      </c>
      <c r="D6888" s="13">
        <v>0</v>
      </c>
      <c r="E6888" s="12">
        <v>1814.1098</v>
      </c>
      <c r="F6888" s="14">
        <v>2322547.63</v>
      </c>
      <c r="G6888" s="13">
        <v>363945.2305</v>
      </c>
      <c r="H6888" s="14">
        <v>465947614.334389</v>
      </c>
      <c r="I6888" s="14" t="e">
        <f>=Round(4924.79290000,0)</f>
        <v>#VALUE!</v>
      </c>
      <c r="J6888" s="14" t="e">
        <f>=Round(2238.54000000,0)</f>
        <v>#VALUE!</v>
      </c>
    </row>
    <row r="6889">
      <c r="A6889" s="11" t="s">
        <v>42</v>
      </c>
      <c r="B6889" s="12">
        <v>1280.2685</v>
      </c>
      <c r="C6889" s="12">
        <v>0</v>
      </c>
      <c r="D6889" s="13">
        <v>0</v>
      </c>
      <c r="E6889" s="12">
        <v>0</v>
      </c>
      <c r="F6889" s="14">
        <v>0</v>
      </c>
      <c r="G6889" s="13">
        <v>363945.2305</v>
      </c>
      <c r="H6889" s="14">
        <v>465947614.334389</v>
      </c>
      <c r="I6889" s="14" t="e">
        <f>=Round(4901.36150000,0)</f>
        <v>#VALUE!</v>
      </c>
      <c r="J6889" s="14" t="e">
        <f>=Round(2227.88940000,0)</f>
        <v>#VALUE!</v>
      </c>
    </row>
    <row r="6890">
      <c r="A6890" s="11" t="s">
        <v>43</v>
      </c>
      <c r="B6890" s="12">
        <v>1280.2685</v>
      </c>
      <c r="C6890" s="12">
        <v>0</v>
      </c>
      <c r="D6890" s="13">
        <v>0</v>
      </c>
      <c r="E6890" s="12">
        <v>0</v>
      </c>
      <c r="F6890" s="14">
        <v>0</v>
      </c>
      <c r="G6890" s="13">
        <v>363945.2305</v>
      </c>
      <c r="H6890" s="14">
        <v>465947614.334389</v>
      </c>
      <c r="I6890" s="14" t="e">
        <f>=Round(4901.36150000,0)</f>
        <v>#VALUE!</v>
      </c>
      <c r="J6890" s="14" t="e">
        <f>=Round(2227.88940000,0)</f>
        <v>#VALUE!</v>
      </c>
    </row>
    <row r="6891">
      <c r="A6891" s="11" t="s">
        <v>44</v>
      </c>
      <c r="B6891" s="12">
        <v>1280.8839</v>
      </c>
      <c r="C6891" s="12">
        <v>1092.9953</v>
      </c>
      <c r="D6891" s="13">
        <v>1400000</v>
      </c>
      <c r="E6891" s="12">
        <v>20665.287</v>
      </c>
      <c r="F6891" s="14">
        <v>26469833.41</v>
      </c>
      <c r="G6891" s="13">
        <v>362131.1207</v>
      </c>
      <c r="H6891" s="14">
        <v>463847922.193587</v>
      </c>
      <c r="I6891" s="14" t="e">
        <f>=Round(4901.36150000,0)</f>
        <v>#VALUE!</v>
      </c>
      <c r="J6891" s="14" t="e">
        <f>=Round(2227.88940000,0)</f>
        <v>#VALUE!</v>
      </c>
    </row>
    <row r="6892">
      <c r="A6892" s="11" t="s">
        <v>45</v>
      </c>
      <c r="B6892" s="12">
        <v>1281.0899</v>
      </c>
      <c r="C6892" s="12">
        <v>546.6408</v>
      </c>
      <c r="D6892" s="13">
        <v>700296</v>
      </c>
      <c r="E6892" s="12">
        <v>5030.6154</v>
      </c>
      <c r="F6892" s="14">
        <v>6444670.58</v>
      </c>
      <c r="G6892" s="13">
        <v>342558.829</v>
      </c>
      <c r="H6892" s="14">
        <v>438848655.987727</v>
      </c>
      <c r="I6892" s="14" t="e">
        <f>=Round(4879.27460000,0)</f>
        <v>#VALUE!</v>
      </c>
      <c r="J6892" s="14" t="e">
        <f>=Round(2217.84990000,0)</f>
        <v>#VALUE!</v>
      </c>
    </row>
    <row r="6893">
      <c r="A6893" s="11" t="s">
        <v>46</v>
      </c>
      <c r="B6893" s="12">
        <v>1281.2941</v>
      </c>
      <c r="C6893" s="12">
        <v>585.9857</v>
      </c>
      <c r="D6893" s="13">
        <v>750820</v>
      </c>
      <c r="E6893" s="12">
        <v>2430.4733</v>
      </c>
      <c r="F6893" s="14">
        <v>3114151.1</v>
      </c>
      <c r="G6893" s="13">
        <v>338074.8544</v>
      </c>
      <c r="H6893" s="14">
        <v>433173316.301079</v>
      </c>
      <c r="I6893" s="14" t="e">
        <f>=Round(4616.30420000,0)</f>
        <v>#VALUE!</v>
      </c>
      <c r="J6893" s="14" t="e">
        <f>=Round(2098.31800000,0)</f>
        <v>#VALUE!</v>
      </c>
    </row>
    <row r="6894">
      <c r="A6894" s="11" t="s">
        <v>47</v>
      </c>
      <c r="B6894" s="12">
        <v>1281.4992</v>
      </c>
      <c r="C6894" s="12">
        <v>78.0336</v>
      </c>
      <c r="D6894" s="13">
        <v>100000</v>
      </c>
      <c r="E6894" s="12">
        <v>549.93</v>
      </c>
      <c r="F6894" s="14">
        <v>704734.86</v>
      </c>
      <c r="G6894" s="13">
        <v>336230.3668</v>
      </c>
      <c r="H6894" s="14">
        <v>430878946.069907</v>
      </c>
      <c r="I6894" s="14" t="e">
        <f>=Round(4556.60460000,0)</f>
        <v>#VALUE!</v>
      </c>
      <c r="J6894" s="14" t="e">
        <f>=Round(2071.18180000,0)</f>
        <v>#VALUE!</v>
      </c>
    </row>
    <row r="6895">
      <c r="A6895" s="11" t="s">
        <v>48</v>
      </c>
      <c r="B6895" s="12">
        <v>1281.706</v>
      </c>
      <c r="C6895" s="12">
        <v>78.021</v>
      </c>
      <c r="D6895" s="13">
        <v>100000</v>
      </c>
      <c r="E6895" s="12">
        <v>0</v>
      </c>
      <c r="F6895" s="14">
        <v>0</v>
      </c>
      <c r="G6895" s="13">
        <v>335758.4704</v>
      </c>
      <c r="H6895" s="14">
        <v>430343646.062502</v>
      </c>
      <c r="I6895" s="14" t="e">
        <f>=Round(4532.46980000,0)</f>
        <v>#VALUE!</v>
      </c>
      <c r="J6895" s="14" t="e">
        <f>=Round(2060.21150000,0)</f>
        <v>#VALUE!</v>
      </c>
    </row>
    <row r="6896">
      <c r="A6896" s="11" t="s">
        <v>49</v>
      </c>
      <c r="B6896" s="12">
        <v>1281.706</v>
      </c>
      <c r="C6896" s="12">
        <v>0</v>
      </c>
      <c r="D6896" s="13">
        <v>0</v>
      </c>
      <c r="E6896" s="12">
        <v>0</v>
      </c>
      <c r="F6896" s="14">
        <v>0</v>
      </c>
      <c r="G6896" s="13">
        <v>335758.4704</v>
      </c>
      <c r="H6896" s="14">
        <v>430343646.062502</v>
      </c>
      <c r="I6896" s="14" t="e">
        <f>=Round(4526.83890000,0)</f>
        <v>#VALUE!</v>
      </c>
      <c r="J6896" s="14" t="e">
        <f>=Round(2057.65200000,0)</f>
        <v>#VALUE!</v>
      </c>
    </row>
    <row r="6897">
      <c r="A6897" s="11" t="s">
        <v>50</v>
      </c>
      <c r="B6897" s="12">
        <v>1281.706</v>
      </c>
      <c r="C6897" s="12">
        <v>0</v>
      </c>
      <c r="D6897" s="13">
        <v>0</v>
      </c>
      <c r="E6897" s="12">
        <v>0</v>
      </c>
      <c r="F6897" s="14">
        <v>0</v>
      </c>
      <c r="G6897" s="13">
        <v>335758.4704</v>
      </c>
      <c r="H6897" s="14">
        <v>430343646.062502</v>
      </c>
      <c r="I6897" s="14" t="e">
        <f>=Round(4526.83890000,0)</f>
        <v>#VALUE!</v>
      </c>
      <c r="J6897" s="14" t="e">
        <f>=Round(2057.65200000,0)</f>
        <v>#VALUE!</v>
      </c>
    </row>
    <row r="6898">
      <c r="A6898" s="11" t="s">
        <v>51</v>
      </c>
      <c r="B6898" s="12">
        <v>1282.3206</v>
      </c>
      <c r="C6898" s="12">
        <v>2573.5358</v>
      </c>
      <c r="D6898" s="13">
        <v>3300098</v>
      </c>
      <c r="E6898" s="12">
        <v>5370.8727</v>
      </c>
      <c r="F6898" s="14">
        <v>6887180.7</v>
      </c>
      <c r="G6898" s="13">
        <v>335836.4914</v>
      </c>
      <c r="H6898" s="14">
        <v>430650051.153943</v>
      </c>
      <c r="I6898" s="14" t="e">
        <f>=Round(4526.83890000,0)</f>
        <v>#VALUE!</v>
      </c>
      <c r="J6898" s="14" t="e">
        <f>=Round(2057.65200000,0)</f>
        <v>#VALUE!</v>
      </c>
    </row>
    <row r="6899">
      <c r="A6899" s="11" t="s">
        <v>52</v>
      </c>
      <c r="B6899" s="12">
        <v>1282.524</v>
      </c>
      <c r="C6899" s="12">
        <v>8031.0388</v>
      </c>
      <c r="D6899" s="13">
        <v>10300000</v>
      </c>
      <c r="E6899" s="12">
        <v>2368.0017</v>
      </c>
      <c r="F6899" s="14">
        <v>3037019.01</v>
      </c>
      <c r="G6899" s="13">
        <v>333039.1545</v>
      </c>
      <c r="H6899" s="14">
        <v>427130708.585958</v>
      </c>
      <c r="I6899" s="14" t="e">
        <f>=Round(4530.06200000,0)</f>
        <v>#VALUE!</v>
      </c>
      <c r="J6899" s="14" t="e">
        <f>=Round(2059.11700000,0)</f>
        <v>#VALUE!</v>
      </c>
    </row>
    <row r="6900">
      <c r="A6900" s="11" t="s">
        <v>53</v>
      </c>
      <c r="B6900" s="12">
        <v>1282.7292</v>
      </c>
      <c r="C6900" s="12">
        <v>545.7114</v>
      </c>
      <c r="D6900" s="13">
        <v>700000</v>
      </c>
      <c r="E6900" s="12">
        <v>0</v>
      </c>
      <c r="F6900" s="14">
        <v>0</v>
      </c>
      <c r="G6900" s="13">
        <v>338702.1916</v>
      </c>
      <c r="H6900" s="14">
        <v>434463191.269315</v>
      </c>
      <c r="I6900" s="14" t="e">
        <f>=Round(4493.04160000,0)</f>
        <v>#VALUE!</v>
      </c>
      <c r="J6900" s="14" t="e">
        <f>=Round(2042.28960000,0)</f>
        <v>#VALUE!</v>
      </c>
    </row>
    <row r="6901">
      <c r="A6901" s="11" t="s">
        <v>54</v>
      </c>
      <c r="B6901" s="12">
        <v>1282.9343</v>
      </c>
      <c r="C6901" s="12">
        <v>506.7001</v>
      </c>
      <c r="D6901" s="13">
        <v>650063</v>
      </c>
      <c r="E6901" s="12">
        <v>1851.7616</v>
      </c>
      <c r="F6901" s="14">
        <v>2375688.47</v>
      </c>
      <c r="G6901" s="13">
        <v>339247.903</v>
      </c>
      <c r="H6901" s="14">
        <v>435232770.961773</v>
      </c>
      <c r="I6901" s="14" t="e">
        <f>=Round(4570.17290000,0)</f>
        <v>#VALUE!</v>
      </c>
      <c r="J6901" s="14" t="e">
        <f>=Round(2077.34920000,0)</f>
        <v>#VALUE!</v>
      </c>
    </row>
    <row r="6902">
      <c r="A6902" s="11" t="s">
        <v>55</v>
      </c>
      <c r="B6902" s="12">
        <v>1283.1158</v>
      </c>
      <c r="C6902" s="12">
        <v>1403.1377</v>
      </c>
      <c r="D6902" s="13">
        <v>1800388</v>
      </c>
      <c r="E6902" s="12">
        <v>0</v>
      </c>
      <c r="F6902" s="14">
        <v>0</v>
      </c>
      <c r="G6902" s="13">
        <v>337902.8415</v>
      </c>
      <c r="H6902" s="14">
        <v>433568474.793546</v>
      </c>
      <c r="I6902" s="14" t="e">
        <f>=Round(4578.26820000,0)</f>
        <v>#VALUE!</v>
      </c>
      <c r="J6902" s="14" t="e">
        <f>=Round(2081.02890000,0)</f>
        <v>#VALUE!</v>
      </c>
    </row>
    <row r="6903" ht="-1">
      <c r="A6903" s="15"/>
      <c r="B6903" s="16" t="s">
        <v>56</v>
      </c>
      <c r="C6903" s="15"/>
      <c r="D6903" s="15"/>
      <c r="E6903" s="15"/>
      <c r="F6903" s="15"/>
      <c r="G6903" s="15"/>
      <c r="H6903" s="15"/>
      <c r="I6903" s="17" t="e">
        <f>=Round(SUM(I6877:I6902),0)</f>
        <v>#VALUE!</v>
      </c>
      <c r="J6903" s="17" t="e">
        <f>=Round(SUM(J6877:J6902),0)</f>
        <v>#VALUE!</v>
      </c>
    </row>
    <row r="6904">
      <c r="A6904" s="1" t="s">
        <v>0</v>
      </c>
      <c r="B6904" s="1"/>
      <c r="C6904" s="1"/>
      <c r="D6904" s="1"/>
    </row>
    <row r="6905">
      <c r="A6905" s="0" t="s">
        <v>1</v>
      </c>
      <c r="C6905" s="0" t="s">
        <v>234</v>
      </c>
      <c r="H6905" s="2" t="s">
        <v>3</v>
      </c>
    </row>
    <row r="6906">
      <c r="A6906" s="0" t="s">
        <v>4</v>
      </c>
      <c r="C6906" s="0" t="s">
        <v>128</v>
      </c>
      <c r="H6906" s="3" t="s">
        <v>6</v>
      </c>
    </row>
    <row r="6907">
      <c r="A6907" s="0" t="s">
        <v>7</v>
      </c>
      <c r="C6907" s="4" t="s">
        <v>205</v>
      </c>
      <c r="H6907" s="2" t="s">
        <v>9</v>
      </c>
    </row>
    <row r="6908">
      <c r="A6908" s="0" t="s">
        <v>10</v>
      </c>
      <c r="C6908" s="4" t="s">
        <v>124</v>
      </c>
      <c r="H6908" s="2" t="s">
        <v>12</v>
      </c>
    </row>
    <row r="6909">
      <c r="A6909" s="0" t="s">
        <v>13</v>
      </c>
      <c r="C6909" s="0" t="s">
        <v>14</v>
      </c>
    </row>
    <row r="6910">
      <c r="A6910" s="0" t="s">
        <v>15</v>
      </c>
      <c r="C6910" s="0" t="s">
        <v>16</v>
      </c>
    </row>
    <row r="6911">
      <c r="A6911" s="0" t="s">
        <v>17</v>
      </c>
      <c r="C6911" s="0" t="s">
        <v>18</v>
      </c>
    </row>
    <row r="6914">
      <c r="A6914" s="5" t="s">
        <v>19</v>
      </c>
      <c r="B6914" s="5" t="s">
        <v>20</v>
      </c>
      <c r="C6914" s="7" t="s">
        <v>21</v>
      </c>
      <c r="D6914" s="9"/>
      <c r="E6914" s="7" t="s">
        <v>22</v>
      </c>
      <c r="F6914" s="9"/>
      <c r="G6914" s="5" t="s">
        <v>23</v>
      </c>
      <c r="H6914" s="5" t="s">
        <v>24</v>
      </c>
      <c r="I6914" s="5" t="s">
        <v>206</v>
      </c>
      <c r="J6914" s="5" t="s">
        <v>125</v>
      </c>
    </row>
    <row r="6915">
      <c r="A6915" s="6"/>
      <c r="B6915" s="6"/>
      <c r="C6915" s="8" t="s">
        <v>27</v>
      </c>
      <c r="D6915" s="8" t="s">
        <v>28</v>
      </c>
      <c r="E6915" s="8" t="s">
        <v>27</v>
      </c>
      <c r="F6915" s="8" t="s">
        <v>28</v>
      </c>
      <c r="G6915" s="6"/>
      <c r="H6915" s="6"/>
      <c r="I6915" s="10" t="s">
        <v>29</v>
      </c>
      <c r="J6915" s="6"/>
    </row>
    <row r="6916">
      <c r="A6916" s="11" t="s">
        <v>30</v>
      </c>
      <c r="B6916" s="12">
        <v>1278.0261</v>
      </c>
      <c r="C6916" s="12">
        <v>0</v>
      </c>
      <c r="D6916" s="13">
        <v>0</v>
      </c>
      <c r="E6916" s="12">
        <v>0</v>
      </c>
      <c r="F6916" s="14">
        <v>0</v>
      </c>
      <c r="G6916" s="13">
        <v>1189054.704</v>
      </c>
      <c r="H6916" s="14">
        <v>1519642946.0397739</v>
      </c>
      <c r="I6916" s="14" t="e">
        <f>=Round(15977.66540000,0)</f>
        <v>#VALUE!</v>
      </c>
      <c r="J6916" s="14" t="e">
        <f>=Round(7262.56790000,0)</f>
        <v>#VALUE!</v>
      </c>
    </row>
    <row r="6917">
      <c r="A6917" s="11" t="s">
        <v>31</v>
      </c>
      <c r="B6917" s="12">
        <v>1278.2299</v>
      </c>
      <c r="C6917" s="12">
        <v>0</v>
      </c>
      <c r="D6917" s="13">
        <v>0</v>
      </c>
      <c r="E6917" s="12">
        <v>0</v>
      </c>
      <c r="F6917" s="14">
        <v>0</v>
      </c>
      <c r="G6917" s="13">
        <v>1189054.704</v>
      </c>
      <c r="H6917" s="14">
        <v>1519885275.38845</v>
      </c>
      <c r="I6917" s="14" t="e">
        <f>=Round(15985.31510000,0)</f>
        <v>#VALUE!</v>
      </c>
      <c r="J6917" s="14" t="e">
        <f>=Round(7266.04510000,0)</f>
        <v>#VALUE!</v>
      </c>
    </row>
    <row r="6918">
      <c r="A6918" s="11" t="s">
        <v>32</v>
      </c>
      <c r="B6918" s="12">
        <v>1278.4335</v>
      </c>
      <c r="C6918" s="12">
        <v>0</v>
      </c>
      <c r="D6918" s="13">
        <v>0</v>
      </c>
      <c r="E6918" s="12">
        <v>0</v>
      </c>
      <c r="F6918" s="14">
        <v>0</v>
      </c>
      <c r="G6918" s="13">
        <v>1189054.704</v>
      </c>
      <c r="H6918" s="14">
        <v>1520127366.9261839</v>
      </c>
      <c r="I6918" s="14" t="e">
        <f>=Round(15987.86420000,0)</f>
        <v>#VALUE!</v>
      </c>
      <c r="J6918" s="14" t="e">
        <f>=Round(7267.20370000,0)</f>
        <v>#VALUE!</v>
      </c>
    </row>
    <row r="6919">
      <c r="A6919" s="11" t="s">
        <v>33</v>
      </c>
      <c r="B6919" s="12">
        <v>1278.6325</v>
      </c>
      <c r="C6919" s="12">
        <v>0</v>
      </c>
      <c r="D6919" s="13">
        <v>0</v>
      </c>
      <c r="E6919" s="12">
        <v>0</v>
      </c>
      <c r="F6919" s="14">
        <v>0</v>
      </c>
      <c r="G6919" s="13">
        <v>1189054.704</v>
      </c>
      <c r="H6919" s="14">
        <v>1520363988.81228</v>
      </c>
      <c r="I6919" s="14" t="e">
        <f>=Round(15990.41080000,0)</f>
        <v>#VALUE!</v>
      </c>
      <c r="J6919" s="14" t="e">
        <f>=Round(7268.36130000,0)</f>
        <v>#VALUE!</v>
      </c>
    </row>
    <row r="6920">
      <c r="A6920" s="11" t="s">
        <v>34</v>
      </c>
      <c r="B6920" s="12">
        <v>1278.837</v>
      </c>
      <c r="C6920" s="12">
        <v>0</v>
      </c>
      <c r="D6920" s="13">
        <v>0</v>
      </c>
      <c r="E6920" s="12">
        <v>0</v>
      </c>
      <c r="F6920" s="14">
        <v>0</v>
      </c>
      <c r="G6920" s="13">
        <v>1189054.704</v>
      </c>
      <c r="H6920" s="14">
        <v>1520607150.499248</v>
      </c>
      <c r="I6920" s="14" t="e">
        <f>=Round(15992.89990000,0)</f>
        <v>#VALUE!</v>
      </c>
      <c r="J6920" s="14" t="e">
        <f>=Round(7269.49270000,0)</f>
        <v>#VALUE!</v>
      </c>
    </row>
    <row r="6921">
      <c r="A6921" s="11" t="s">
        <v>35</v>
      </c>
      <c r="B6921" s="12">
        <v>1278.837</v>
      </c>
      <c r="C6921" s="12">
        <v>0</v>
      </c>
      <c r="D6921" s="13">
        <v>0</v>
      </c>
      <c r="E6921" s="12">
        <v>0</v>
      </c>
      <c r="F6921" s="14">
        <v>0</v>
      </c>
      <c r="G6921" s="13">
        <v>1189054.704</v>
      </c>
      <c r="H6921" s="14">
        <v>1520607150.499248</v>
      </c>
      <c r="I6921" s="14" t="e">
        <f>=Round(15995.45770000,0)</f>
        <v>#VALUE!</v>
      </c>
      <c r="J6921" s="14" t="e">
        <f>=Round(7270.65530000,0)</f>
        <v>#VALUE!</v>
      </c>
    </row>
    <row r="6922">
      <c r="A6922" s="11" t="s">
        <v>36</v>
      </c>
      <c r="B6922" s="12">
        <v>1278.837</v>
      </c>
      <c r="C6922" s="12">
        <v>0</v>
      </c>
      <c r="D6922" s="13">
        <v>0</v>
      </c>
      <c r="E6922" s="12">
        <v>0</v>
      </c>
      <c r="F6922" s="14">
        <v>0</v>
      </c>
      <c r="G6922" s="13">
        <v>1189054.704</v>
      </c>
      <c r="H6922" s="14">
        <v>1520607150.499248</v>
      </c>
      <c r="I6922" s="14" t="e">
        <f>=Round(15995.45770000,0)</f>
        <v>#VALUE!</v>
      </c>
      <c r="J6922" s="14" t="e">
        <f>=Round(7270.65530000,0)</f>
        <v>#VALUE!</v>
      </c>
    </row>
    <row r="6923">
      <c r="A6923" s="11" t="s">
        <v>37</v>
      </c>
      <c r="B6923" s="12">
        <v>1279.4503</v>
      </c>
      <c r="C6923" s="12">
        <v>0</v>
      </c>
      <c r="D6923" s="13">
        <v>0</v>
      </c>
      <c r="E6923" s="12">
        <v>0</v>
      </c>
      <c r="F6923" s="14">
        <v>0</v>
      </c>
      <c r="G6923" s="13">
        <v>1189054.704</v>
      </c>
      <c r="H6923" s="14">
        <v>1521336397.7492111</v>
      </c>
      <c r="I6923" s="14" t="e">
        <f>=Round(15995.45770000,0)</f>
        <v>#VALUE!</v>
      </c>
      <c r="J6923" s="14" t="e">
        <f>=Round(7270.65530000,0)</f>
        <v>#VALUE!</v>
      </c>
    </row>
    <row r="6924">
      <c r="A6924" s="11" t="s">
        <v>38</v>
      </c>
      <c r="B6924" s="12">
        <v>1279.6545</v>
      </c>
      <c r="C6924" s="12">
        <v>0</v>
      </c>
      <c r="D6924" s="13">
        <v>0</v>
      </c>
      <c r="E6924" s="12">
        <v>0</v>
      </c>
      <c r="F6924" s="14">
        <v>0</v>
      </c>
      <c r="G6924" s="13">
        <v>1189054.704</v>
      </c>
      <c r="H6924" s="14">
        <v>1521579202.7197681</v>
      </c>
      <c r="I6924" s="14" t="e">
        <f>=Round(16003.12880000,0)</f>
        <v>#VALUE!</v>
      </c>
      <c r="J6924" s="14" t="e">
        <f>=Round(7274.14220000,0)</f>
        <v>#VALUE!</v>
      </c>
    </row>
    <row r="6925">
      <c r="A6925" s="11" t="s">
        <v>39</v>
      </c>
      <c r="B6925" s="12">
        <v>1279.8598</v>
      </c>
      <c r="C6925" s="12">
        <v>78.1336</v>
      </c>
      <c r="D6925" s="13">
        <v>100000</v>
      </c>
      <c r="E6925" s="12">
        <v>0</v>
      </c>
      <c r="F6925" s="14">
        <v>0</v>
      </c>
      <c r="G6925" s="13">
        <v>1189054.704</v>
      </c>
      <c r="H6925" s="14">
        <v>1521823315.6504991</v>
      </c>
      <c r="I6925" s="14" t="e">
        <f>=Round(16005.68290000,0)</f>
        <v>#VALUE!</v>
      </c>
      <c r="J6925" s="14" t="e">
        <f>=Round(7275.30310000,0)</f>
        <v>#VALUE!</v>
      </c>
    </row>
    <row r="6926">
      <c r="A6926" s="11" t="s">
        <v>40</v>
      </c>
      <c r="B6926" s="12">
        <v>1280.0644</v>
      </c>
      <c r="C6926" s="12">
        <v>0</v>
      </c>
      <c r="D6926" s="13">
        <v>0</v>
      </c>
      <c r="E6926" s="12">
        <v>0</v>
      </c>
      <c r="F6926" s="14">
        <v>0</v>
      </c>
      <c r="G6926" s="13">
        <v>1189132.8376</v>
      </c>
      <c r="H6926" s="14">
        <v>1522166612.2827411</v>
      </c>
      <c r="I6926" s="14" t="e">
        <f>=Round(16008.25070000,0)</f>
        <v>#VALUE!</v>
      </c>
      <c r="J6926" s="14" t="e">
        <f>=Round(7276.47030000,0)</f>
        <v>#VALUE!</v>
      </c>
    </row>
    <row r="6927">
      <c r="A6927" s="11" t="s">
        <v>41</v>
      </c>
      <c r="B6927" s="12">
        <v>1280.2685</v>
      </c>
      <c r="C6927" s="12">
        <v>0</v>
      </c>
      <c r="D6927" s="13">
        <v>0</v>
      </c>
      <c r="E6927" s="12">
        <v>0</v>
      </c>
      <c r="F6927" s="14">
        <v>0</v>
      </c>
      <c r="G6927" s="13">
        <v>1189132.8376</v>
      </c>
      <c r="H6927" s="14">
        <v>1522409314.2948959</v>
      </c>
      <c r="I6927" s="14" t="e">
        <f>=Round(16011.86190000,0)</f>
        <v>#VALUE!</v>
      </c>
      <c r="J6927" s="14" t="e">
        <f>=Round(7278.11180000,0)</f>
        <v>#VALUE!</v>
      </c>
    </row>
    <row r="6928">
      <c r="A6928" s="11" t="s">
        <v>42</v>
      </c>
      <c r="B6928" s="12">
        <v>1280.2685</v>
      </c>
      <c r="C6928" s="12">
        <v>0</v>
      </c>
      <c r="D6928" s="13">
        <v>0</v>
      </c>
      <c r="E6928" s="12">
        <v>0</v>
      </c>
      <c r="F6928" s="14">
        <v>0</v>
      </c>
      <c r="G6928" s="13">
        <v>1189132.8376</v>
      </c>
      <c r="H6928" s="14">
        <v>1522409314.2948959</v>
      </c>
      <c r="I6928" s="14" t="e">
        <f>=Round(16014.41490000,0)</f>
        <v>#VALUE!</v>
      </c>
      <c r="J6928" s="14" t="e">
        <f>=Round(7279.27220000,0)</f>
        <v>#VALUE!</v>
      </c>
    </row>
    <row r="6929">
      <c r="A6929" s="11" t="s">
        <v>43</v>
      </c>
      <c r="B6929" s="12">
        <v>1280.2685</v>
      </c>
      <c r="C6929" s="12">
        <v>0</v>
      </c>
      <c r="D6929" s="13">
        <v>0</v>
      </c>
      <c r="E6929" s="12">
        <v>0</v>
      </c>
      <c r="F6929" s="14">
        <v>0</v>
      </c>
      <c r="G6929" s="13">
        <v>1189132.8376</v>
      </c>
      <c r="H6929" s="14">
        <v>1522409314.2948959</v>
      </c>
      <c r="I6929" s="14" t="e">
        <f>=Round(16014.41490000,0)</f>
        <v>#VALUE!</v>
      </c>
      <c r="J6929" s="14" t="e">
        <f>=Round(7279.27220000,0)</f>
        <v>#VALUE!</v>
      </c>
    </row>
    <row r="6930">
      <c r="A6930" s="11" t="s">
        <v>44</v>
      </c>
      <c r="B6930" s="12">
        <v>1280.8839</v>
      </c>
      <c r="C6930" s="12">
        <v>11320.3078</v>
      </c>
      <c r="D6930" s="13">
        <v>14500000</v>
      </c>
      <c r="E6930" s="12">
        <v>0</v>
      </c>
      <c r="F6930" s="14">
        <v>0</v>
      </c>
      <c r="G6930" s="13">
        <v>1189132.8376</v>
      </c>
      <c r="H6930" s="14">
        <v>1523141106.6431551</v>
      </c>
      <c r="I6930" s="14" t="e">
        <f>=Round(16014.41490000,0)</f>
        <v>#VALUE!</v>
      </c>
      <c r="J6930" s="14" t="e">
        <f>=Round(7279.27220000,0)</f>
        <v>#VALUE!</v>
      </c>
    </row>
    <row r="6931">
      <c r="A6931" s="11" t="s">
        <v>45</v>
      </c>
      <c r="B6931" s="12">
        <v>1281.0899</v>
      </c>
      <c r="C6931" s="12">
        <v>546.4097</v>
      </c>
      <c r="D6931" s="13">
        <v>700000</v>
      </c>
      <c r="E6931" s="12">
        <v>0</v>
      </c>
      <c r="F6931" s="14">
        <v>0</v>
      </c>
      <c r="G6931" s="13">
        <v>1200453.1454</v>
      </c>
      <c r="H6931" s="14">
        <v>1537888399.9951711</v>
      </c>
      <c r="I6931" s="14" t="e">
        <f>=Round(16022.11270000,0)</f>
        <v>#VALUE!</v>
      </c>
      <c r="J6931" s="14" t="e">
        <f>=Round(7282.77120000,0)</f>
        <v>#VALUE!</v>
      </c>
    </row>
    <row r="6932">
      <c r="A6932" s="11" t="s">
        <v>46</v>
      </c>
      <c r="B6932" s="12">
        <v>1281.2941</v>
      </c>
      <c r="C6932" s="12">
        <v>0</v>
      </c>
      <c r="D6932" s="13">
        <v>0</v>
      </c>
      <c r="E6932" s="12">
        <v>0</v>
      </c>
      <c r="F6932" s="14">
        <v>0</v>
      </c>
      <c r="G6932" s="13">
        <v>1200999.5551</v>
      </c>
      <c r="H6932" s="14">
        <v>1538833644.0522549</v>
      </c>
      <c r="I6932" s="14" t="e">
        <f>=Round(16177.24140000,0)</f>
        <v>#VALUE!</v>
      </c>
      <c r="J6932" s="14" t="e">
        <f>=Round(7353.28420000,0)</f>
        <v>#VALUE!</v>
      </c>
    </row>
    <row r="6933">
      <c r="A6933" s="11" t="s">
        <v>47</v>
      </c>
      <c r="B6933" s="12">
        <v>1281.4992</v>
      </c>
      <c r="C6933" s="12">
        <v>390.168</v>
      </c>
      <c r="D6933" s="13">
        <v>500000</v>
      </c>
      <c r="E6933" s="12">
        <v>5500.9075</v>
      </c>
      <c r="F6933" s="14">
        <v>7049408.56</v>
      </c>
      <c r="G6933" s="13">
        <v>1200999.5551</v>
      </c>
      <c r="H6933" s="14">
        <v>1539079969.0610061</v>
      </c>
      <c r="I6933" s="14" t="e">
        <f>=Round(16187.18450000,0)</f>
        <v>#VALUE!</v>
      </c>
      <c r="J6933" s="14" t="e">
        <f>=Round(7357.80380000,0)</f>
        <v>#VALUE!</v>
      </c>
    </row>
    <row r="6934">
      <c r="A6934" s="11" t="s">
        <v>48</v>
      </c>
      <c r="B6934" s="12">
        <v>1281.706</v>
      </c>
      <c r="C6934" s="12">
        <v>780210.1262</v>
      </c>
      <c r="D6934" s="13">
        <v>1000000000</v>
      </c>
      <c r="E6934" s="12">
        <v>0</v>
      </c>
      <c r="F6934" s="14">
        <v>0</v>
      </c>
      <c r="G6934" s="13">
        <v>1195888.8156</v>
      </c>
      <c r="H6934" s="14">
        <v>1532777870.2874141</v>
      </c>
      <c r="I6934" s="14" t="e">
        <f>=Round(16189.77560000,0)</f>
        <v>#VALUE!</v>
      </c>
      <c r="J6934" s="14" t="e">
        <f>=Round(7358.98160000,0)</f>
        <v>#VALUE!</v>
      </c>
    </row>
    <row r="6935">
      <c r="A6935" s="11" t="s">
        <v>49</v>
      </c>
      <c r="B6935" s="12">
        <v>1281.706</v>
      </c>
      <c r="C6935" s="12">
        <v>0</v>
      </c>
      <c r="D6935" s="13">
        <v>0</v>
      </c>
      <c r="E6935" s="12">
        <v>0</v>
      </c>
      <c r="F6935" s="14">
        <v>0</v>
      </c>
      <c r="G6935" s="13">
        <v>1195888.8156</v>
      </c>
      <c r="H6935" s="14">
        <v>1532777870.2874141</v>
      </c>
      <c r="I6935" s="14" t="e">
        <f>=Round(16123.48310000,0)</f>
        <v>#VALUE!</v>
      </c>
      <c r="J6935" s="14" t="e">
        <f>=Round(7328.84860000,0)</f>
        <v>#VALUE!</v>
      </c>
    </row>
    <row r="6936">
      <c r="A6936" s="11" t="s">
        <v>50</v>
      </c>
      <c r="B6936" s="12">
        <v>1281.706</v>
      </c>
      <c r="C6936" s="12">
        <v>0</v>
      </c>
      <c r="D6936" s="13">
        <v>0</v>
      </c>
      <c r="E6936" s="12">
        <v>0</v>
      </c>
      <c r="F6936" s="14">
        <v>0</v>
      </c>
      <c r="G6936" s="13">
        <v>1195888.8156</v>
      </c>
      <c r="H6936" s="14">
        <v>1532777870.2874141</v>
      </c>
      <c r="I6936" s="14" t="e">
        <f>=Round(16123.48310000,0)</f>
        <v>#VALUE!</v>
      </c>
      <c r="J6936" s="14" t="e">
        <f>=Round(7328.84860000,0)</f>
        <v>#VALUE!</v>
      </c>
    </row>
    <row r="6937">
      <c r="A6937" s="11" t="s">
        <v>51</v>
      </c>
      <c r="B6937" s="12">
        <v>1282.3206</v>
      </c>
      <c r="C6937" s="12">
        <v>0</v>
      </c>
      <c r="D6937" s="13">
        <v>0</v>
      </c>
      <c r="E6937" s="12">
        <v>0</v>
      </c>
      <c r="F6937" s="14">
        <v>0</v>
      </c>
      <c r="G6937" s="13">
        <v>1976098.9418</v>
      </c>
      <c r="H6937" s="14">
        <v>2533992380.7083411</v>
      </c>
      <c r="I6937" s="14" t="e">
        <f>=Round(16123.48310000,0)</f>
        <v>#VALUE!</v>
      </c>
      <c r="J6937" s="14" t="e">
        <f>=Round(7328.84860000,0)</f>
        <v>#VALUE!</v>
      </c>
    </row>
    <row r="6938">
      <c r="A6938" s="11" t="s">
        <v>52</v>
      </c>
      <c r="B6938" s="12">
        <v>1282.524</v>
      </c>
      <c r="C6938" s="12">
        <v>779.7125</v>
      </c>
      <c r="D6938" s="13">
        <v>1000000</v>
      </c>
      <c r="E6938" s="12">
        <v>0</v>
      </c>
      <c r="F6938" s="14">
        <v>0</v>
      </c>
      <c r="G6938" s="13">
        <v>1976098.9418</v>
      </c>
      <c r="H6938" s="14">
        <v>2534394319.2331028</v>
      </c>
      <c r="I6938" s="14" t="e">
        <f>=Round(26655.38430000,0)</f>
        <v>#VALUE!</v>
      </c>
      <c r="J6938" s="14" t="e">
        <f>=Round(12116.07170000,0)</f>
        <v>#VALUE!</v>
      </c>
    </row>
    <row r="6939">
      <c r="A6939" s="11" t="s">
        <v>53</v>
      </c>
      <c r="B6939" s="12">
        <v>1282.7292</v>
      </c>
      <c r="C6939" s="12">
        <v>0</v>
      </c>
      <c r="D6939" s="13">
        <v>0</v>
      </c>
      <c r="E6939" s="12">
        <v>0</v>
      </c>
      <c r="F6939" s="14">
        <v>0</v>
      </c>
      <c r="G6939" s="13">
        <v>1976878.6543</v>
      </c>
      <c r="H6939" s="14">
        <v>2535799974.7273159</v>
      </c>
      <c r="I6939" s="14" t="e">
        <f>=Round(26659.61240000,0)</f>
        <v>#VALUE!</v>
      </c>
      <c r="J6939" s="14" t="e">
        <f>=Round(12117.99350000,0)</f>
        <v>#VALUE!</v>
      </c>
    </row>
    <row r="6940">
      <c r="A6940" s="11" t="s">
        <v>54</v>
      </c>
      <c r="B6940" s="12">
        <v>1282.9343</v>
      </c>
      <c r="C6940" s="12">
        <v>233.8389</v>
      </c>
      <c r="D6940" s="13">
        <v>300000</v>
      </c>
      <c r="E6940" s="12">
        <v>0</v>
      </c>
      <c r="F6940" s="14">
        <v>0</v>
      </c>
      <c r="G6940" s="13">
        <v>1976878.6543</v>
      </c>
      <c r="H6940" s="14">
        <v>2536205432.5393119</v>
      </c>
      <c r="I6940" s="14" t="e">
        <f>=Round(26674.39860000,0)</f>
        <v>#VALUE!</v>
      </c>
      <c r="J6940" s="14" t="e">
        <f>=Round(12124.71450000,0)</f>
        <v>#VALUE!</v>
      </c>
    </row>
    <row r="6941">
      <c r="A6941" s="11" t="s">
        <v>55</v>
      </c>
      <c r="B6941" s="12">
        <v>1283.1158</v>
      </c>
      <c r="C6941" s="12">
        <v>0</v>
      </c>
      <c r="D6941" s="13">
        <v>0</v>
      </c>
      <c r="E6941" s="12">
        <v>0</v>
      </c>
      <c r="F6941" s="14">
        <v>0</v>
      </c>
      <c r="G6941" s="13">
        <v>1977112.4932</v>
      </c>
      <c r="H6941" s="14">
        <v>2536864278.4023132</v>
      </c>
      <c r="I6941" s="14" t="e">
        <f>=Round(26678.66370000,0)</f>
        <v>#VALUE!</v>
      </c>
      <c r="J6941" s="14" t="e">
        <f>=Round(12126.65320000,0)</f>
        <v>#VALUE!</v>
      </c>
    </row>
    <row r="6942" ht="-1">
      <c r="A6942" s="15"/>
      <c r="B6942" s="16" t="s">
        <v>56</v>
      </c>
      <c r="C6942" s="15"/>
      <c r="D6942" s="15"/>
      <c r="E6942" s="15"/>
      <c r="F6942" s="15"/>
      <c r="G6942" s="15"/>
      <c r="H6942" s="15"/>
      <c r="I6942" s="17" t="e">
        <f>=Round(SUM(I6916:I6941),0)</f>
        <v>#VALUE!</v>
      </c>
      <c r="J6942" s="17" t="e">
        <f>=Round(SUM(J6916:J6941),0)</f>
        <v>#VALUE!</v>
      </c>
    </row>
    <row r="6943">
      <c r="A6943" s="1" t="s">
        <v>0</v>
      </c>
      <c r="B6943" s="1"/>
      <c r="C6943" s="1"/>
      <c r="D6943" s="1"/>
    </row>
    <row r="6944">
      <c r="A6944" s="0" t="s">
        <v>1</v>
      </c>
      <c r="C6944" s="0" t="s">
        <v>234</v>
      </c>
      <c r="H6944" s="2" t="s">
        <v>3</v>
      </c>
    </row>
    <row r="6945">
      <c r="A6945" s="0" t="s">
        <v>4</v>
      </c>
      <c r="C6945" s="0" t="s">
        <v>129</v>
      </c>
      <c r="H6945" s="3" t="s">
        <v>6</v>
      </c>
    </row>
    <row r="6946">
      <c r="A6946" s="0" t="s">
        <v>7</v>
      </c>
      <c r="C6946" s="4" t="s">
        <v>205</v>
      </c>
      <c r="H6946" s="2" t="s">
        <v>9</v>
      </c>
    </row>
    <row r="6947">
      <c r="A6947" s="0" t="s">
        <v>10</v>
      </c>
      <c r="C6947" s="4" t="s">
        <v>124</v>
      </c>
      <c r="H6947" s="2" t="s">
        <v>12</v>
      </c>
    </row>
    <row r="6948">
      <c r="A6948" s="0" t="s">
        <v>13</v>
      </c>
      <c r="C6948" s="0" t="s">
        <v>14</v>
      </c>
    </row>
    <row r="6949">
      <c r="A6949" s="0" t="s">
        <v>15</v>
      </c>
      <c r="C6949" s="0" t="s">
        <v>16</v>
      </c>
    </row>
    <row r="6950">
      <c r="A6950" s="0" t="s">
        <v>17</v>
      </c>
      <c r="C6950" s="0" t="s">
        <v>18</v>
      </c>
    </row>
    <row r="6953">
      <c r="A6953" s="5" t="s">
        <v>19</v>
      </c>
      <c r="B6953" s="5" t="s">
        <v>20</v>
      </c>
      <c r="C6953" s="7" t="s">
        <v>21</v>
      </c>
      <c r="D6953" s="9"/>
      <c r="E6953" s="7" t="s">
        <v>22</v>
      </c>
      <c r="F6953" s="9"/>
      <c r="G6953" s="5" t="s">
        <v>23</v>
      </c>
      <c r="H6953" s="5" t="s">
        <v>24</v>
      </c>
      <c r="I6953" s="5" t="s">
        <v>206</v>
      </c>
      <c r="J6953" s="5" t="s">
        <v>125</v>
      </c>
    </row>
    <row r="6954">
      <c r="A6954" s="6"/>
      <c r="B6954" s="6"/>
      <c r="C6954" s="8" t="s">
        <v>27</v>
      </c>
      <c r="D6954" s="8" t="s">
        <v>28</v>
      </c>
      <c r="E6954" s="8" t="s">
        <v>27</v>
      </c>
      <c r="F6954" s="8" t="s">
        <v>28</v>
      </c>
      <c r="G6954" s="6"/>
      <c r="H6954" s="6"/>
      <c r="I6954" s="10" t="s">
        <v>29</v>
      </c>
      <c r="J6954" s="6"/>
    </row>
    <row r="6955">
      <c r="A6955" s="11" t="s">
        <v>30</v>
      </c>
      <c r="B6955" s="12">
        <v>1278.0261</v>
      </c>
      <c r="C6955" s="12">
        <v>352.1055</v>
      </c>
      <c r="D6955" s="13">
        <v>450000</v>
      </c>
      <c r="E6955" s="12">
        <v>175572.8759</v>
      </c>
      <c r="F6955" s="14">
        <v>224386717.85</v>
      </c>
      <c r="G6955" s="13">
        <v>784311.4084</v>
      </c>
      <c r="H6955" s="14">
        <v>1002370450.4629591</v>
      </c>
      <c r="I6955" s="14" t="e">
        <f>=Round(10932.48310000,0)</f>
        <v>#VALUE!</v>
      </c>
      <c r="J6955" s="14" t="e">
        <f>=Round(4969.30550000,0)</f>
        <v>#VALUE!</v>
      </c>
    </row>
    <row r="6956">
      <c r="A6956" s="11" t="s">
        <v>31</v>
      </c>
      <c r="B6956" s="12">
        <v>1278.2299</v>
      </c>
      <c r="C6956" s="12">
        <v>78.2332</v>
      </c>
      <c r="D6956" s="13">
        <v>100000</v>
      </c>
      <c r="E6956" s="12">
        <v>8106.1342</v>
      </c>
      <c r="F6956" s="14">
        <v>10361503.11</v>
      </c>
      <c r="G6956" s="13">
        <v>609090.638</v>
      </c>
      <c r="H6956" s="14">
        <v>778557865.301676</v>
      </c>
      <c r="I6956" s="14" t="e">
        <f>=Round(10544.06070000,0)</f>
        <v>#VALUE!</v>
      </c>
      <c r="J6956" s="14" t="e">
        <f>=Round(4792.75010000,0)</f>
        <v>#VALUE!</v>
      </c>
    </row>
    <row r="6957">
      <c r="A6957" s="11" t="s">
        <v>32</v>
      </c>
      <c r="B6957" s="12">
        <v>1278.4335</v>
      </c>
      <c r="C6957" s="12">
        <v>3762.4171</v>
      </c>
      <c r="D6957" s="13">
        <v>4810000</v>
      </c>
      <c r="E6957" s="12">
        <v>0.0001</v>
      </c>
      <c r="F6957" s="14">
        <v>0</v>
      </c>
      <c r="G6957" s="13">
        <v>601062.737</v>
      </c>
      <c r="H6957" s="14">
        <v>768418738.58249</v>
      </c>
      <c r="I6957" s="14" t="e">
        <f>=Round(8189.74800000,0)</f>
        <v>#VALUE!</v>
      </c>
      <c r="J6957" s="14" t="e">
        <f>=Round(3722.60900000,0)</f>
        <v>#VALUE!</v>
      </c>
    </row>
    <row r="6958">
      <c r="A6958" s="11" t="s">
        <v>33</v>
      </c>
      <c r="B6958" s="12">
        <v>1278.6325</v>
      </c>
      <c r="C6958" s="12">
        <v>351.9385</v>
      </c>
      <c r="D6958" s="13">
        <v>450000</v>
      </c>
      <c r="E6958" s="12">
        <v>3016.2775</v>
      </c>
      <c r="F6958" s="14">
        <v>3856710.44</v>
      </c>
      <c r="G6958" s="13">
        <v>604825.154</v>
      </c>
      <c r="H6958" s="14">
        <v>773349098.721905</v>
      </c>
      <c r="I6958" s="14" t="e">
        <f>=Round(8083.09330000,0)</f>
        <v>#VALUE!</v>
      </c>
      <c r="J6958" s="14" t="e">
        <f>=Round(3674.12960000,0)</f>
        <v>#VALUE!</v>
      </c>
    </row>
    <row r="6959">
      <c r="A6959" s="11" t="s">
        <v>34</v>
      </c>
      <c r="B6959" s="12">
        <v>1278.837</v>
      </c>
      <c r="C6959" s="12">
        <v>1152.0679</v>
      </c>
      <c r="D6959" s="13">
        <v>1473307</v>
      </c>
      <c r="E6959" s="12">
        <v>0.0002</v>
      </c>
      <c r="F6959" s="14">
        <v>0</v>
      </c>
      <c r="G6959" s="13">
        <v>602160.815</v>
      </c>
      <c r="H6959" s="14">
        <v>770065530.172155</v>
      </c>
      <c r="I6959" s="14" t="e">
        <f>=Round(8134.95640000,0)</f>
        <v>#VALUE!</v>
      </c>
      <c r="J6959" s="14" t="e">
        <f>=Round(3697.70370000,0)</f>
        <v>#VALUE!</v>
      </c>
    </row>
    <row r="6960">
      <c r="A6960" s="11" t="s">
        <v>35</v>
      </c>
      <c r="B6960" s="12">
        <v>1278.837</v>
      </c>
      <c r="C6960" s="12">
        <v>0</v>
      </c>
      <c r="D6960" s="13">
        <v>0</v>
      </c>
      <c r="E6960" s="12">
        <v>0</v>
      </c>
      <c r="F6960" s="14">
        <v>0</v>
      </c>
      <c r="G6960" s="13">
        <v>602160.815</v>
      </c>
      <c r="H6960" s="14">
        <v>770065530.172155</v>
      </c>
      <c r="I6960" s="14" t="e">
        <f>=Round(8100.41610000,0)</f>
        <v>#VALUE!</v>
      </c>
      <c r="J6960" s="14" t="e">
        <f>=Round(3682.00360000,0)</f>
        <v>#VALUE!</v>
      </c>
    </row>
    <row r="6961">
      <c r="A6961" s="11" t="s">
        <v>36</v>
      </c>
      <c r="B6961" s="12">
        <v>1278.837</v>
      </c>
      <c r="C6961" s="12">
        <v>0</v>
      </c>
      <c r="D6961" s="13">
        <v>0</v>
      </c>
      <c r="E6961" s="12">
        <v>0</v>
      </c>
      <c r="F6961" s="14">
        <v>0</v>
      </c>
      <c r="G6961" s="13">
        <v>602160.815</v>
      </c>
      <c r="H6961" s="14">
        <v>770065530.172155</v>
      </c>
      <c r="I6961" s="14" t="e">
        <f>=Round(8100.41610000,0)</f>
        <v>#VALUE!</v>
      </c>
      <c r="J6961" s="14" t="e">
        <f>=Round(3682.00360000,0)</f>
        <v>#VALUE!</v>
      </c>
    </row>
    <row r="6962">
      <c r="A6962" s="11" t="s">
        <v>37</v>
      </c>
      <c r="B6962" s="12">
        <v>1279.4503</v>
      </c>
      <c r="C6962" s="12">
        <v>7815.8565</v>
      </c>
      <c r="D6962" s="13">
        <v>10000000</v>
      </c>
      <c r="E6962" s="12">
        <v>8040.3418</v>
      </c>
      <c r="F6962" s="14">
        <v>10287217.73</v>
      </c>
      <c r="G6962" s="13">
        <v>603312.8827</v>
      </c>
      <c r="H6962" s="14">
        <v>771908848.76438</v>
      </c>
      <c r="I6962" s="14" t="e">
        <f>=Round(8100.41610000,0)</f>
        <v>#VALUE!</v>
      </c>
      <c r="J6962" s="14" t="e">
        <f>=Round(3682.00360000,0)</f>
        <v>#VALUE!</v>
      </c>
    </row>
    <row r="6963">
      <c r="A6963" s="11" t="s">
        <v>38</v>
      </c>
      <c r="B6963" s="12">
        <v>1279.6545</v>
      </c>
      <c r="C6963" s="12">
        <v>117297.5096</v>
      </c>
      <c r="D6963" s="13">
        <v>150100286</v>
      </c>
      <c r="E6963" s="12">
        <v>0</v>
      </c>
      <c r="F6963" s="14">
        <v>0</v>
      </c>
      <c r="G6963" s="13">
        <v>603088.3974</v>
      </c>
      <c r="H6963" s="14">
        <v>771744781.630698</v>
      </c>
      <c r="I6963" s="14" t="e">
        <f>=Round(8119.80620000,0)</f>
        <v>#VALUE!</v>
      </c>
      <c r="J6963" s="14" t="e">
        <f>=Round(3690.81730000,0)</f>
        <v>#VALUE!</v>
      </c>
    </row>
    <row r="6964">
      <c r="A6964" s="11" t="s">
        <v>39</v>
      </c>
      <c r="B6964" s="12">
        <v>1279.8598</v>
      </c>
      <c r="C6964" s="12">
        <v>78.1336</v>
      </c>
      <c r="D6964" s="13">
        <v>100000</v>
      </c>
      <c r="E6964" s="12">
        <v>0</v>
      </c>
      <c r="F6964" s="14">
        <v>0</v>
      </c>
      <c r="G6964" s="13">
        <v>720385.907</v>
      </c>
      <c r="H6964" s="14">
        <v>921992962.855839</v>
      </c>
      <c r="I6964" s="14" t="e">
        <f>=Round(8118.08040000,0)</f>
        <v>#VALUE!</v>
      </c>
      <c r="J6964" s="14" t="e">
        <f>=Round(3690.03280000,0)</f>
        <v>#VALUE!</v>
      </c>
    </row>
    <row r="6965">
      <c r="A6965" s="11" t="s">
        <v>40</v>
      </c>
      <c r="B6965" s="12">
        <v>1280.0644</v>
      </c>
      <c r="C6965" s="12">
        <v>78.1211</v>
      </c>
      <c r="D6965" s="13">
        <v>100000</v>
      </c>
      <c r="E6965" s="12">
        <v>500</v>
      </c>
      <c r="F6965" s="14">
        <v>640032.2</v>
      </c>
      <c r="G6965" s="13">
        <v>720464.0406</v>
      </c>
      <c r="H6965" s="14">
        <v>922240369.852215</v>
      </c>
      <c r="I6965" s="14" t="e">
        <f>=Round(9698.55990000,0)</f>
        <v>#VALUE!</v>
      </c>
      <c r="J6965" s="14" t="e">
        <f>=Round(4408.43190000,0)</f>
        <v>#VALUE!</v>
      </c>
    </row>
    <row r="6966">
      <c r="A6966" s="11" t="s">
        <v>41</v>
      </c>
      <c r="B6966" s="12">
        <v>1280.2685</v>
      </c>
      <c r="C6966" s="12">
        <v>78.1086</v>
      </c>
      <c r="D6966" s="13">
        <v>100000</v>
      </c>
      <c r="E6966" s="12">
        <v>119173.1041</v>
      </c>
      <c r="F6966" s="14">
        <v>152573571.23</v>
      </c>
      <c r="G6966" s="13">
        <v>720042.1617</v>
      </c>
      <c r="H6966" s="14">
        <v>921847298.296416</v>
      </c>
      <c r="I6966" s="14" t="e">
        <f>=Round(9701.16240000,0)</f>
        <v>#VALUE!</v>
      </c>
      <c r="J6966" s="14" t="e">
        <f>=Round(4409.61480000,0)</f>
        <v>#VALUE!</v>
      </c>
    </row>
    <row r="6967">
      <c r="A6967" s="11" t="s">
        <v>42</v>
      </c>
      <c r="B6967" s="12">
        <v>1280.2685</v>
      </c>
      <c r="C6967" s="12">
        <v>0</v>
      </c>
      <c r="D6967" s="13">
        <v>0</v>
      </c>
      <c r="E6967" s="12">
        <v>0</v>
      </c>
      <c r="F6967" s="14">
        <v>0</v>
      </c>
      <c r="G6967" s="13">
        <v>720042.1617</v>
      </c>
      <c r="H6967" s="14">
        <v>921847298.296416</v>
      </c>
      <c r="I6967" s="14" t="e">
        <f>=Round(9697.02760000,0)</f>
        <v>#VALUE!</v>
      </c>
      <c r="J6967" s="14" t="e">
        <f>=Round(4407.73540000,0)</f>
        <v>#VALUE!</v>
      </c>
    </row>
    <row r="6968">
      <c r="A6968" s="11" t="s">
        <v>43</v>
      </c>
      <c r="B6968" s="12">
        <v>1280.2685</v>
      </c>
      <c r="C6968" s="12">
        <v>0</v>
      </c>
      <c r="D6968" s="13">
        <v>0</v>
      </c>
      <c r="E6968" s="12">
        <v>0</v>
      </c>
      <c r="F6968" s="14">
        <v>0</v>
      </c>
      <c r="G6968" s="13">
        <v>720042.1617</v>
      </c>
      <c r="H6968" s="14">
        <v>921847298.296416</v>
      </c>
      <c r="I6968" s="14" t="e">
        <f>=Round(9697.02760000,0)</f>
        <v>#VALUE!</v>
      </c>
      <c r="J6968" s="14" t="e">
        <f>=Round(4407.73540000,0)</f>
        <v>#VALUE!</v>
      </c>
    </row>
    <row r="6969">
      <c r="A6969" s="11" t="s">
        <v>44</v>
      </c>
      <c r="B6969" s="12">
        <v>1280.8839</v>
      </c>
      <c r="C6969" s="12">
        <v>46155.0887</v>
      </c>
      <c r="D6969" s="13">
        <v>59119310</v>
      </c>
      <c r="E6969" s="12">
        <v>7815.8565</v>
      </c>
      <c r="F6969" s="14">
        <v>10011204.76</v>
      </c>
      <c r="G6969" s="13">
        <v>600947.1662</v>
      </c>
      <c r="H6969" s="14">
        <v>769743549.936204</v>
      </c>
      <c r="I6969" s="14" t="e">
        <f>=Round(9697.02760000,0)</f>
        <v>#VALUE!</v>
      </c>
      <c r="J6969" s="14" t="e">
        <f>=Round(4407.73540000,0)</f>
        <v>#VALUE!</v>
      </c>
    </row>
    <row r="6970">
      <c r="A6970" s="11" t="s">
        <v>45</v>
      </c>
      <c r="B6970" s="12">
        <v>1281.0899</v>
      </c>
      <c r="C6970" s="12">
        <v>1951.4634</v>
      </c>
      <c r="D6970" s="13">
        <v>2500000</v>
      </c>
      <c r="E6970" s="12">
        <v>0</v>
      </c>
      <c r="F6970" s="14">
        <v>0</v>
      </c>
      <c r="G6970" s="13">
        <v>639286.3984</v>
      </c>
      <c r="H6970" s="14">
        <v>818983348.197616</v>
      </c>
      <c r="I6970" s="14" t="e">
        <f>=Round(8097.02910000,0)</f>
        <v>#VALUE!</v>
      </c>
      <c r="J6970" s="14" t="e">
        <f>=Round(3680.46410000,0)</f>
        <v>#VALUE!</v>
      </c>
    </row>
    <row r="6971">
      <c r="A6971" s="11" t="s">
        <v>46</v>
      </c>
      <c r="B6971" s="12">
        <v>1281.2941</v>
      </c>
      <c r="C6971" s="12">
        <v>0</v>
      </c>
      <c r="D6971" s="13">
        <v>0</v>
      </c>
      <c r="E6971" s="12">
        <v>0</v>
      </c>
      <c r="F6971" s="14">
        <v>0</v>
      </c>
      <c r="G6971" s="13">
        <v>641237.8618</v>
      </c>
      <c r="H6971" s="14">
        <v>821614289.020955</v>
      </c>
      <c r="I6971" s="14" t="e">
        <f>=Round(8614.98880000,0)</f>
        <v>#VALUE!</v>
      </c>
      <c r="J6971" s="14" t="e">
        <f>=Round(3915.90010000,0)</f>
        <v>#VALUE!</v>
      </c>
    </row>
    <row r="6972">
      <c r="A6972" s="11" t="s">
        <v>47</v>
      </c>
      <c r="B6972" s="12">
        <v>1281.4992</v>
      </c>
      <c r="C6972" s="12">
        <v>0</v>
      </c>
      <c r="D6972" s="13">
        <v>0</v>
      </c>
      <c r="E6972" s="12">
        <v>4066.9541</v>
      </c>
      <c r="F6972" s="14">
        <v>5211798.43</v>
      </c>
      <c r="G6972" s="13">
        <v>641237.8618</v>
      </c>
      <c r="H6972" s="14">
        <v>821745806.906411</v>
      </c>
      <c r="I6972" s="14" t="e">
        <f>=Round(8642.66400000,0)</f>
        <v>#VALUE!</v>
      </c>
      <c r="J6972" s="14" t="e">
        <f>=Round(3928.47970000,0)</f>
        <v>#VALUE!</v>
      </c>
    </row>
    <row r="6973">
      <c r="A6973" s="11" t="s">
        <v>48</v>
      </c>
      <c r="B6973" s="12">
        <v>1281.706</v>
      </c>
      <c r="C6973" s="12">
        <v>23406.3038</v>
      </c>
      <c r="D6973" s="13">
        <v>30000000</v>
      </c>
      <c r="E6973" s="12">
        <v>2407.4481</v>
      </c>
      <c r="F6973" s="14">
        <v>3085640.67</v>
      </c>
      <c r="G6973" s="13">
        <v>637170.9077</v>
      </c>
      <c r="H6973" s="14">
        <v>816665775.424536</v>
      </c>
      <c r="I6973" s="14" t="e">
        <f>=Round(8644.04740000,0)</f>
        <v>#VALUE!</v>
      </c>
      <c r="J6973" s="14" t="e">
        <f>=Round(3929.10850000,0)</f>
        <v>#VALUE!</v>
      </c>
    </row>
    <row r="6974">
      <c r="A6974" s="11" t="s">
        <v>49</v>
      </c>
      <c r="B6974" s="12">
        <v>1281.706</v>
      </c>
      <c r="C6974" s="12">
        <v>0</v>
      </c>
      <c r="D6974" s="13">
        <v>0</v>
      </c>
      <c r="E6974" s="12">
        <v>0</v>
      </c>
      <c r="F6974" s="14">
        <v>0</v>
      </c>
      <c r="G6974" s="13">
        <v>637170.9077</v>
      </c>
      <c r="H6974" s="14">
        <v>816665775.424536</v>
      </c>
      <c r="I6974" s="14" t="e">
        <f>=Round(8590.60990000,0)</f>
        <v>#VALUE!</v>
      </c>
      <c r="J6974" s="14" t="e">
        <f>=Round(3904.81880000,0)</f>
        <v>#VALUE!</v>
      </c>
    </row>
    <row r="6975">
      <c r="A6975" s="11" t="s">
        <v>50</v>
      </c>
      <c r="B6975" s="12">
        <v>1281.706</v>
      </c>
      <c r="C6975" s="12">
        <v>0</v>
      </c>
      <c r="D6975" s="13">
        <v>0</v>
      </c>
      <c r="E6975" s="12">
        <v>0</v>
      </c>
      <c r="F6975" s="14">
        <v>0</v>
      </c>
      <c r="G6975" s="13">
        <v>637170.9077</v>
      </c>
      <c r="H6975" s="14">
        <v>816665775.424536</v>
      </c>
      <c r="I6975" s="14" t="e">
        <f>=Round(8590.60990000,0)</f>
        <v>#VALUE!</v>
      </c>
      <c r="J6975" s="14" t="e">
        <f>=Round(3904.81880000,0)</f>
        <v>#VALUE!</v>
      </c>
    </row>
    <row r="6976">
      <c r="A6976" s="11" t="s">
        <v>51</v>
      </c>
      <c r="B6976" s="12">
        <v>1282.3206</v>
      </c>
      <c r="C6976" s="12">
        <v>779.8362</v>
      </c>
      <c r="D6976" s="13">
        <v>1000000</v>
      </c>
      <c r="E6976" s="12">
        <v>0</v>
      </c>
      <c r="F6976" s="14">
        <v>0</v>
      </c>
      <c r="G6976" s="13">
        <v>658169.7634</v>
      </c>
      <c r="H6976" s="14">
        <v>843984645.904946</v>
      </c>
      <c r="I6976" s="14" t="e">
        <f>=Round(8590.60990000,0)</f>
        <v>#VALUE!</v>
      </c>
      <c r="J6976" s="14" t="e">
        <f>=Round(3904.81880000,0)</f>
        <v>#VALUE!</v>
      </c>
    </row>
    <row r="6977">
      <c r="A6977" s="11" t="s">
        <v>52</v>
      </c>
      <c r="B6977" s="12">
        <v>1282.524</v>
      </c>
      <c r="C6977" s="12">
        <v>77.9713</v>
      </c>
      <c r="D6977" s="13">
        <v>100000</v>
      </c>
      <c r="E6977" s="12">
        <v>11028.6942</v>
      </c>
      <c r="F6977" s="14">
        <v>14144565</v>
      </c>
      <c r="G6977" s="13">
        <v>658949.5996</v>
      </c>
      <c r="H6977" s="14">
        <v>845118676.27739</v>
      </c>
      <c r="I6977" s="14" t="e">
        <f>=Round(8877.98060000,0)</f>
        <v>#VALUE!</v>
      </c>
      <c r="J6977" s="14" t="e">
        <f>=Round(4035.44170000,0)</f>
        <v>#VALUE!</v>
      </c>
    </row>
    <row r="6978">
      <c r="A6978" s="11" t="s">
        <v>53</v>
      </c>
      <c r="B6978" s="12">
        <v>1282.7292</v>
      </c>
      <c r="C6978" s="12">
        <v>2946.8418</v>
      </c>
      <c r="D6978" s="13">
        <v>3780000</v>
      </c>
      <c r="E6978" s="12">
        <v>2263.1459</v>
      </c>
      <c r="F6978" s="14">
        <v>2903003.33</v>
      </c>
      <c r="G6978" s="13">
        <v>647998.8767</v>
      </c>
      <c r="H6978" s="14">
        <v>831207080.71029</v>
      </c>
      <c r="I6978" s="14" t="e">
        <f>=Round(8889.90960000,0)</f>
        <v>#VALUE!</v>
      </c>
      <c r="J6978" s="14" t="e">
        <f>=Round(4040.86390000,0)</f>
        <v>#VALUE!</v>
      </c>
    </row>
    <row r="6979">
      <c r="A6979" s="11" t="s">
        <v>54</v>
      </c>
      <c r="B6979" s="12">
        <v>1282.9343</v>
      </c>
      <c r="C6979" s="12">
        <v>4603.5093</v>
      </c>
      <c r="D6979" s="13">
        <v>5906000</v>
      </c>
      <c r="E6979" s="12">
        <v>0</v>
      </c>
      <c r="F6979" s="14">
        <v>0</v>
      </c>
      <c r="G6979" s="13">
        <v>648682.5726</v>
      </c>
      <c r="H6979" s="14">
        <v>832217122.20078</v>
      </c>
      <c r="I6979" s="14" t="e">
        <f>=Round(8743.57180000,0)</f>
        <v>#VALUE!</v>
      </c>
      <c r="J6979" s="14" t="e">
        <f>=Round(3974.34680000,0)</f>
        <v>#VALUE!</v>
      </c>
    </row>
    <row r="6980">
      <c r="A6980" s="11" t="s">
        <v>55</v>
      </c>
      <c r="B6980" s="12">
        <v>1283.1158</v>
      </c>
      <c r="C6980" s="12">
        <v>662.45</v>
      </c>
      <c r="D6980" s="13">
        <v>850000</v>
      </c>
      <c r="E6980" s="12">
        <v>19486.5786</v>
      </c>
      <c r="F6980" s="14">
        <v>25003536.76</v>
      </c>
      <c r="G6980" s="13">
        <v>653286.0819</v>
      </c>
      <c r="H6980" s="14">
        <v>838241693.605984</v>
      </c>
      <c r="I6980" s="14" t="e">
        <f>=Round(8754.19650000,0)</f>
        <v>#VALUE!</v>
      </c>
      <c r="J6980" s="14" t="e">
        <f>=Round(3979.17620000,0)</f>
        <v>#VALUE!</v>
      </c>
    </row>
    <row r="6981" ht="-1">
      <c r="A6981" s="15"/>
      <c r="B6981" s="16" t="s">
        <v>56</v>
      </c>
      <c r="C6981" s="15"/>
      <c r="D6981" s="15"/>
      <c r="E6981" s="15"/>
      <c r="F6981" s="15"/>
      <c r="G6981" s="15"/>
      <c r="H6981" s="15"/>
      <c r="I6981" s="17" t="e">
        <f>=Round(SUM(I6955:I6980),0)</f>
        <v>#VALUE!</v>
      </c>
      <c r="J6981" s="17" t="e">
        <f>=Round(SUM(J6955:J6980),0)</f>
        <v>#VALUE!</v>
      </c>
    </row>
    <row r="6982">
      <c r="A6982" s="1" t="s">
        <v>0</v>
      </c>
      <c r="B6982" s="1"/>
      <c r="C6982" s="1"/>
      <c r="D6982" s="1"/>
    </row>
    <row r="6983">
      <c r="A6983" s="0" t="s">
        <v>1</v>
      </c>
      <c r="C6983" s="0" t="s">
        <v>234</v>
      </c>
      <c r="H6983" s="2" t="s">
        <v>3</v>
      </c>
    </row>
    <row r="6984">
      <c r="A6984" s="0" t="s">
        <v>4</v>
      </c>
      <c r="C6984" s="0" t="s">
        <v>250</v>
      </c>
      <c r="H6984" s="3" t="s">
        <v>6</v>
      </c>
    </row>
    <row r="6985">
      <c r="A6985" s="0" t="s">
        <v>7</v>
      </c>
      <c r="C6985" s="4" t="s">
        <v>205</v>
      </c>
      <c r="H6985" s="2" t="s">
        <v>9</v>
      </c>
    </row>
    <row r="6986">
      <c r="A6986" s="0" t="s">
        <v>10</v>
      </c>
      <c r="C6986" s="4" t="s">
        <v>124</v>
      </c>
      <c r="H6986" s="2" t="s">
        <v>12</v>
      </c>
    </row>
    <row r="6987">
      <c r="A6987" s="0" t="s">
        <v>13</v>
      </c>
      <c r="C6987" s="0" t="s">
        <v>14</v>
      </c>
    </row>
    <row r="6988">
      <c r="A6988" s="0" t="s">
        <v>15</v>
      </c>
      <c r="C6988" s="0" t="s">
        <v>16</v>
      </c>
    </row>
    <row r="6989">
      <c r="A6989" s="0" t="s">
        <v>17</v>
      </c>
      <c r="C6989" s="0" t="s">
        <v>18</v>
      </c>
    </row>
    <row r="6992">
      <c r="A6992" s="5" t="s">
        <v>19</v>
      </c>
      <c r="B6992" s="5" t="s">
        <v>20</v>
      </c>
      <c r="C6992" s="7" t="s">
        <v>21</v>
      </c>
      <c r="D6992" s="9"/>
      <c r="E6992" s="7" t="s">
        <v>22</v>
      </c>
      <c r="F6992" s="9"/>
      <c r="G6992" s="5" t="s">
        <v>23</v>
      </c>
      <c r="H6992" s="5" t="s">
        <v>24</v>
      </c>
      <c r="I6992" s="5" t="s">
        <v>206</v>
      </c>
      <c r="J6992" s="5" t="s">
        <v>125</v>
      </c>
    </row>
    <row r="6993">
      <c r="A6993" s="6"/>
      <c r="B6993" s="6"/>
      <c r="C6993" s="8" t="s">
        <v>27</v>
      </c>
      <c r="D6993" s="8" t="s">
        <v>28</v>
      </c>
      <c r="E6993" s="8" t="s">
        <v>27</v>
      </c>
      <c r="F6993" s="8" t="s">
        <v>28</v>
      </c>
      <c r="G6993" s="6"/>
      <c r="H6993" s="6"/>
      <c r="I6993" s="10" t="s">
        <v>29</v>
      </c>
      <c r="J6993" s="6"/>
    </row>
    <row r="6994">
      <c r="A6994" s="11" t="s">
        <v>30</v>
      </c>
      <c r="B6994" s="12">
        <v>1278.0261</v>
      </c>
      <c r="C6994" s="12">
        <v>0</v>
      </c>
      <c r="D6994" s="13">
        <v>0</v>
      </c>
      <c r="E6994" s="12">
        <v>0</v>
      </c>
      <c r="F6994" s="14">
        <v>0</v>
      </c>
      <c r="G6994" s="13">
        <v>78.4092</v>
      </c>
      <c r="H6994" s="14">
        <v>100209.00408</v>
      </c>
      <c r="I6994" s="14" t="e">
        <f>=Round(1.05360000,0)</f>
        <v>#VALUE!</v>
      </c>
      <c r="J6994" s="14" t="e">
        <f>=Round(0.47890000,0)</f>
        <v>#VALUE!</v>
      </c>
    </row>
    <row r="6995">
      <c r="A6995" s="11" t="s">
        <v>31</v>
      </c>
      <c r="B6995" s="12">
        <v>1278.2299</v>
      </c>
      <c r="C6995" s="12">
        <v>0</v>
      </c>
      <c r="D6995" s="13">
        <v>0</v>
      </c>
      <c r="E6995" s="12">
        <v>0</v>
      </c>
      <c r="F6995" s="14">
        <v>0</v>
      </c>
      <c r="G6995" s="13">
        <v>78.4092</v>
      </c>
      <c r="H6995" s="14">
        <v>100224.983875</v>
      </c>
      <c r="I6995" s="14" t="e">
        <f>=Round(1.05410000,0)</f>
        <v>#VALUE!</v>
      </c>
      <c r="J6995" s="14" t="e">
        <f>=Round(0.47910000,0)</f>
        <v>#VALUE!</v>
      </c>
    </row>
    <row r="6996">
      <c r="A6996" s="11" t="s">
        <v>32</v>
      </c>
      <c r="B6996" s="12">
        <v>1278.4335</v>
      </c>
      <c r="C6996" s="12">
        <v>0</v>
      </c>
      <c r="D6996" s="13">
        <v>0</v>
      </c>
      <c r="E6996" s="12">
        <v>0</v>
      </c>
      <c r="F6996" s="14">
        <v>0</v>
      </c>
      <c r="G6996" s="13">
        <v>78.4092</v>
      </c>
      <c r="H6996" s="14">
        <v>100240.947988</v>
      </c>
      <c r="I6996" s="14" t="e">
        <f>=Round(1.05430000,0)</f>
        <v>#VALUE!</v>
      </c>
      <c r="J6996" s="14" t="e">
        <f>=Round(0.47920000,0)</f>
        <v>#VALUE!</v>
      </c>
    </row>
    <row r="6997">
      <c r="A6997" s="11" t="s">
        <v>33</v>
      </c>
      <c r="B6997" s="12">
        <v>1278.6325</v>
      </c>
      <c r="C6997" s="12">
        <v>0</v>
      </c>
      <c r="D6997" s="13">
        <v>0</v>
      </c>
      <c r="E6997" s="12">
        <v>0</v>
      </c>
      <c r="F6997" s="14">
        <v>0</v>
      </c>
      <c r="G6997" s="13">
        <v>78.4092</v>
      </c>
      <c r="H6997" s="14">
        <v>100256.551419</v>
      </c>
      <c r="I6997" s="14" t="e">
        <f>=Round(1.05440000,0)</f>
        <v>#VALUE!</v>
      </c>
      <c r="J6997" s="14" t="e">
        <f>=Round(0.47930000,0)</f>
        <v>#VALUE!</v>
      </c>
    </row>
    <row r="6998">
      <c r="A6998" s="11" t="s">
        <v>34</v>
      </c>
      <c r="B6998" s="12">
        <v>1278.837</v>
      </c>
      <c r="C6998" s="12">
        <v>0</v>
      </c>
      <c r="D6998" s="13">
        <v>0</v>
      </c>
      <c r="E6998" s="12">
        <v>0</v>
      </c>
      <c r="F6998" s="14">
        <v>0</v>
      </c>
      <c r="G6998" s="13">
        <v>78.4092</v>
      </c>
      <c r="H6998" s="14">
        <v>100272.5861</v>
      </c>
      <c r="I6998" s="14" t="e">
        <f>=Round(1.05460000,0)</f>
        <v>#VALUE!</v>
      </c>
      <c r="J6998" s="14" t="e">
        <f>=Round(0.47940000,0)</f>
        <v>#VALUE!</v>
      </c>
    </row>
    <row r="6999">
      <c r="A6999" s="11" t="s">
        <v>35</v>
      </c>
      <c r="B6999" s="12">
        <v>1278.837</v>
      </c>
      <c r="C6999" s="12">
        <v>0</v>
      </c>
      <c r="D6999" s="13">
        <v>0</v>
      </c>
      <c r="E6999" s="12">
        <v>0</v>
      </c>
      <c r="F6999" s="14">
        <v>0</v>
      </c>
      <c r="G6999" s="13">
        <v>78.4092</v>
      </c>
      <c r="H6999" s="14">
        <v>100272.5861</v>
      </c>
      <c r="I6999" s="14" t="e">
        <f>=Round(1.05480000,0)</f>
        <v>#VALUE!</v>
      </c>
      <c r="J6999" s="14" t="e">
        <f>=Round(0.47940000,0)</f>
        <v>#VALUE!</v>
      </c>
    </row>
    <row r="7000">
      <c r="A7000" s="11" t="s">
        <v>36</v>
      </c>
      <c r="B7000" s="12">
        <v>1278.837</v>
      </c>
      <c r="C7000" s="12">
        <v>0</v>
      </c>
      <c r="D7000" s="13">
        <v>0</v>
      </c>
      <c r="E7000" s="12">
        <v>0</v>
      </c>
      <c r="F7000" s="14">
        <v>0</v>
      </c>
      <c r="G7000" s="13">
        <v>78.4092</v>
      </c>
      <c r="H7000" s="14">
        <v>100272.5861</v>
      </c>
      <c r="I7000" s="14" t="e">
        <f>=Round(1.05480000,0)</f>
        <v>#VALUE!</v>
      </c>
      <c r="J7000" s="14" t="e">
        <f>=Round(0.47940000,0)</f>
        <v>#VALUE!</v>
      </c>
    </row>
    <row r="7001">
      <c r="A7001" s="11" t="s">
        <v>37</v>
      </c>
      <c r="B7001" s="12">
        <v>1279.4503</v>
      </c>
      <c r="C7001" s="12">
        <v>0</v>
      </c>
      <c r="D7001" s="13">
        <v>0</v>
      </c>
      <c r="E7001" s="12">
        <v>0</v>
      </c>
      <c r="F7001" s="14">
        <v>0</v>
      </c>
      <c r="G7001" s="13">
        <v>78.4092</v>
      </c>
      <c r="H7001" s="14">
        <v>100320.674463</v>
      </c>
      <c r="I7001" s="14" t="e">
        <f>=Round(1.05480000,0)</f>
        <v>#VALUE!</v>
      </c>
      <c r="J7001" s="14" t="e">
        <f>=Round(0.47940000,0)</f>
        <v>#VALUE!</v>
      </c>
    </row>
    <row r="7002">
      <c r="A7002" s="11" t="s">
        <v>38</v>
      </c>
      <c r="B7002" s="12">
        <v>1279.6545</v>
      </c>
      <c r="C7002" s="12">
        <v>0</v>
      </c>
      <c r="D7002" s="13">
        <v>0</v>
      </c>
      <c r="E7002" s="12">
        <v>0</v>
      </c>
      <c r="F7002" s="14">
        <v>0</v>
      </c>
      <c r="G7002" s="13">
        <v>78.4092</v>
      </c>
      <c r="H7002" s="14">
        <v>100336.685621</v>
      </c>
      <c r="I7002" s="14" t="e">
        <f>=Round(1.05530000,0)</f>
        <v>#VALUE!</v>
      </c>
      <c r="J7002" s="14" t="e">
        <f>=Round(0.47970000,0)</f>
        <v>#VALUE!</v>
      </c>
    </row>
    <row r="7003">
      <c r="A7003" s="11" t="s">
        <v>39</v>
      </c>
      <c r="B7003" s="12">
        <v>1279.8598</v>
      </c>
      <c r="C7003" s="12">
        <v>0</v>
      </c>
      <c r="D7003" s="13">
        <v>0</v>
      </c>
      <c r="E7003" s="12">
        <v>0</v>
      </c>
      <c r="F7003" s="14">
        <v>0</v>
      </c>
      <c r="G7003" s="13">
        <v>78.4092</v>
      </c>
      <c r="H7003" s="14">
        <v>100352.78303</v>
      </c>
      <c r="I7003" s="14" t="e">
        <f>=Round(1.05550000,0)</f>
        <v>#VALUE!</v>
      </c>
      <c r="J7003" s="14" t="e">
        <f>=Round(0.47980000,0)</f>
        <v>#VALUE!</v>
      </c>
    </row>
    <row r="7004">
      <c r="A7004" s="11" t="s">
        <v>40</v>
      </c>
      <c r="B7004" s="12">
        <v>1280.0644</v>
      </c>
      <c r="C7004" s="12">
        <v>0</v>
      </c>
      <c r="D7004" s="13">
        <v>0</v>
      </c>
      <c r="E7004" s="12">
        <v>0</v>
      </c>
      <c r="F7004" s="14">
        <v>0</v>
      </c>
      <c r="G7004" s="13">
        <v>78.4092</v>
      </c>
      <c r="H7004" s="14">
        <v>100368.825552</v>
      </c>
      <c r="I7004" s="14" t="e">
        <f>=Round(1.05560000,0)</f>
        <v>#VALUE!</v>
      </c>
      <c r="J7004" s="14" t="e">
        <f>=Round(0.47980000,0)</f>
        <v>#VALUE!</v>
      </c>
    </row>
    <row r="7005">
      <c r="A7005" s="11" t="s">
        <v>41</v>
      </c>
      <c r="B7005" s="12">
        <v>1280.2685</v>
      </c>
      <c r="C7005" s="12">
        <v>0</v>
      </c>
      <c r="D7005" s="13">
        <v>0</v>
      </c>
      <c r="E7005" s="12">
        <v>0</v>
      </c>
      <c r="F7005" s="14">
        <v>0</v>
      </c>
      <c r="G7005" s="13">
        <v>78.4092</v>
      </c>
      <c r="H7005" s="14">
        <v>100384.82887</v>
      </c>
      <c r="I7005" s="14" t="e">
        <f>=Round(1.05580000,0)</f>
        <v>#VALUE!</v>
      </c>
      <c r="J7005" s="14" t="e">
        <f>=Round(0.47990000,0)</f>
        <v>#VALUE!</v>
      </c>
    </row>
    <row r="7006">
      <c r="A7006" s="11" t="s">
        <v>42</v>
      </c>
      <c r="B7006" s="12">
        <v>1280.2685</v>
      </c>
      <c r="C7006" s="12">
        <v>0</v>
      </c>
      <c r="D7006" s="13">
        <v>0</v>
      </c>
      <c r="E7006" s="12">
        <v>0</v>
      </c>
      <c r="F7006" s="14">
        <v>0</v>
      </c>
      <c r="G7006" s="13">
        <v>78.4092</v>
      </c>
      <c r="H7006" s="14">
        <v>100384.82887</v>
      </c>
      <c r="I7006" s="14" t="e">
        <f>=Round(1.05600000,0)</f>
        <v>#VALUE!</v>
      </c>
      <c r="J7006" s="14" t="e">
        <f>=Round(0.48000000,0)</f>
        <v>#VALUE!</v>
      </c>
    </row>
    <row r="7007">
      <c r="A7007" s="11" t="s">
        <v>43</v>
      </c>
      <c r="B7007" s="12">
        <v>1280.2685</v>
      </c>
      <c r="C7007" s="12">
        <v>0</v>
      </c>
      <c r="D7007" s="13">
        <v>0</v>
      </c>
      <c r="E7007" s="12">
        <v>0</v>
      </c>
      <c r="F7007" s="14">
        <v>0</v>
      </c>
      <c r="G7007" s="13">
        <v>78.4092</v>
      </c>
      <c r="H7007" s="14">
        <v>100384.82887</v>
      </c>
      <c r="I7007" s="14" t="e">
        <f>=Round(1.05600000,0)</f>
        <v>#VALUE!</v>
      </c>
      <c r="J7007" s="14" t="e">
        <f>=Round(0.48000000,0)</f>
        <v>#VALUE!</v>
      </c>
    </row>
    <row r="7008">
      <c r="A7008" s="11" t="s">
        <v>44</v>
      </c>
      <c r="B7008" s="12">
        <v>1280.8839</v>
      </c>
      <c r="C7008" s="12">
        <v>0</v>
      </c>
      <c r="D7008" s="13">
        <v>0</v>
      </c>
      <c r="E7008" s="12">
        <v>0</v>
      </c>
      <c r="F7008" s="14">
        <v>0</v>
      </c>
      <c r="G7008" s="13">
        <v>78.4092</v>
      </c>
      <c r="H7008" s="14">
        <v>100433.081892</v>
      </c>
      <c r="I7008" s="14" t="e">
        <f>=Round(1.05600000,0)</f>
        <v>#VALUE!</v>
      </c>
      <c r="J7008" s="14" t="e">
        <f>=Round(0.48000000,0)</f>
        <v>#VALUE!</v>
      </c>
    </row>
    <row r="7009">
      <c r="A7009" s="11" t="s">
        <v>45</v>
      </c>
      <c r="B7009" s="12">
        <v>1281.0899</v>
      </c>
      <c r="C7009" s="12">
        <v>0</v>
      </c>
      <c r="D7009" s="13">
        <v>0</v>
      </c>
      <c r="E7009" s="12">
        <v>0</v>
      </c>
      <c r="F7009" s="14">
        <v>0</v>
      </c>
      <c r="G7009" s="13">
        <v>78.4092</v>
      </c>
      <c r="H7009" s="14">
        <v>100449.234187</v>
      </c>
      <c r="I7009" s="14" t="e">
        <f>=Round(1.05650000,0)</f>
        <v>#VALUE!</v>
      </c>
      <c r="J7009" s="14" t="e">
        <f>=Round(0.48020000,0)</f>
        <v>#VALUE!</v>
      </c>
    </row>
    <row r="7010">
      <c r="A7010" s="11" t="s">
        <v>46</v>
      </c>
      <c r="B7010" s="12">
        <v>1281.2941</v>
      </c>
      <c r="C7010" s="12">
        <v>0</v>
      </c>
      <c r="D7010" s="13">
        <v>0</v>
      </c>
      <c r="E7010" s="12">
        <v>0</v>
      </c>
      <c r="F7010" s="14">
        <v>0</v>
      </c>
      <c r="G7010" s="13">
        <v>78.4092</v>
      </c>
      <c r="H7010" s="14">
        <v>100465.245346</v>
      </c>
      <c r="I7010" s="14" t="e">
        <f>=Round(1.05660000,0)</f>
        <v>#VALUE!</v>
      </c>
      <c r="J7010" s="14" t="e">
        <f>=Round(0.48030000,0)</f>
        <v>#VALUE!</v>
      </c>
    </row>
    <row r="7011">
      <c r="A7011" s="11" t="s">
        <v>47</v>
      </c>
      <c r="B7011" s="12">
        <v>1281.4992</v>
      </c>
      <c r="C7011" s="12">
        <v>0</v>
      </c>
      <c r="D7011" s="13">
        <v>0</v>
      </c>
      <c r="E7011" s="12">
        <v>0</v>
      </c>
      <c r="F7011" s="14">
        <v>0</v>
      </c>
      <c r="G7011" s="13">
        <v>78.4092</v>
      </c>
      <c r="H7011" s="14">
        <v>100481.327073</v>
      </c>
      <c r="I7011" s="14" t="e">
        <f>=Round(1.05680000,0)</f>
        <v>#VALUE!</v>
      </c>
      <c r="J7011" s="14" t="e">
        <f>=Round(0.48040000,0)</f>
        <v>#VALUE!</v>
      </c>
    </row>
    <row r="7012">
      <c r="A7012" s="11" t="s">
        <v>48</v>
      </c>
      <c r="B7012" s="12">
        <v>1281.706</v>
      </c>
      <c r="C7012" s="12">
        <v>0</v>
      </c>
      <c r="D7012" s="13">
        <v>0</v>
      </c>
      <c r="E7012" s="12">
        <v>0</v>
      </c>
      <c r="F7012" s="14">
        <v>0</v>
      </c>
      <c r="G7012" s="13">
        <v>78.4092</v>
      </c>
      <c r="H7012" s="14">
        <v>100497.542095</v>
      </c>
      <c r="I7012" s="14" t="e">
        <f>=Round(1.05700000,0)</f>
        <v>#VALUE!</v>
      </c>
      <c r="J7012" s="14" t="e">
        <f>=Round(0.48040000,0)</f>
        <v>#VALUE!</v>
      </c>
    </row>
    <row r="7013">
      <c r="A7013" s="11" t="s">
        <v>49</v>
      </c>
      <c r="B7013" s="12">
        <v>1281.706</v>
      </c>
      <c r="C7013" s="12">
        <v>0</v>
      </c>
      <c r="D7013" s="13">
        <v>0</v>
      </c>
      <c r="E7013" s="12">
        <v>0</v>
      </c>
      <c r="F7013" s="14">
        <v>0</v>
      </c>
      <c r="G7013" s="13">
        <v>78.4092</v>
      </c>
      <c r="H7013" s="14">
        <v>100497.542095</v>
      </c>
      <c r="I7013" s="14" t="e">
        <f>=Round(1.05710000,0)</f>
        <v>#VALUE!</v>
      </c>
      <c r="J7013" s="14" t="e">
        <f>=Round(0.48050000,0)</f>
        <v>#VALUE!</v>
      </c>
    </row>
    <row r="7014">
      <c r="A7014" s="11" t="s">
        <v>50</v>
      </c>
      <c r="B7014" s="12">
        <v>1281.706</v>
      </c>
      <c r="C7014" s="12">
        <v>0</v>
      </c>
      <c r="D7014" s="13">
        <v>0</v>
      </c>
      <c r="E7014" s="12">
        <v>0</v>
      </c>
      <c r="F7014" s="14">
        <v>0</v>
      </c>
      <c r="G7014" s="13">
        <v>78.4092</v>
      </c>
      <c r="H7014" s="14">
        <v>100497.542095</v>
      </c>
      <c r="I7014" s="14" t="e">
        <f>=Round(1.05710000,0)</f>
        <v>#VALUE!</v>
      </c>
      <c r="J7014" s="14" t="e">
        <f>=Round(0.48050000,0)</f>
        <v>#VALUE!</v>
      </c>
    </row>
    <row r="7015">
      <c r="A7015" s="11" t="s">
        <v>51</v>
      </c>
      <c r="B7015" s="12">
        <v>1282.3206</v>
      </c>
      <c r="C7015" s="12">
        <v>0</v>
      </c>
      <c r="D7015" s="13">
        <v>0</v>
      </c>
      <c r="E7015" s="12">
        <v>0</v>
      </c>
      <c r="F7015" s="14">
        <v>0</v>
      </c>
      <c r="G7015" s="13">
        <v>78.4092</v>
      </c>
      <c r="H7015" s="14">
        <v>100545.73239</v>
      </c>
      <c r="I7015" s="14" t="e">
        <f>=Round(1.05710000,0)</f>
        <v>#VALUE!</v>
      </c>
      <c r="J7015" s="14" t="e">
        <f>=Round(0.48050000,0)</f>
        <v>#VALUE!</v>
      </c>
    </row>
    <row r="7016">
      <c r="A7016" s="11" t="s">
        <v>52</v>
      </c>
      <c r="B7016" s="12">
        <v>1282.524</v>
      </c>
      <c r="C7016" s="12">
        <v>0</v>
      </c>
      <c r="D7016" s="13">
        <v>0</v>
      </c>
      <c r="E7016" s="12">
        <v>0</v>
      </c>
      <c r="F7016" s="14">
        <v>0</v>
      </c>
      <c r="G7016" s="13">
        <v>78.4092</v>
      </c>
      <c r="H7016" s="14">
        <v>100561.680821</v>
      </c>
      <c r="I7016" s="14" t="e">
        <f>=Round(1.05770000,0)</f>
        <v>#VALUE!</v>
      </c>
      <c r="J7016" s="14" t="e">
        <f>=Round(0.48080000,0)</f>
        <v>#VALUE!</v>
      </c>
    </row>
    <row r="7017">
      <c r="A7017" s="11" t="s">
        <v>53</v>
      </c>
      <c r="B7017" s="12">
        <v>1282.7292</v>
      </c>
      <c r="C7017" s="12">
        <v>0</v>
      </c>
      <c r="D7017" s="13">
        <v>0</v>
      </c>
      <c r="E7017" s="12">
        <v>0</v>
      </c>
      <c r="F7017" s="14">
        <v>0</v>
      </c>
      <c r="G7017" s="13">
        <v>78.4092</v>
      </c>
      <c r="H7017" s="14">
        <v>100577.770389</v>
      </c>
      <c r="I7017" s="14" t="e">
        <f>=Round(1.05780000,0)</f>
        <v>#VALUE!</v>
      </c>
      <c r="J7017" s="14" t="e">
        <f>=Round(0.48080000,0)</f>
        <v>#VALUE!</v>
      </c>
    </row>
    <row r="7018">
      <c r="A7018" s="11" t="s">
        <v>54</v>
      </c>
      <c r="B7018" s="12">
        <v>1282.9343</v>
      </c>
      <c r="C7018" s="12">
        <v>0</v>
      </c>
      <c r="D7018" s="13">
        <v>0</v>
      </c>
      <c r="E7018" s="12">
        <v>0</v>
      </c>
      <c r="F7018" s="14">
        <v>0</v>
      </c>
      <c r="G7018" s="13">
        <v>78.4092</v>
      </c>
      <c r="H7018" s="14">
        <v>100593.852116</v>
      </c>
      <c r="I7018" s="14" t="e">
        <f>=Round(1.05800000,0)</f>
        <v>#VALUE!</v>
      </c>
      <c r="J7018" s="14" t="e">
        <f>=Round(0.48090000,0)</f>
        <v>#VALUE!</v>
      </c>
    </row>
    <row r="7019">
      <c r="A7019" s="11" t="s">
        <v>55</v>
      </c>
      <c r="B7019" s="12">
        <v>1283.1158</v>
      </c>
      <c r="C7019" s="12">
        <v>0</v>
      </c>
      <c r="D7019" s="13">
        <v>0</v>
      </c>
      <c r="E7019" s="12">
        <v>0</v>
      </c>
      <c r="F7019" s="14">
        <v>0</v>
      </c>
      <c r="G7019" s="13">
        <v>78.4092</v>
      </c>
      <c r="H7019" s="14">
        <v>100608.083385</v>
      </c>
      <c r="I7019" s="14" t="e">
        <f>=Round(1.05820000,0)</f>
        <v>#VALUE!</v>
      </c>
      <c r="J7019" s="14" t="e">
        <f>=Round(0.48100000,0)</f>
        <v>#VALUE!</v>
      </c>
    </row>
    <row r="7020" ht="-1">
      <c r="A7020" s="15"/>
      <c r="B7020" s="16" t="s">
        <v>56</v>
      </c>
      <c r="C7020" s="15"/>
      <c r="D7020" s="15"/>
      <c r="E7020" s="15"/>
      <c r="F7020" s="15"/>
      <c r="G7020" s="15"/>
      <c r="H7020" s="15"/>
      <c r="I7020" s="17" t="e">
        <f>=Round(SUM(I6994:I7019),0)</f>
        <v>#VALUE!</v>
      </c>
      <c r="J7020" s="17" t="e">
        <f>=Round(SUM(J6994:J7019),0)</f>
        <v>#VALUE!</v>
      </c>
    </row>
    <row r="7021">
      <c r="A7021" s="1" t="s">
        <v>0</v>
      </c>
      <c r="B7021" s="1"/>
      <c r="C7021" s="1"/>
      <c r="D7021" s="1"/>
    </row>
    <row r="7022">
      <c r="A7022" s="0" t="s">
        <v>1</v>
      </c>
      <c r="C7022" s="0" t="s">
        <v>234</v>
      </c>
      <c r="H7022" s="2" t="s">
        <v>3</v>
      </c>
    </row>
    <row r="7023">
      <c r="A7023" s="0" t="s">
        <v>4</v>
      </c>
      <c r="C7023" s="0" t="s">
        <v>130</v>
      </c>
      <c r="H7023" s="3" t="s">
        <v>6</v>
      </c>
    </row>
    <row r="7024">
      <c r="A7024" s="0" t="s">
        <v>7</v>
      </c>
      <c r="C7024" s="4" t="s">
        <v>205</v>
      </c>
      <c r="H7024" s="2" t="s">
        <v>9</v>
      </c>
    </row>
    <row r="7025">
      <c r="A7025" s="0" t="s">
        <v>10</v>
      </c>
      <c r="C7025" s="4" t="s">
        <v>124</v>
      </c>
      <c r="H7025" s="2" t="s">
        <v>12</v>
      </c>
    </row>
    <row r="7026">
      <c r="A7026" s="0" t="s">
        <v>13</v>
      </c>
      <c r="C7026" s="0" t="s">
        <v>14</v>
      </c>
    </row>
    <row r="7027">
      <c r="A7027" s="0" t="s">
        <v>15</v>
      </c>
      <c r="C7027" s="0" t="s">
        <v>16</v>
      </c>
    </row>
    <row r="7028">
      <c r="A7028" s="0" t="s">
        <v>17</v>
      </c>
      <c r="C7028" s="0" t="s">
        <v>18</v>
      </c>
    </row>
    <row r="7031">
      <c r="A7031" s="5" t="s">
        <v>19</v>
      </c>
      <c r="B7031" s="5" t="s">
        <v>20</v>
      </c>
      <c r="C7031" s="7" t="s">
        <v>21</v>
      </c>
      <c r="D7031" s="9"/>
      <c r="E7031" s="7" t="s">
        <v>22</v>
      </c>
      <c r="F7031" s="9"/>
      <c r="G7031" s="5" t="s">
        <v>23</v>
      </c>
      <c r="H7031" s="5" t="s">
        <v>24</v>
      </c>
      <c r="I7031" s="5" t="s">
        <v>206</v>
      </c>
      <c r="J7031" s="5" t="s">
        <v>125</v>
      </c>
    </row>
    <row r="7032">
      <c r="A7032" s="6"/>
      <c r="B7032" s="6"/>
      <c r="C7032" s="8" t="s">
        <v>27</v>
      </c>
      <c r="D7032" s="8" t="s">
        <v>28</v>
      </c>
      <c r="E7032" s="8" t="s">
        <v>27</v>
      </c>
      <c r="F7032" s="8" t="s">
        <v>28</v>
      </c>
      <c r="G7032" s="6"/>
      <c r="H7032" s="6"/>
      <c r="I7032" s="10" t="s">
        <v>29</v>
      </c>
      <c r="J7032" s="6"/>
    </row>
    <row r="7033">
      <c r="A7033" s="11" t="s">
        <v>30</v>
      </c>
      <c r="B7033" s="12">
        <v>1278.0261</v>
      </c>
      <c r="C7033" s="12">
        <v>78.2457</v>
      </c>
      <c r="D7033" s="13">
        <v>100000</v>
      </c>
      <c r="E7033" s="12">
        <v>0</v>
      </c>
      <c r="F7033" s="14">
        <v>0</v>
      </c>
      <c r="G7033" s="13">
        <v>220498.4055</v>
      </c>
      <c r="H7033" s="14">
        <v>281802717.237384</v>
      </c>
      <c r="I7033" s="14" t="e">
        <f>=Round(2962.89960000,0)</f>
        <v>#VALUE!</v>
      </c>
      <c r="J7033" s="14" t="e">
        <f>=Round(1346.77120000,0)</f>
        <v>#VALUE!</v>
      </c>
    </row>
    <row r="7034">
      <c r="A7034" s="11" t="s">
        <v>31</v>
      </c>
      <c r="B7034" s="12">
        <v>1278.2299</v>
      </c>
      <c r="C7034" s="12">
        <v>0</v>
      </c>
      <c r="D7034" s="13">
        <v>0</v>
      </c>
      <c r="E7034" s="12">
        <v>960.1767</v>
      </c>
      <c r="F7034" s="14">
        <v>1227326.57</v>
      </c>
      <c r="G7034" s="13">
        <v>220576.6512</v>
      </c>
      <c r="H7034" s="14">
        <v>281947670.805711</v>
      </c>
      <c r="I7034" s="14" t="e">
        <f>=Round(2964.31820000,0)</f>
        <v>#VALUE!</v>
      </c>
      <c r="J7034" s="14" t="e">
        <f>=Round(1347.41600000,0)</f>
        <v>#VALUE!</v>
      </c>
    </row>
    <row r="7035">
      <c r="A7035" s="11" t="s">
        <v>32</v>
      </c>
      <c r="B7035" s="12">
        <v>1278.4335</v>
      </c>
      <c r="C7035" s="12">
        <v>1720.8561</v>
      </c>
      <c r="D7035" s="13">
        <v>2200000</v>
      </c>
      <c r="E7035" s="12">
        <v>1634.8371</v>
      </c>
      <c r="F7035" s="14">
        <v>2090030.52</v>
      </c>
      <c r="G7035" s="13">
        <v>219616.4745</v>
      </c>
      <c r="H7035" s="14">
        <v>280765058.152696</v>
      </c>
      <c r="I7035" s="14" t="e">
        <f>=Round(2965.84300000,0)</f>
        <v>#VALUE!</v>
      </c>
      <c r="J7035" s="14" t="e">
        <f>=Round(1348.10910000,0)</f>
        <v>#VALUE!</v>
      </c>
    </row>
    <row r="7036">
      <c r="A7036" s="11" t="s">
        <v>33</v>
      </c>
      <c r="B7036" s="12">
        <v>1278.6325</v>
      </c>
      <c r="C7036" s="12">
        <v>1999.4017</v>
      </c>
      <c r="D7036" s="13">
        <v>2556500</v>
      </c>
      <c r="E7036" s="12">
        <v>816.6153</v>
      </c>
      <c r="F7036" s="14">
        <v>1044150.86</v>
      </c>
      <c r="G7036" s="13">
        <v>219702.4935</v>
      </c>
      <c r="H7036" s="14">
        <v>280918748.520139</v>
      </c>
      <c r="I7036" s="14" t="e">
        <f>=Round(2953.40290000,0)</f>
        <v>#VALUE!</v>
      </c>
      <c r="J7036" s="14" t="e">
        <f>=Round(1342.45450000,0)</f>
        <v>#VALUE!</v>
      </c>
    </row>
    <row r="7037">
      <c r="A7037" s="11" t="s">
        <v>34</v>
      </c>
      <c r="B7037" s="12">
        <v>1278.837</v>
      </c>
      <c r="C7037" s="12">
        <v>234.5881</v>
      </c>
      <c r="D7037" s="13">
        <v>300000</v>
      </c>
      <c r="E7037" s="12">
        <v>0</v>
      </c>
      <c r="F7037" s="14">
        <v>0</v>
      </c>
      <c r="G7037" s="13">
        <v>220885.2799</v>
      </c>
      <c r="H7037" s="14">
        <v>282476268.691476</v>
      </c>
      <c r="I7037" s="14" t="e">
        <f>=Round(2955.01960000,0)</f>
        <v>#VALUE!</v>
      </c>
      <c r="J7037" s="14" t="e">
        <f>=Round(1343.18940000,0)</f>
        <v>#VALUE!</v>
      </c>
    </row>
    <row r="7038">
      <c r="A7038" s="11" t="s">
        <v>35</v>
      </c>
      <c r="B7038" s="12">
        <v>1278.837</v>
      </c>
      <c r="C7038" s="12">
        <v>0</v>
      </c>
      <c r="D7038" s="13">
        <v>0</v>
      </c>
      <c r="E7038" s="12">
        <v>0</v>
      </c>
      <c r="F7038" s="14">
        <v>0</v>
      </c>
      <c r="G7038" s="13">
        <v>220885.2799</v>
      </c>
      <c r="H7038" s="14">
        <v>282476268.691476</v>
      </c>
      <c r="I7038" s="14" t="e">
        <f>=Round(2971.40340000,0)</f>
        <v>#VALUE!</v>
      </c>
      <c r="J7038" s="14" t="e">
        <f>=Round(1350.63650000,0)</f>
        <v>#VALUE!</v>
      </c>
    </row>
    <row r="7039">
      <c r="A7039" s="11" t="s">
        <v>36</v>
      </c>
      <c r="B7039" s="12">
        <v>1278.837</v>
      </c>
      <c r="C7039" s="12">
        <v>0</v>
      </c>
      <c r="D7039" s="13">
        <v>0</v>
      </c>
      <c r="E7039" s="12">
        <v>0</v>
      </c>
      <c r="F7039" s="14">
        <v>0</v>
      </c>
      <c r="G7039" s="13">
        <v>220885.2799</v>
      </c>
      <c r="H7039" s="14">
        <v>282476268.691476</v>
      </c>
      <c r="I7039" s="14" t="e">
        <f>=Round(2971.40340000,0)</f>
        <v>#VALUE!</v>
      </c>
      <c r="J7039" s="14" t="e">
        <f>=Round(1350.63650000,0)</f>
        <v>#VALUE!</v>
      </c>
    </row>
    <row r="7040">
      <c r="A7040" s="11" t="s">
        <v>37</v>
      </c>
      <c r="B7040" s="12">
        <v>1279.4503</v>
      </c>
      <c r="C7040" s="12">
        <v>39860.8684</v>
      </c>
      <c r="D7040" s="13">
        <v>51000000</v>
      </c>
      <c r="E7040" s="12">
        <v>562.7197</v>
      </c>
      <c r="F7040" s="14">
        <v>719971.89</v>
      </c>
      <c r="G7040" s="13">
        <v>221119.868</v>
      </c>
      <c r="H7040" s="14">
        <v>282911881.44856</v>
      </c>
      <c r="I7040" s="14" t="e">
        <f>=Round(2971.40340000,0)</f>
        <v>#VALUE!</v>
      </c>
      <c r="J7040" s="14" t="e">
        <f>=Round(1350.63650000,0)</f>
        <v>#VALUE!</v>
      </c>
    </row>
    <row r="7041">
      <c r="A7041" s="11" t="s">
        <v>38</v>
      </c>
      <c r="B7041" s="12">
        <v>1279.6545</v>
      </c>
      <c r="C7041" s="12">
        <v>0</v>
      </c>
      <c r="D7041" s="13">
        <v>0</v>
      </c>
      <c r="E7041" s="12">
        <v>0</v>
      </c>
      <c r="F7041" s="14">
        <v>0</v>
      </c>
      <c r="G7041" s="13">
        <v>260418.0167</v>
      </c>
      <c r="H7041" s="14">
        <v>333245086.95123</v>
      </c>
      <c r="I7041" s="14" t="e">
        <f>=Round(2975.98560000,0)</f>
        <v>#VALUE!</v>
      </c>
      <c r="J7041" s="14" t="e">
        <f>=Round(1352.71940000,0)</f>
        <v>#VALUE!</v>
      </c>
    </row>
    <row r="7042">
      <c r="A7042" s="11" t="s">
        <v>39</v>
      </c>
      <c r="B7042" s="12">
        <v>1279.8598</v>
      </c>
      <c r="C7042" s="12">
        <v>468.8014</v>
      </c>
      <c r="D7042" s="13">
        <v>600000</v>
      </c>
      <c r="E7042" s="12">
        <v>0</v>
      </c>
      <c r="F7042" s="14">
        <v>0</v>
      </c>
      <c r="G7042" s="13">
        <v>260418.0167</v>
      </c>
      <c r="H7042" s="14">
        <v>333298550.770059</v>
      </c>
      <c r="I7042" s="14" t="e">
        <f>=Round(3505.44700000,0)</f>
        <v>#VALUE!</v>
      </c>
      <c r="J7042" s="14" t="e">
        <f>=Round(1593.38340000,0)</f>
        <v>#VALUE!</v>
      </c>
    </row>
    <row r="7043">
      <c r="A7043" s="11" t="s">
        <v>40</v>
      </c>
      <c r="B7043" s="12">
        <v>1280.0644</v>
      </c>
      <c r="C7043" s="12">
        <v>4667.7339</v>
      </c>
      <c r="D7043" s="13">
        <v>5975000</v>
      </c>
      <c r="E7043" s="12">
        <v>0</v>
      </c>
      <c r="F7043" s="14">
        <v>0</v>
      </c>
      <c r="G7043" s="13">
        <v>260886.8181</v>
      </c>
      <c r="H7043" s="14">
        <v>333951928.279086</v>
      </c>
      <c r="I7043" s="14" t="e">
        <f>=Round(3506.00930000,0)</f>
        <v>#VALUE!</v>
      </c>
      <c r="J7043" s="14" t="e">
        <f>=Round(1593.63900000,0)</f>
        <v>#VALUE!</v>
      </c>
    </row>
    <row r="7044">
      <c r="A7044" s="11" t="s">
        <v>41</v>
      </c>
      <c r="B7044" s="12">
        <v>1280.2685</v>
      </c>
      <c r="C7044" s="12">
        <v>702.9775</v>
      </c>
      <c r="D7044" s="13">
        <v>900000</v>
      </c>
      <c r="E7044" s="12">
        <v>0</v>
      </c>
      <c r="F7044" s="14">
        <v>0</v>
      </c>
      <c r="G7044" s="13">
        <v>265554.552</v>
      </c>
      <c r="H7044" s="14">
        <v>339981127.957212</v>
      </c>
      <c r="I7044" s="14" t="e">
        <f>=Round(3512.88230000,0)</f>
        <v>#VALUE!</v>
      </c>
      <c r="J7044" s="14" t="e">
        <f>=Round(1596.76310000,0)</f>
        <v>#VALUE!</v>
      </c>
    </row>
    <row r="7045">
      <c r="A7045" s="11" t="s">
        <v>42</v>
      </c>
      <c r="B7045" s="12">
        <v>1280.2685</v>
      </c>
      <c r="C7045" s="12">
        <v>0</v>
      </c>
      <c r="D7045" s="13">
        <v>0</v>
      </c>
      <c r="E7045" s="12">
        <v>0</v>
      </c>
      <c r="F7045" s="14">
        <v>0</v>
      </c>
      <c r="G7045" s="13">
        <v>265554.552</v>
      </c>
      <c r="H7045" s="14">
        <v>339981127.957212</v>
      </c>
      <c r="I7045" s="14" t="e">
        <f>=Round(3576.30420000,0)</f>
        <v>#VALUE!</v>
      </c>
      <c r="J7045" s="14" t="e">
        <f>=Round(1625.59120000,0)</f>
        <v>#VALUE!</v>
      </c>
    </row>
    <row r="7046">
      <c r="A7046" s="11" t="s">
        <v>43</v>
      </c>
      <c r="B7046" s="12">
        <v>1280.2685</v>
      </c>
      <c r="C7046" s="12">
        <v>0</v>
      </c>
      <c r="D7046" s="13">
        <v>0</v>
      </c>
      <c r="E7046" s="12">
        <v>0</v>
      </c>
      <c r="F7046" s="14">
        <v>0</v>
      </c>
      <c r="G7046" s="13">
        <v>265554.552</v>
      </c>
      <c r="H7046" s="14">
        <v>339981127.957212</v>
      </c>
      <c r="I7046" s="14" t="e">
        <f>=Round(3576.30420000,0)</f>
        <v>#VALUE!</v>
      </c>
      <c r="J7046" s="14" t="e">
        <f>=Round(1625.59120000,0)</f>
        <v>#VALUE!</v>
      </c>
    </row>
    <row r="7047">
      <c r="A7047" s="11" t="s">
        <v>44</v>
      </c>
      <c r="B7047" s="12">
        <v>1280.8839</v>
      </c>
      <c r="C7047" s="12">
        <v>2232.8331</v>
      </c>
      <c r="D7047" s="13">
        <v>2860000</v>
      </c>
      <c r="E7047" s="12">
        <v>0</v>
      </c>
      <c r="F7047" s="14">
        <v>0</v>
      </c>
      <c r="G7047" s="13">
        <v>266257.5295</v>
      </c>
      <c r="H7047" s="14">
        <v>341044982.790325</v>
      </c>
      <c r="I7047" s="14" t="e">
        <f>=Round(3576.30420000,0)</f>
        <v>#VALUE!</v>
      </c>
      <c r="J7047" s="14" t="e">
        <f>=Round(1625.59120000,0)</f>
        <v>#VALUE!</v>
      </c>
    </row>
    <row r="7048">
      <c r="A7048" s="11" t="s">
        <v>45</v>
      </c>
      <c r="B7048" s="12">
        <v>1281.0899</v>
      </c>
      <c r="C7048" s="12">
        <v>0</v>
      </c>
      <c r="D7048" s="13">
        <v>0</v>
      </c>
      <c r="E7048" s="12">
        <v>0</v>
      </c>
      <c r="F7048" s="14">
        <v>0</v>
      </c>
      <c r="G7048" s="13">
        <v>268490.3626</v>
      </c>
      <c r="H7048" s="14">
        <v>343960291.774198</v>
      </c>
      <c r="I7048" s="14" t="e">
        <f>=Round(3587.49500000,0)</f>
        <v>#VALUE!</v>
      </c>
      <c r="J7048" s="14" t="e">
        <f>=Round(1630.67790000,0)</f>
        <v>#VALUE!</v>
      </c>
    </row>
    <row r="7049">
      <c r="A7049" s="11" t="s">
        <v>46</v>
      </c>
      <c r="B7049" s="12">
        <v>1281.2941</v>
      </c>
      <c r="C7049" s="12">
        <v>0</v>
      </c>
      <c r="D7049" s="13">
        <v>0</v>
      </c>
      <c r="E7049" s="12">
        <v>0</v>
      </c>
      <c r="F7049" s="14">
        <v>0</v>
      </c>
      <c r="G7049" s="13">
        <v>268490.3626</v>
      </c>
      <c r="H7049" s="14">
        <v>344015117.506241</v>
      </c>
      <c r="I7049" s="14" t="e">
        <f>=Round(3618.16150000,0)</f>
        <v>#VALUE!</v>
      </c>
      <c r="J7049" s="14" t="e">
        <f>=Round(1644.61720000,0)</f>
        <v>#VALUE!</v>
      </c>
    </row>
    <row r="7050">
      <c r="A7050" s="11" t="s">
        <v>47</v>
      </c>
      <c r="B7050" s="12">
        <v>1281.4992</v>
      </c>
      <c r="C7050" s="12">
        <v>0</v>
      </c>
      <c r="D7050" s="13">
        <v>0</v>
      </c>
      <c r="E7050" s="12">
        <v>79.4774</v>
      </c>
      <c r="F7050" s="14">
        <v>101850.22</v>
      </c>
      <c r="G7050" s="13">
        <v>268490.3626</v>
      </c>
      <c r="H7050" s="14">
        <v>344070184.87961</v>
      </c>
      <c r="I7050" s="14" t="e">
        <f>=Round(3618.73830000,0)</f>
        <v>#VALUE!</v>
      </c>
      <c r="J7050" s="14" t="e">
        <f>=Round(1644.87940000,0)</f>
        <v>#VALUE!</v>
      </c>
    </row>
    <row r="7051">
      <c r="A7051" s="11" t="s">
        <v>48</v>
      </c>
      <c r="B7051" s="12">
        <v>1281.706</v>
      </c>
      <c r="C7051" s="12">
        <v>0</v>
      </c>
      <c r="D7051" s="13">
        <v>0</v>
      </c>
      <c r="E7051" s="12">
        <v>0</v>
      </c>
      <c r="F7051" s="14">
        <v>0</v>
      </c>
      <c r="G7051" s="13">
        <v>268410.8852</v>
      </c>
      <c r="H7051" s="14">
        <v>344023842.026151</v>
      </c>
      <c r="I7051" s="14" t="e">
        <f>=Round(3619.31750000,0)</f>
        <v>#VALUE!</v>
      </c>
      <c r="J7051" s="14" t="e">
        <f>=Round(1645.14270000,0)</f>
        <v>#VALUE!</v>
      </c>
    </row>
    <row r="7052">
      <c r="A7052" s="11" t="s">
        <v>49</v>
      </c>
      <c r="B7052" s="12">
        <v>1281.706</v>
      </c>
      <c r="C7052" s="12">
        <v>0</v>
      </c>
      <c r="D7052" s="13">
        <v>0</v>
      </c>
      <c r="E7052" s="12">
        <v>0</v>
      </c>
      <c r="F7052" s="14">
        <v>0</v>
      </c>
      <c r="G7052" s="13">
        <v>268410.8852</v>
      </c>
      <c r="H7052" s="14">
        <v>344023842.026151</v>
      </c>
      <c r="I7052" s="14" t="e">
        <f>=Round(3618.83000000,0)</f>
        <v>#VALUE!</v>
      </c>
      <c r="J7052" s="14" t="e">
        <f>=Round(1644.92110000,0)</f>
        <v>#VALUE!</v>
      </c>
    </row>
    <row r="7053">
      <c r="A7053" s="11" t="s">
        <v>50</v>
      </c>
      <c r="B7053" s="12">
        <v>1281.706</v>
      </c>
      <c r="C7053" s="12">
        <v>0</v>
      </c>
      <c r="D7053" s="13">
        <v>0</v>
      </c>
      <c r="E7053" s="12">
        <v>0</v>
      </c>
      <c r="F7053" s="14">
        <v>0</v>
      </c>
      <c r="G7053" s="13">
        <v>268410.8852</v>
      </c>
      <c r="H7053" s="14">
        <v>344023842.026151</v>
      </c>
      <c r="I7053" s="14" t="e">
        <f>=Round(3618.83000000,0)</f>
        <v>#VALUE!</v>
      </c>
      <c r="J7053" s="14" t="e">
        <f>=Round(1644.92110000,0)</f>
        <v>#VALUE!</v>
      </c>
    </row>
    <row r="7054">
      <c r="A7054" s="11" t="s">
        <v>51</v>
      </c>
      <c r="B7054" s="12">
        <v>1282.3206</v>
      </c>
      <c r="C7054" s="12">
        <v>7852.9503</v>
      </c>
      <c r="D7054" s="13">
        <v>10070000</v>
      </c>
      <c r="E7054" s="12">
        <v>0</v>
      </c>
      <c r="F7054" s="14">
        <v>0</v>
      </c>
      <c r="G7054" s="13">
        <v>268410.8852</v>
      </c>
      <c r="H7054" s="14">
        <v>344188807.356195</v>
      </c>
      <c r="I7054" s="14" t="e">
        <f>=Round(3618.83000000,0)</f>
        <v>#VALUE!</v>
      </c>
      <c r="J7054" s="14" t="e">
        <f>=Round(1644.92110000,0)</f>
        <v>#VALUE!</v>
      </c>
    </row>
    <row r="7055">
      <c r="A7055" s="11" t="s">
        <v>52</v>
      </c>
      <c r="B7055" s="12">
        <v>1282.524</v>
      </c>
      <c r="C7055" s="12">
        <v>38985.6252</v>
      </c>
      <c r="D7055" s="13">
        <v>50000000</v>
      </c>
      <c r="E7055" s="12">
        <v>0</v>
      </c>
      <c r="F7055" s="14">
        <v>0</v>
      </c>
      <c r="G7055" s="13">
        <v>276263.8355</v>
      </c>
      <c r="H7055" s="14">
        <v>354314999.360802</v>
      </c>
      <c r="I7055" s="14" t="e">
        <f>=Round(3620.56530000,0)</f>
        <v>#VALUE!</v>
      </c>
      <c r="J7055" s="14" t="e">
        <f>=Round(1645.70990000,0)</f>
        <v>#VALUE!</v>
      </c>
    </row>
    <row r="7056">
      <c r="A7056" s="11" t="s">
        <v>53</v>
      </c>
      <c r="B7056" s="12">
        <v>1282.7292</v>
      </c>
      <c r="C7056" s="12">
        <v>0</v>
      </c>
      <c r="D7056" s="13">
        <v>0</v>
      </c>
      <c r="E7056" s="12">
        <v>0</v>
      </c>
      <c r="F7056" s="14">
        <v>0</v>
      </c>
      <c r="G7056" s="13">
        <v>315249.4607</v>
      </c>
      <c r="H7056" s="14">
        <v>404379688.524142</v>
      </c>
      <c r="I7056" s="14" t="e">
        <f>=Round(3727.08400000,0)</f>
        <v>#VALUE!</v>
      </c>
      <c r="J7056" s="14" t="e">
        <f>=Round(1694.12740000,0)</f>
        <v>#VALUE!</v>
      </c>
    </row>
    <row r="7057">
      <c r="A7057" s="11" t="s">
        <v>54</v>
      </c>
      <c r="B7057" s="12">
        <v>1282.9343</v>
      </c>
      <c r="C7057" s="12">
        <v>175.38</v>
      </c>
      <c r="D7057" s="13">
        <v>225001</v>
      </c>
      <c r="E7057" s="12">
        <v>0</v>
      </c>
      <c r="F7057" s="14">
        <v>0</v>
      </c>
      <c r="G7057" s="13">
        <v>315249.4607</v>
      </c>
      <c r="H7057" s="14">
        <v>404444346.188532</v>
      </c>
      <c r="I7057" s="14" t="e">
        <f>=Round(4253.72080000,0)</f>
        <v>#VALUE!</v>
      </c>
      <c r="J7057" s="14" t="e">
        <f>=Round(1933.50750000,0)</f>
        <v>#VALUE!</v>
      </c>
    </row>
    <row r="7058">
      <c r="A7058" s="11" t="s">
        <v>55</v>
      </c>
      <c r="B7058" s="12">
        <v>1283.1158</v>
      </c>
      <c r="C7058" s="12">
        <v>7988.3671</v>
      </c>
      <c r="D7058" s="13">
        <v>10250000</v>
      </c>
      <c r="E7058" s="12">
        <v>0.0001</v>
      </c>
      <c r="F7058" s="14">
        <v>0</v>
      </c>
      <c r="G7058" s="13">
        <v>315424.8407</v>
      </c>
      <c r="H7058" s="14">
        <v>404726596.814653</v>
      </c>
      <c r="I7058" s="14" t="e">
        <f>=Round(4254.40090000,0)</f>
        <v>#VALUE!</v>
      </c>
      <c r="J7058" s="14" t="e">
        <f>=Round(1933.81670000,0)</f>
        <v>#VALUE!</v>
      </c>
    </row>
    <row r="7059" ht="-1">
      <c r="A7059" s="15"/>
      <c r="B7059" s="16" t="s">
        <v>56</v>
      </c>
      <c r="C7059" s="15"/>
      <c r="D7059" s="15"/>
      <c r="E7059" s="15"/>
      <c r="F7059" s="15"/>
      <c r="G7059" s="15"/>
      <c r="H7059" s="15"/>
      <c r="I7059" s="17" t="e">
        <f>=Round(SUM(I7033:I7058),0)</f>
        <v>#VALUE!</v>
      </c>
      <c r="J7059" s="17" t="e">
        <f>=Round(SUM(J7033:J7058),0)</f>
        <v>#VALUE!</v>
      </c>
    </row>
    <row r="7060">
      <c r="A7060" s="1" t="s">
        <v>0</v>
      </c>
      <c r="B7060" s="1"/>
      <c r="C7060" s="1"/>
      <c r="D7060" s="1"/>
    </row>
    <row r="7061">
      <c r="A7061" s="0" t="s">
        <v>1</v>
      </c>
      <c r="C7061" s="0" t="s">
        <v>234</v>
      </c>
      <c r="H7061" s="2" t="s">
        <v>3</v>
      </c>
    </row>
    <row r="7062">
      <c r="A7062" s="0" t="s">
        <v>4</v>
      </c>
      <c r="C7062" s="0" t="s">
        <v>131</v>
      </c>
      <c r="H7062" s="3" t="s">
        <v>6</v>
      </c>
    </row>
    <row r="7063">
      <c r="A7063" s="0" t="s">
        <v>7</v>
      </c>
      <c r="C7063" s="4" t="s">
        <v>205</v>
      </c>
      <c r="H7063" s="2" t="s">
        <v>9</v>
      </c>
    </row>
    <row r="7064">
      <c r="A7064" s="0" t="s">
        <v>10</v>
      </c>
      <c r="C7064" s="4" t="s">
        <v>11</v>
      </c>
      <c r="H7064" s="2" t="s">
        <v>12</v>
      </c>
    </row>
    <row r="7065">
      <c r="A7065" s="0" t="s">
        <v>13</v>
      </c>
      <c r="C7065" s="0" t="s">
        <v>14</v>
      </c>
    </row>
    <row r="7066">
      <c r="A7066" s="0" t="s">
        <v>15</v>
      </c>
      <c r="C7066" s="0" t="s">
        <v>16</v>
      </c>
    </row>
    <row r="7067">
      <c r="A7067" s="0" t="s">
        <v>17</v>
      </c>
      <c r="C7067" s="0" t="s">
        <v>18</v>
      </c>
    </row>
    <row r="7070">
      <c r="A7070" s="5" t="s">
        <v>19</v>
      </c>
      <c r="B7070" s="5" t="s">
        <v>20</v>
      </c>
      <c r="C7070" s="7" t="s">
        <v>21</v>
      </c>
      <c r="D7070" s="9"/>
      <c r="E7070" s="7" t="s">
        <v>22</v>
      </c>
      <c r="F7070" s="9"/>
      <c r="G7070" s="5" t="s">
        <v>23</v>
      </c>
      <c r="H7070" s="5" t="s">
        <v>24</v>
      </c>
      <c r="I7070" s="5" t="s">
        <v>206</v>
      </c>
      <c r="J7070" s="5" t="s">
        <v>26</v>
      </c>
    </row>
    <row r="7071">
      <c r="A7071" s="6"/>
      <c r="B7071" s="6"/>
      <c r="C7071" s="8" t="s">
        <v>27</v>
      </c>
      <c r="D7071" s="8" t="s">
        <v>28</v>
      </c>
      <c r="E7071" s="8" t="s">
        <v>27</v>
      </c>
      <c r="F7071" s="8" t="s">
        <v>28</v>
      </c>
      <c r="G7071" s="6"/>
      <c r="H7071" s="6"/>
      <c r="I7071" s="10" t="s">
        <v>29</v>
      </c>
      <c r="J7071" s="6"/>
    </row>
    <row r="7072">
      <c r="A7072" s="11" t="s">
        <v>30</v>
      </c>
      <c r="B7072" s="12">
        <v>1278.0261</v>
      </c>
      <c r="C7072" s="12">
        <v>0</v>
      </c>
      <c r="D7072" s="13">
        <v>0</v>
      </c>
      <c r="E7072" s="12">
        <v>0</v>
      </c>
      <c r="F7072" s="14">
        <v>0</v>
      </c>
      <c r="G7072" s="13">
        <v>7829560.49</v>
      </c>
      <c r="H7072" s="14">
        <v>10006382657.748789</v>
      </c>
      <c r="I7072" s="14" t="e">
        <f>=Round(105208.02540000,0)</f>
        <v>#VALUE!</v>
      </c>
      <c r="J7072" s="14" t="e">
        <f>=Round(0.00000000,0)</f>
        <v>#VALUE!</v>
      </c>
    </row>
    <row r="7073">
      <c r="A7073" s="11" t="s">
        <v>31</v>
      </c>
      <c r="B7073" s="12">
        <v>1278.2299</v>
      </c>
      <c r="C7073" s="12">
        <v>0</v>
      </c>
      <c r="D7073" s="13">
        <v>0</v>
      </c>
      <c r="E7073" s="12">
        <v>0</v>
      </c>
      <c r="F7073" s="14">
        <v>0</v>
      </c>
      <c r="G7073" s="13">
        <v>7829560.49</v>
      </c>
      <c r="H7073" s="14">
        <v>10007978322.176653</v>
      </c>
      <c r="I7073" s="14" t="e">
        <f>=Round(105258.39680000,0)</f>
        <v>#VALUE!</v>
      </c>
      <c r="J7073" s="14" t="e">
        <f>=Round(0.00000000,0)</f>
        <v>#VALUE!</v>
      </c>
    </row>
    <row r="7074">
      <c r="A7074" s="11" t="s">
        <v>32</v>
      </c>
      <c r="B7074" s="12">
        <v>1278.4335</v>
      </c>
      <c r="C7074" s="12">
        <v>0</v>
      </c>
      <c r="D7074" s="13">
        <v>0</v>
      </c>
      <c r="E7074" s="12">
        <v>0</v>
      </c>
      <c r="F7074" s="14">
        <v>0</v>
      </c>
      <c r="G7074" s="13">
        <v>7829560.49</v>
      </c>
      <c r="H7074" s="14">
        <v>10009572420.692415</v>
      </c>
      <c r="I7074" s="14" t="e">
        <f>=Round(105275.18180000,0)</f>
        <v>#VALUE!</v>
      </c>
      <c r="J7074" s="14" t="e">
        <f>=Round(0.00000000,0)</f>
        <v>#VALUE!</v>
      </c>
    </row>
    <row r="7075">
      <c r="A7075" s="11" t="s">
        <v>33</v>
      </c>
      <c r="B7075" s="12">
        <v>1278.6325</v>
      </c>
      <c r="C7075" s="12">
        <v>0</v>
      </c>
      <c r="D7075" s="13">
        <v>0</v>
      </c>
      <c r="E7075" s="12">
        <v>0</v>
      </c>
      <c r="F7075" s="14">
        <v>0</v>
      </c>
      <c r="G7075" s="13">
        <v>7829560.49</v>
      </c>
      <c r="H7075" s="14">
        <v>10011130503.229923</v>
      </c>
      <c r="I7075" s="14" t="e">
        <f>=Round(105291.95030000,0)</f>
        <v>#VALUE!</v>
      </c>
      <c r="J7075" s="14" t="e">
        <f>=Round(0.00000000,0)</f>
        <v>#VALUE!</v>
      </c>
    </row>
    <row r="7076">
      <c r="A7076" s="11" t="s">
        <v>34</v>
      </c>
      <c r="B7076" s="12">
        <v>1278.837</v>
      </c>
      <c r="C7076" s="12">
        <v>0</v>
      </c>
      <c r="D7076" s="13">
        <v>0</v>
      </c>
      <c r="E7076" s="12">
        <v>0</v>
      </c>
      <c r="F7076" s="14">
        <v>0</v>
      </c>
      <c r="G7076" s="13">
        <v>7829560.49</v>
      </c>
      <c r="H7076" s="14">
        <v>10012731648.35013</v>
      </c>
      <c r="I7076" s="14" t="e">
        <f>=Round(105308.34000000,0)</f>
        <v>#VALUE!</v>
      </c>
      <c r="J7076" s="14" t="e">
        <f>=Round(0.00000000,0)</f>
        <v>#VALUE!</v>
      </c>
    </row>
    <row r="7077">
      <c r="A7077" s="11" t="s">
        <v>35</v>
      </c>
      <c r="B7077" s="12">
        <v>1278.837</v>
      </c>
      <c r="C7077" s="12">
        <v>0</v>
      </c>
      <c r="D7077" s="13">
        <v>0</v>
      </c>
      <c r="E7077" s="12">
        <v>0</v>
      </c>
      <c r="F7077" s="14">
        <v>0</v>
      </c>
      <c r="G7077" s="13">
        <v>7829560.49</v>
      </c>
      <c r="H7077" s="14">
        <v>10012731648.35013</v>
      </c>
      <c r="I7077" s="14" t="e">
        <f>=Round(105325.18260000,0)</f>
        <v>#VALUE!</v>
      </c>
      <c r="J7077" s="14" t="e">
        <f>=Round(0.00000000,0)</f>
        <v>#VALUE!</v>
      </c>
    </row>
    <row r="7078">
      <c r="A7078" s="11" t="s">
        <v>36</v>
      </c>
      <c r="B7078" s="12">
        <v>1278.837</v>
      </c>
      <c r="C7078" s="12">
        <v>0</v>
      </c>
      <c r="D7078" s="13">
        <v>0</v>
      </c>
      <c r="E7078" s="12">
        <v>0</v>
      </c>
      <c r="F7078" s="14">
        <v>0</v>
      </c>
      <c r="G7078" s="13">
        <v>7829560.49</v>
      </c>
      <c r="H7078" s="14">
        <v>10012731648.35013</v>
      </c>
      <c r="I7078" s="14" t="e">
        <f>=Round(105325.18260000,0)</f>
        <v>#VALUE!</v>
      </c>
      <c r="J7078" s="14" t="e">
        <f>=Round(0.00000000,0)</f>
        <v>#VALUE!</v>
      </c>
    </row>
    <row r="7079">
      <c r="A7079" s="11" t="s">
        <v>37</v>
      </c>
      <c r="B7079" s="12">
        <v>1279.4503</v>
      </c>
      <c r="C7079" s="12">
        <v>0</v>
      </c>
      <c r="D7079" s="13">
        <v>0</v>
      </c>
      <c r="E7079" s="12">
        <v>0</v>
      </c>
      <c r="F7079" s="14">
        <v>0</v>
      </c>
      <c r="G7079" s="13">
        <v>7829560.49</v>
      </c>
      <c r="H7079" s="14">
        <v>10017533517.798649</v>
      </c>
      <c r="I7079" s="14" t="e">
        <f>=Round(105325.18260000,0)</f>
        <v>#VALUE!</v>
      </c>
      <c r="J7079" s="14" t="e">
        <f>=Round(0.00000000,0)</f>
        <v>#VALUE!</v>
      </c>
    </row>
    <row r="7080">
      <c r="A7080" s="11" t="s">
        <v>38</v>
      </c>
      <c r="B7080" s="12">
        <v>1279.6545</v>
      </c>
      <c r="C7080" s="12">
        <v>0</v>
      </c>
      <c r="D7080" s="13">
        <v>0</v>
      </c>
      <c r="E7080" s="12">
        <v>0</v>
      </c>
      <c r="F7080" s="14">
        <v>0</v>
      </c>
      <c r="G7080" s="13">
        <v>7829560.49</v>
      </c>
      <c r="H7080" s="14">
        <v>10019132314.050703</v>
      </c>
      <c r="I7080" s="14" t="e">
        <f>=Round(105375.69410000,0)</f>
        <v>#VALUE!</v>
      </c>
      <c r="J7080" s="14" t="e">
        <f>=Round(0.00000000,0)</f>
        <v>#VALUE!</v>
      </c>
    </row>
    <row r="7081">
      <c r="A7081" s="11" t="s">
        <v>39</v>
      </c>
      <c r="B7081" s="12">
        <v>1279.8598</v>
      </c>
      <c r="C7081" s="12">
        <v>0</v>
      </c>
      <c r="D7081" s="13">
        <v>0</v>
      </c>
      <c r="E7081" s="12">
        <v>0</v>
      </c>
      <c r="F7081" s="14">
        <v>0</v>
      </c>
      <c r="G7081" s="13">
        <v>7829560.49</v>
      </c>
      <c r="H7081" s="14">
        <v>10020739722.819302</v>
      </c>
      <c r="I7081" s="14" t="e">
        <f>=Round(105392.51200000,0)</f>
        <v>#VALUE!</v>
      </c>
      <c r="J7081" s="14" t="e">
        <f>=Round(0.00000000,0)</f>
        <v>#VALUE!</v>
      </c>
    </row>
    <row r="7082">
      <c r="A7082" s="11" t="s">
        <v>40</v>
      </c>
      <c r="B7082" s="12">
        <v>1280.0644</v>
      </c>
      <c r="C7082" s="12">
        <v>0</v>
      </c>
      <c r="D7082" s="13">
        <v>0</v>
      </c>
      <c r="E7082" s="12">
        <v>0</v>
      </c>
      <c r="F7082" s="14">
        <v>0</v>
      </c>
      <c r="G7082" s="13">
        <v>7829560.49</v>
      </c>
      <c r="H7082" s="14">
        <v>10022341650.895556</v>
      </c>
      <c r="I7082" s="14" t="e">
        <f>=Round(105409.42060000,0)</f>
        <v>#VALUE!</v>
      </c>
      <c r="J7082" s="14" t="e">
        <f>=Round(0.00000000,0)</f>
        <v>#VALUE!</v>
      </c>
    </row>
    <row r="7083">
      <c r="A7083" s="11" t="s">
        <v>41</v>
      </c>
      <c r="B7083" s="12">
        <v>1280.2685</v>
      </c>
      <c r="C7083" s="12">
        <v>0</v>
      </c>
      <c r="D7083" s="13">
        <v>0</v>
      </c>
      <c r="E7083" s="12">
        <v>0</v>
      </c>
      <c r="F7083" s="14">
        <v>0</v>
      </c>
      <c r="G7083" s="13">
        <v>7829560.49</v>
      </c>
      <c r="H7083" s="14">
        <v>10023939664.191565</v>
      </c>
      <c r="I7083" s="14" t="e">
        <f>=Round(105426.27150000,0)</f>
        <v>#VALUE!</v>
      </c>
      <c r="J7083" s="14" t="e">
        <f>=Round(0.00000000,0)</f>
        <v>#VALUE!</v>
      </c>
    </row>
    <row r="7084">
      <c r="A7084" s="11" t="s">
        <v>42</v>
      </c>
      <c r="B7084" s="12">
        <v>1280.2685</v>
      </c>
      <c r="C7084" s="12">
        <v>0</v>
      </c>
      <c r="D7084" s="13">
        <v>0</v>
      </c>
      <c r="E7084" s="12">
        <v>0</v>
      </c>
      <c r="F7084" s="14">
        <v>0</v>
      </c>
      <c r="G7084" s="13">
        <v>7829560.49</v>
      </c>
      <c r="H7084" s="14">
        <v>10023939664.191565</v>
      </c>
      <c r="I7084" s="14" t="e">
        <f>=Round(105443.08120000,0)</f>
        <v>#VALUE!</v>
      </c>
      <c r="J7084" s="14" t="e">
        <f>=Round(0.00000000,0)</f>
        <v>#VALUE!</v>
      </c>
    </row>
    <row r="7085">
      <c r="A7085" s="11" t="s">
        <v>43</v>
      </c>
      <c r="B7085" s="12">
        <v>1280.2685</v>
      </c>
      <c r="C7085" s="12">
        <v>0</v>
      </c>
      <c r="D7085" s="13">
        <v>0</v>
      </c>
      <c r="E7085" s="12">
        <v>0</v>
      </c>
      <c r="F7085" s="14">
        <v>0</v>
      </c>
      <c r="G7085" s="13">
        <v>7829560.49</v>
      </c>
      <c r="H7085" s="14">
        <v>10023939664.191565</v>
      </c>
      <c r="I7085" s="14" t="e">
        <f>=Round(105443.08120000,0)</f>
        <v>#VALUE!</v>
      </c>
      <c r="J7085" s="14" t="e">
        <f>=Round(0.00000000,0)</f>
        <v>#VALUE!</v>
      </c>
    </row>
    <row r="7086">
      <c r="A7086" s="11" t="s">
        <v>44</v>
      </c>
      <c r="B7086" s="12">
        <v>1280.8839</v>
      </c>
      <c r="C7086" s="12">
        <v>0</v>
      </c>
      <c r="D7086" s="13">
        <v>0</v>
      </c>
      <c r="E7086" s="12">
        <v>0</v>
      </c>
      <c r="F7086" s="14">
        <v>0</v>
      </c>
      <c r="G7086" s="13">
        <v>7829560.49</v>
      </c>
      <c r="H7086" s="14">
        <v>10028757975.717112</v>
      </c>
      <c r="I7086" s="14" t="e">
        <f>=Round(105443.08120000,0)</f>
        <v>#VALUE!</v>
      </c>
      <c r="J7086" s="14" t="e">
        <f>=Round(0.00000000,0)</f>
        <v>#VALUE!</v>
      </c>
    </row>
    <row r="7087">
      <c r="A7087" s="11" t="s">
        <v>45</v>
      </c>
      <c r="B7087" s="12">
        <v>1281.0899</v>
      </c>
      <c r="C7087" s="12">
        <v>0</v>
      </c>
      <c r="D7087" s="13">
        <v>0</v>
      </c>
      <c r="E7087" s="12">
        <v>0</v>
      </c>
      <c r="F7087" s="14">
        <v>0</v>
      </c>
      <c r="G7087" s="13">
        <v>7829560.49</v>
      </c>
      <c r="H7087" s="14">
        <v>10030370865.178053</v>
      </c>
      <c r="I7087" s="14" t="e">
        <f>=Round(105493.76560000,0)</f>
        <v>#VALUE!</v>
      </c>
      <c r="J7087" s="14" t="e">
        <f>=Round(0.00000000,0)</f>
        <v>#VALUE!</v>
      </c>
    </row>
    <row r="7088">
      <c r="A7088" s="11" t="s">
        <v>46</v>
      </c>
      <c r="B7088" s="12">
        <v>1281.2941</v>
      </c>
      <c r="C7088" s="12">
        <v>0</v>
      </c>
      <c r="D7088" s="13">
        <v>0</v>
      </c>
      <c r="E7088" s="12">
        <v>0</v>
      </c>
      <c r="F7088" s="14">
        <v>0</v>
      </c>
      <c r="G7088" s="13">
        <v>7829560.49</v>
      </c>
      <c r="H7088" s="14">
        <v>10031969661.430107</v>
      </c>
      <c r="I7088" s="14" t="e">
        <f>=Round(105510.73180000,0)</f>
        <v>#VALUE!</v>
      </c>
      <c r="J7088" s="14" t="e">
        <f>=Round(0.00000000,0)</f>
        <v>#VALUE!</v>
      </c>
    </row>
    <row r="7089">
      <c r="A7089" s="11" t="s">
        <v>47</v>
      </c>
      <c r="B7089" s="12">
        <v>1281.4992</v>
      </c>
      <c r="C7089" s="12">
        <v>0</v>
      </c>
      <c r="D7089" s="13">
        <v>0</v>
      </c>
      <c r="E7089" s="12">
        <v>0</v>
      </c>
      <c r="F7089" s="14">
        <v>0</v>
      </c>
      <c r="G7089" s="13">
        <v>7829560.49</v>
      </c>
      <c r="H7089" s="14">
        <v>10033575504.286608</v>
      </c>
      <c r="I7089" s="14" t="e">
        <f>=Round(105527.54970000,0)</f>
        <v>#VALUE!</v>
      </c>
      <c r="J7089" s="14" t="e">
        <f>=Round(0.00000000,0)</f>
        <v>#VALUE!</v>
      </c>
    </row>
    <row r="7090">
      <c r="A7090" s="11" t="s">
        <v>48</v>
      </c>
      <c r="B7090" s="12">
        <v>1281.706</v>
      </c>
      <c r="C7090" s="12">
        <v>0</v>
      </c>
      <c r="D7090" s="13">
        <v>0</v>
      </c>
      <c r="E7090" s="12">
        <v>0</v>
      </c>
      <c r="F7090" s="14">
        <v>0</v>
      </c>
      <c r="G7090" s="13">
        <v>7829560.49</v>
      </c>
      <c r="H7090" s="14">
        <v>10035194657.395941</v>
      </c>
      <c r="I7090" s="14" t="e">
        <f>=Round(105544.44180000,0)</f>
        <v>#VALUE!</v>
      </c>
      <c r="J7090" s="14" t="e">
        <f>=Round(0.00000000,0)</f>
        <v>#VALUE!</v>
      </c>
    </row>
    <row r="7091">
      <c r="A7091" s="11" t="s">
        <v>49</v>
      </c>
      <c r="B7091" s="12">
        <v>1281.706</v>
      </c>
      <c r="C7091" s="12">
        <v>0</v>
      </c>
      <c r="D7091" s="13">
        <v>0</v>
      </c>
      <c r="E7091" s="12">
        <v>0</v>
      </c>
      <c r="F7091" s="14">
        <v>0</v>
      </c>
      <c r="G7091" s="13">
        <v>7829560.49</v>
      </c>
      <c r="H7091" s="14">
        <v>10035194657.395941</v>
      </c>
      <c r="I7091" s="14" t="e">
        <f>=Round(105561.47390000,0)</f>
        <v>#VALUE!</v>
      </c>
      <c r="J7091" s="14" t="e">
        <f>=Round(0.00000000,0)</f>
        <v>#VALUE!</v>
      </c>
    </row>
    <row r="7092">
      <c r="A7092" s="11" t="s">
        <v>50</v>
      </c>
      <c r="B7092" s="12">
        <v>1281.706</v>
      </c>
      <c r="C7092" s="12">
        <v>0</v>
      </c>
      <c r="D7092" s="13">
        <v>0</v>
      </c>
      <c r="E7092" s="12">
        <v>0</v>
      </c>
      <c r="F7092" s="14">
        <v>0</v>
      </c>
      <c r="G7092" s="13">
        <v>7829560.49</v>
      </c>
      <c r="H7092" s="14">
        <v>10035194657.395941</v>
      </c>
      <c r="I7092" s="14" t="e">
        <f>=Round(105561.47390000,0)</f>
        <v>#VALUE!</v>
      </c>
      <c r="J7092" s="14" t="e">
        <f>=Round(0.00000000,0)</f>
        <v>#VALUE!</v>
      </c>
    </row>
    <row r="7093">
      <c r="A7093" s="11" t="s">
        <v>51</v>
      </c>
      <c r="B7093" s="12">
        <v>1282.3206</v>
      </c>
      <c r="C7093" s="12">
        <v>0</v>
      </c>
      <c r="D7093" s="13">
        <v>0</v>
      </c>
      <c r="E7093" s="12">
        <v>0</v>
      </c>
      <c r="F7093" s="14">
        <v>0</v>
      </c>
      <c r="G7093" s="13">
        <v>7829560.49</v>
      </c>
      <c r="H7093" s="14">
        <v>10040006705.273094</v>
      </c>
      <c r="I7093" s="14" t="e">
        <f>=Round(105561.47390000,0)</f>
        <v>#VALUE!</v>
      </c>
      <c r="J7093" s="14" t="e">
        <f>=Round(0.00000000,0)</f>
        <v>#VALUE!</v>
      </c>
    </row>
    <row r="7094">
      <c r="A7094" s="11" t="s">
        <v>52</v>
      </c>
      <c r="B7094" s="12">
        <v>1282.524</v>
      </c>
      <c r="C7094" s="12">
        <v>0</v>
      </c>
      <c r="D7094" s="13">
        <v>0</v>
      </c>
      <c r="E7094" s="12">
        <v>0</v>
      </c>
      <c r="F7094" s="14">
        <v>0</v>
      </c>
      <c r="G7094" s="13">
        <v>7829560.49</v>
      </c>
      <c r="H7094" s="14">
        <v>10041599237.876761</v>
      </c>
      <c r="I7094" s="14" t="e">
        <f>=Round(105612.09240000,0)</f>
        <v>#VALUE!</v>
      </c>
      <c r="J7094" s="14" t="e">
        <f>=Round(0.00000000,0)</f>
        <v>#VALUE!</v>
      </c>
    </row>
    <row r="7095">
      <c r="A7095" s="11" t="s">
        <v>53</v>
      </c>
      <c r="B7095" s="12">
        <v>1282.7292</v>
      </c>
      <c r="C7095" s="12">
        <v>0</v>
      </c>
      <c r="D7095" s="13">
        <v>0</v>
      </c>
      <c r="E7095" s="12">
        <v>0</v>
      </c>
      <c r="F7095" s="14">
        <v>0</v>
      </c>
      <c r="G7095" s="13">
        <v>7829560.49</v>
      </c>
      <c r="H7095" s="14">
        <v>10043205863.689308</v>
      </c>
      <c r="I7095" s="14" t="e">
        <f>=Round(105628.84440000,0)</f>
        <v>#VALUE!</v>
      </c>
      <c r="J7095" s="14" t="e">
        <f>=Round(0.00000000,0)</f>
        <v>#VALUE!</v>
      </c>
    </row>
    <row r="7096">
      <c r="A7096" s="11" t="s">
        <v>54</v>
      </c>
      <c r="B7096" s="12">
        <v>1282.9343</v>
      </c>
      <c r="C7096" s="12">
        <v>0</v>
      </c>
      <c r="D7096" s="13">
        <v>0</v>
      </c>
      <c r="E7096" s="12">
        <v>0</v>
      </c>
      <c r="F7096" s="14">
        <v>0</v>
      </c>
      <c r="G7096" s="13">
        <v>7829560.49</v>
      </c>
      <c r="H7096" s="14">
        <v>10044811706.545809</v>
      </c>
      <c r="I7096" s="14" t="e">
        <f>=Round(105645.74470000,0)</f>
        <v>#VALUE!</v>
      </c>
      <c r="J7096" s="14" t="e">
        <f>=Round(0.00000000,0)</f>
        <v>#VALUE!</v>
      </c>
    </row>
    <row r="7097">
      <c r="A7097" s="11" t="s">
        <v>55</v>
      </c>
      <c r="B7097" s="12">
        <v>1283.1158</v>
      </c>
      <c r="C7097" s="12">
        <v>0</v>
      </c>
      <c r="D7097" s="13">
        <v>0</v>
      </c>
      <c r="E7097" s="12">
        <v>0</v>
      </c>
      <c r="F7097" s="14">
        <v>0</v>
      </c>
      <c r="G7097" s="13">
        <v>7829560.49</v>
      </c>
      <c r="H7097" s="14">
        <v>10046232771.774742</v>
      </c>
      <c r="I7097" s="14" t="e">
        <f>=Round(105662.63680000,0)</f>
        <v>#VALUE!</v>
      </c>
      <c r="J7097" s="14" t="e">
        <f>=Round(0.00000000,0)</f>
        <v>#VALUE!</v>
      </c>
    </row>
    <row r="7098" ht="-1">
      <c r="A7098" s="15"/>
      <c r="B7098" s="16" t="s">
        <v>56</v>
      </c>
      <c r="C7098" s="15"/>
      <c r="D7098" s="15"/>
      <c r="E7098" s="15"/>
      <c r="F7098" s="15"/>
      <c r="G7098" s="15"/>
      <c r="H7098" s="15"/>
      <c r="I7098" s="17" t="e">
        <f>=Round(SUM(I7072:I7097),0)</f>
        <v>#VALUE!</v>
      </c>
      <c r="J7098" s="17" t="e">
        <f>=Round(SUM(J7072:J7097),0)</f>
        <v>#VALUE!</v>
      </c>
    </row>
    <row r="7099">
      <c r="A7099" s="1" t="s">
        <v>0</v>
      </c>
      <c r="B7099" s="1"/>
      <c r="C7099" s="1"/>
      <c r="D7099" s="1"/>
    </row>
    <row r="7100">
      <c r="A7100" s="0" t="s">
        <v>1</v>
      </c>
      <c r="C7100" s="0" t="s">
        <v>234</v>
      </c>
      <c r="H7100" s="2" t="s">
        <v>3</v>
      </c>
    </row>
    <row r="7101">
      <c r="A7101" s="0" t="s">
        <v>4</v>
      </c>
      <c r="C7101" s="0" t="s">
        <v>132</v>
      </c>
      <c r="H7101" s="3" t="s">
        <v>6</v>
      </c>
    </row>
    <row r="7102">
      <c r="A7102" s="0" t="s">
        <v>7</v>
      </c>
      <c r="C7102" s="4" t="s">
        <v>205</v>
      </c>
      <c r="H7102" s="2" t="s">
        <v>9</v>
      </c>
    </row>
    <row r="7103">
      <c r="A7103" s="0" t="s">
        <v>10</v>
      </c>
      <c r="C7103" s="4" t="s">
        <v>124</v>
      </c>
      <c r="H7103" s="2" t="s">
        <v>12</v>
      </c>
    </row>
    <row r="7104">
      <c r="A7104" s="0" t="s">
        <v>13</v>
      </c>
      <c r="C7104" s="0" t="s">
        <v>14</v>
      </c>
    </row>
    <row r="7105">
      <c r="A7105" s="0" t="s">
        <v>15</v>
      </c>
      <c r="C7105" s="0" t="s">
        <v>16</v>
      </c>
    </row>
    <row r="7106">
      <c r="A7106" s="0" t="s">
        <v>17</v>
      </c>
      <c r="C7106" s="0" t="s">
        <v>18</v>
      </c>
    </row>
    <row r="7109">
      <c r="A7109" s="5" t="s">
        <v>19</v>
      </c>
      <c r="B7109" s="5" t="s">
        <v>20</v>
      </c>
      <c r="C7109" s="7" t="s">
        <v>21</v>
      </c>
      <c r="D7109" s="9"/>
      <c r="E7109" s="7" t="s">
        <v>22</v>
      </c>
      <c r="F7109" s="9"/>
      <c r="G7109" s="5" t="s">
        <v>23</v>
      </c>
      <c r="H7109" s="5" t="s">
        <v>24</v>
      </c>
      <c r="I7109" s="5" t="s">
        <v>206</v>
      </c>
      <c r="J7109" s="5" t="s">
        <v>125</v>
      </c>
    </row>
    <row r="7110">
      <c r="A7110" s="6"/>
      <c r="B7110" s="6"/>
      <c r="C7110" s="8" t="s">
        <v>27</v>
      </c>
      <c r="D7110" s="8" t="s">
        <v>28</v>
      </c>
      <c r="E7110" s="8" t="s">
        <v>27</v>
      </c>
      <c r="F7110" s="8" t="s">
        <v>28</v>
      </c>
      <c r="G7110" s="6"/>
      <c r="H7110" s="6"/>
      <c r="I7110" s="10" t="s">
        <v>29</v>
      </c>
      <c r="J7110" s="6"/>
    </row>
    <row r="7111">
      <c r="A7111" s="11" t="s">
        <v>30</v>
      </c>
      <c r="B7111" s="12">
        <v>1278.0261</v>
      </c>
      <c r="C7111" s="12">
        <v>0</v>
      </c>
      <c r="D7111" s="13">
        <v>0</v>
      </c>
      <c r="E7111" s="12">
        <v>0</v>
      </c>
      <c r="F7111" s="14">
        <v>0</v>
      </c>
      <c r="G7111" s="13">
        <v>98755.2172</v>
      </c>
      <c r="H7111" s="14">
        <v>126211745.092769</v>
      </c>
      <c r="I7111" s="14" t="e">
        <f>=Round(1327.00190000,0)</f>
        <v>#VALUE!</v>
      </c>
      <c r="J7111" s="14" t="e">
        <f>=Round(603.18210000,0)</f>
        <v>#VALUE!</v>
      </c>
    </row>
    <row r="7112">
      <c r="A7112" s="11" t="s">
        <v>31</v>
      </c>
      <c r="B7112" s="12">
        <v>1278.2299</v>
      </c>
      <c r="C7112" s="12">
        <v>0</v>
      </c>
      <c r="D7112" s="13">
        <v>0</v>
      </c>
      <c r="E7112" s="12">
        <v>0</v>
      </c>
      <c r="F7112" s="14">
        <v>0</v>
      </c>
      <c r="G7112" s="13">
        <v>98755.2172</v>
      </c>
      <c r="H7112" s="14">
        <v>126231871.406034</v>
      </c>
      <c r="I7112" s="14" t="e">
        <f>=Round(1327.63720000,0)</f>
        <v>#VALUE!</v>
      </c>
      <c r="J7112" s="14" t="e">
        <f>=Round(603.47090000,0)</f>
        <v>#VALUE!</v>
      </c>
    </row>
    <row r="7113">
      <c r="A7113" s="11" t="s">
        <v>32</v>
      </c>
      <c r="B7113" s="12">
        <v>1278.4335</v>
      </c>
      <c r="C7113" s="12">
        <v>0</v>
      </c>
      <c r="D7113" s="13">
        <v>0</v>
      </c>
      <c r="E7113" s="12">
        <v>0</v>
      </c>
      <c r="F7113" s="14">
        <v>0</v>
      </c>
      <c r="G7113" s="13">
        <v>98755.2172</v>
      </c>
      <c r="H7113" s="14">
        <v>126251977.968256</v>
      </c>
      <c r="I7113" s="14" t="e">
        <f>=Round(1327.84890000,0)</f>
        <v>#VALUE!</v>
      </c>
      <c r="J7113" s="14" t="e">
        <f>=Round(603.56710000,0)</f>
        <v>#VALUE!</v>
      </c>
    </row>
    <row r="7114">
      <c r="A7114" s="11" t="s">
        <v>33</v>
      </c>
      <c r="B7114" s="12">
        <v>1278.6325</v>
      </c>
      <c r="C7114" s="12">
        <v>0</v>
      </c>
      <c r="D7114" s="13">
        <v>0</v>
      </c>
      <c r="E7114" s="12">
        <v>0</v>
      </c>
      <c r="F7114" s="14">
        <v>0</v>
      </c>
      <c r="G7114" s="13">
        <v>98755.2172</v>
      </c>
      <c r="H7114" s="14">
        <v>126271630.256479</v>
      </c>
      <c r="I7114" s="14" t="e">
        <f>=Round(1328.06040000,0)</f>
        <v>#VALUE!</v>
      </c>
      <c r="J7114" s="14" t="e">
        <f>=Round(603.66320000,0)</f>
        <v>#VALUE!</v>
      </c>
    </row>
    <row r="7115">
      <c r="A7115" s="11" t="s">
        <v>34</v>
      </c>
      <c r="B7115" s="12">
        <v>1278.837</v>
      </c>
      <c r="C7115" s="12">
        <v>117.2941</v>
      </c>
      <c r="D7115" s="13">
        <v>150000</v>
      </c>
      <c r="E7115" s="12">
        <v>0</v>
      </c>
      <c r="F7115" s="14">
        <v>0</v>
      </c>
      <c r="G7115" s="13">
        <v>98755.2172</v>
      </c>
      <c r="H7115" s="14">
        <v>126291825.698396</v>
      </c>
      <c r="I7115" s="14" t="e">
        <f>=Round(1328.26710000,0)</f>
        <v>#VALUE!</v>
      </c>
      <c r="J7115" s="14" t="e">
        <f>=Round(603.75720000,0)</f>
        <v>#VALUE!</v>
      </c>
    </row>
    <row r="7116">
      <c r="A7116" s="11" t="s">
        <v>35</v>
      </c>
      <c r="B7116" s="12">
        <v>1278.837</v>
      </c>
      <c r="C7116" s="12">
        <v>0</v>
      </c>
      <c r="D7116" s="13">
        <v>0</v>
      </c>
      <c r="E7116" s="12">
        <v>0</v>
      </c>
      <c r="F7116" s="14">
        <v>0</v>
      </c>
      <c r="G7116" s="13">
        <v>98755.2172</v>
      </c>
      <c r="H7116" s="14">
        <v>126291825.698396</v>
      </c>
      <c r="I7116" s="14" t="e">
        <f>=Round(1328.47960000,0)</f>
        <v>#VALUE!</v>
      </c>
      <c r="J7116" s="14" t="e">
        <f>=Round(603.85380000,0)</f>
        <v>#VALUE!</v>
      </c>
    </row>
    <row r="7117">
      <c r="A7117" s="11" t="s">
        <v>36</v>
      </c>
      <c r="B7117" s="12">
        <v>1278.837</v>
      </c>
      <c r="C7117" s="12">
        <v>0</v>
      </c>
      <c r="D7117" s="13">
        <v>0</v>
      </c>
      <c r="E7117" s="12">
        <v>0</v>
      </c>
      <c r="F7117" s="14">
        <v>0</v>
      </c>
      <c r="G7117" s="13">
        <v>98755.2172</v>
      </c>
      <c r="H7117" s="14">
        <v>126291825.698396</v>
      </c>
      <c r="I7117" s="14" t="e">
        <f>=Round(1328.47960000,0)</f>
        <v>#VALUE!</v>
      </c>
      <c r="J7117" s="14" t="e">
        <f>=Round(603.85380000,0)</f>
        <v>#VALUE!</v>
      </c>
    </row>
    <row r="7118">
      <c r="A7118" s="11" t="s">
        <v>37</v>
      </c>
      <c r="B7118" s="12">
        <v>1279.4503</v>
      </c>
      <c r="C7118" s="12">
        <v>0</v>
      </c>
      <c r="D7118" s="13">
        <v>0</v>
      </c>
      <c r="E7118" s="12">
        <v>0</v>
      </c>
      <c r="F7118" s="14">
        <v>0</v>
      </c>
      <c r="G7118" s="13">
        <v>98872.5113</v>
      </c>
      <c r="H7118" s="14">
        <v>126502464.244538</v>
      </c>
      <c r="I7118" s="14" t="e">
        <f>=Round(1328.47960000,0)</f>
        <v>#VALUE!</v>
      </c>
      <c r="J7118" s="14" t="e">
        <f>=Round(603.85380000,0)</f>
        <v>#VALUE!</v>
      </c>
    </row>
    <row r="7119">
      <c r="A7119" s="11" t="s">
        <v>38</v>
      </c>
      <c r="B7119" s="12">
        <v>1279.6545</v>
      </c>
      <c r="C7119" s="12">
        <v>0</v>
      </c>
      <c r="D7119" s="13">
        <v>0</v>
      </c>
      <c r="E7119" s="12">
        <v>0</v>
      </c>
      <c r="F7119" s="14">
        <v>0</v>
      </c>
      <c r="G7119" s="13">
        <v>98872.5113</v>
      </c>
      <c r="H7119" s="14">
        <v>126522654.011346</v>
      </c>
      <c r="I7119" s="14" t="e">
        <f>=Round(1330.69530000,0)</f>
        <v>#VALUE!</v>
      </c>
      <c r="J7119" s="14" t="e">
        <f>=Round(604.86090000,0)</f>
        <v>#VALUE!</v>
      </c>
    </row>
    <row r="7120">
      <c r="A7120" s="11" t="s">
        <v>39</v>
      </c>
      <c r="B7120" s="12">
        <v>1279.8598</v>
      </c>
      <c r="C7120" s="12">
        <v>0</v>
      </c>
      <c r="D7120" s="13">
        <v>0</v>
      </c>
      <c r="E7120" s="12">
        <v>0</v>
      </c>
      <c r="F7120" s="14">
        <v>0</v>
      </c>
      <c r="G7120" s="13">
        <v>98872.5113</v>
      </c>
      <c r="H7120" s="14">
        <v>126542952.537916</v>
      </c>
      <c r="I7120" s="14" t="e">
        <f>=Round(1330.90770000,0)</f>
        <v>#VALUE!</v>
      </c>
      <c r="J7120" s="14" t="e">
        <f>=Round(604.95740000,0)</f>
        <v>#VALUE!</v>
      </c>
    </row>
    <row r="7121">
      <c r="A7121" s="11" t="s">
        <v>40</v>
      </c>
      <c r="B7121" s="12">
        <v>1280.0644</v>
      </c>
      <c r="C7121" s="12">
        <v>0</v>
      </c>
      <c r="D7121" s="13">
        <v>0</v>
      </c>
      <c r="E7121" s="12">
        <v>0</v>
      </c>
      <c r="F7121" s="14">
        <v>0</v>
      </c>
      <c r="G7121" s="13">
        <v>98872.5113</v>
      </c>
      <c r="H7121" s="14">
        <v>126563181.853728</v>
      </c>
      <c r="I7121" s="14" t="e">
        <f>=Round(1331.12120000,0)</f>
        <v>#VALUE!</v>
      </c>
      <c r="J7121" s="14" t="e">
        <f>=Round(605.05450000,0)</f>
        <v>#VALUE!</v>
      </c>
    </row>
    <row r="7122">
      <c r="A7122" s="11" t="s">
        <v>41</v>
      </c>
      <c r="B7122" s="12">
        <v>1280.2685</v>
      </c>
      <c r="C7122" s="12">
        <v>0</v>
      </c>
      <c r="D7122" s="13">
        <v>0</v>
      </c>
      <c r="E7122" s="12">
        <v>0</v>
      </c>
      <c r="F7122" s="14">
        <v>0</v>
      </c>
      <c r="G7122" s="13">
        <v>98872.5113</v>
      </c>
      <c r="H7122" s="14">
        <v>126583361.733284</v>
      </c>
      <c r="I7122" s="14" t="e">
        <f>=Round(1331.33400000,0)</f>
        <v>#VALUE!</v>
      </c>
      <c r="J7122" s="14" t="e">
        <f>=Round(605.15120000,0)</f>
        <v>#VALUE!</v>
      </c>
    </row>
    <row r="7123">
      <c r="A7123" s="11" t="s">
        <v>42</v>
      </c>
      <c r="B7123" s="12">
        <v>1280.2685</v>
      </c>
      <c r="C7123" s="12">
        <v>0</v>
      </c>
      <c r="D7123" s="13">
        <v>0</v>
      </c>
      <c r="E7123" s="12">
        <v>0</v>
      </c>
      <c r="F7123" s="14">
        <v>0</v>
      </c>
      <c r="G7123" s="13">
        <v>98872.5113</v>
      </c>
      <c r="H7123" s="14">
        <v>126583361.733284</v>
      </c>
      <c r="I7123" s="14" t="e">
        <f>=Round(1331.54630000,0)</f>
        <v>#VALUE!</v>
      </c>
      <c r="J7123" s="14" t="e">
        <f>=Round(605.24770000,0)</f>
        <v>#VALUE!</v>
      </c>
    </row>
    <row r="7124">
      <c r="A7124" s="11" t="s">
        <v>43</v>
      </c>
      <c r="B7124" s="12">
        <v>1280.2685</v>
      </c>
      <c r="C7124" s="12">
        <v>0</v>
      </c>
      <c r="D7124" s="13">
        <v>0</v>
      </c>
      <c r="E7124" s="12">
        <v>0</v>
      </c>
      <c r="F7124" s="14">
        <v>0</v>
      </c>
      <c r="G7124" s="13">
        <v>98872.5113</v>
      </c>
      <c r="H7124" s="14">
        <v>126583361.733284</v>
      </c>
      <c r="I7124" s="14" t="e">
        <f>=Round(1331.54630000,0)</f>
        <v>#VALUE!</v>
      </c>
      <c r="J7124" s="14" t="e">
        <f>=Round(605.24770000,0)</f>
        <v>#VALUE!</v>
      </c>
    </row>
    <row r="7125">
      <c r="A7125" s="11" t="s">
        <v>44</v>
      </c>
      <c r="B7125" s="12">
        <v>1280.8839</v>
      </c>
      <c r="C7125" s="12">
        <v>0</v>
      </c>
      <c r="D7125" s="13">
        <v>0</v>
      </c>
      <c r="E7125" s="12">
        <v>0</v>
      </c>
      <c r="F7125" s="14">
        <v>0</v>
      </c>
      <c r="G7125" s="13">
        <v>98872.5113</v>
      </c>
      <c r="H7125" s="14">
        <v>126644207.876738</v>
      </c>
      <c r="I7125" s="14" t="e">
        <f>=Round(1331.54630000,0)</f>
        <v>#VALUE!</v>
      </c>
      <c r="J7125" s="14" t="e">
        <f>=Round(605.24770000,0)</f>
        <v>#VALUE!</v>
      </c>
    </row>
    <row r="7126">
      <c r="A7126" s="11" t="s">
        <v>45</v>
      </c>
      <c r="B7126" s="12">
        <v>1281.0899</v>
      </c>
      <c r="C7126" s="12">
        <v>0</v>
      </c>
      <c r="D7126" s="13">
        <v>0</v>
      </c>
      <c r="E7126" s="12">
        <v>0</v>
      </c>
      <c r="F7126" s="14">
        <v>0</v>
      </c>
      <c r="G7126" s="13">
        <v>98872.5113</v>
      </c>
      <c r="H7126" s="14">
        <v>126664575.614066</v>
      </c>
      <c r="I7126" s="14" t="e">
        <f>=Round(1332.18630000,0)</f>
        <v>#VALUE!</v>
      </c>
      <c r="J7126" s="14" t="e">
        <f>=Round(605.53860000,0)</f>
        <v>#VALUE!</v>
      </c>
    </row>
    <row r="7127">
      <c r="A7127" s="11" t="s">
        <v>46</v>
      </c>
      <c r="B7127" s="12">
        <v>1281.2941</v>
      </c>
      <c r="C7127" s="12">
        <v>0</v>
      </c>
      <c r="D7127" s="13">
        <v>0</v>
      </c>
      <c r="E7127" s="12">
        <v>0</v>
      </c>
      <c r="F7127" s="14">
        <v>0</v>
      </c>
      <c r="G7127" s="13">
        <v>98872.5113</v>
      </c>
      <c r="H7127" s="14">
        <v>126684765.380873</v>
      </c>
      <c r="I7127" s="14" t="e">
        <f>=Round(1332.40060000,0)</f>
        <v>#VALUE!</v>
      </c>
      <c r="J7127" s="14" t="e">
        <f>=Round(605.63600000,0)</f>
        <v>#VALUE!</v>
      </c>
    </row>
    <row r="7128">
      <c r="A7128" s="11" t="s">
        <v>47</v>
      </c>
      <c r="B7128" s="12">
        <v>1281.4992</v>
      </c>
      <c r="C7128" s="12">
        <v>0</v>
      </c>
      <c r="D7128" s="13">
        <v>0</v>
      </c>
      <c r="E7128" s="12">
        <v>0</v>
      </c>
      <c r="F7128" s="14">
        <v>0</v>
      </c>
      <c r="G7128" s="13">
        <v>98872.5113</v>
      </c>
      <c r="H7128" s="14">
        <v>126705044.132941</v>
      </c>
      <c r="I7128" s="14" t="e">
        <f>=Round(1332.61300000,0)</f>
        <v>#VALUE!</v>
      </c>
      <c r="J7128" s="14" t="e">
        <f>=Round(605.73260000,0)</f>
        <v>#VALUE!</v>
      </c>
    </row>
    <row r="7129">
      <c r="A7129" s="11" t="s">
        <v>48</v>
      </c>
      <c r="B7129" s="12">
        <v>1281.706</v>
      </c>
      <c r="C7129" s="12">
        <v>0</v>
      </c>
      <c r="D7129" s="13">
        <v>0</v>
      </c>
      <c r="E7129" s="12">
        <v>0</v>
      </c>
      <c r="F7129" s="14">
        <v>0</v>
      </c>
      <c r="G7129" s="13">
        <v>98872.5113</v>
      </c>
      <c r="H7129" s="14">
        <v>126725490.968278</v>
      </c>
      <c r="I7129" s="14" t="e">
        <f>=Round(1332.82630000,0)</f>
        <v>#VALUE!</v>
      </c>
      <c r="J7129" s="14" t="e">
        <f>=Round(605.82950000,0)</f>
        <v>#VALUE!</v>
      </c>
    </row>
    <row r="7130">
      <c r="A7130" s="11" t="s">
        <v>49</v>
      </c>
      <c r="B7130" s="12">
        <v>1281.706</v>
      </c>
      <c r="C7130" s="12">
        <v>0</v>
      </c>
      <c r="D7130" s="13">
        <v>0</v>
      </c>
      <c r="E7130" s="12">
        <v>0</v>
      </c>
      <c r="F7130" s="14">
        <v>0</v>
      </c>
      <c r="G7130" s="13">
        <v>98872.5113</v>
      </c>
      <c r="H7130" s="14">
        <v>126725490.968278</v>
      </c>
      <c r="I7130" s="14" t="e">
        <f>=Round(1333.04140000,0)</f>
        <v>#VALUE!</v>
      </c>
      <c r="J7130" s="14" t="e">
        <f>=Round(605.92730000,0)</f>
        <v>#VALUE!</v>
      </c>
    </row>
    <row r="7131">
      <c r="A7131" s="11" t="s">
        <v>50</v>
      </c>
      <c r="B7131" s="12">
        <v>1281.706</v>
      </c>
      <c r="C7131" s="12">
        <v>0</v>
      </c>
      <c r="D7131" s="13">
        <v>0</v>
      </c>
      <c r="E7131" s="12">
        <v>0</v>
      </c>
      <c r="F7131" s="14">
        <v>0</v>
      </c>
      <c r="G7131" s="13">
        <v>98872.5113</v>
      </c>
      <c r="H7131" s="14">
        <v>126725490.968278</v>
      </c>
      <c r="I7131" s="14" t="e">
        <f>=Round(1333.04140000,0)</f>
        <v>#VALUE!</v>
      </c>
      <c r="J7131" s="14" t="e">
        <f>=Round(605.92730000,0)</f>
        <v>#VALUE!</v>
      </c>
    </row>
    <row r="7132">
      <c r="A7132" s="11" t="s">
        <v>51</v>
      </c>
      <c r="B7132" s="12">
        <v>1282.3206</v>
      </c>
      <c r="C7132" s="12">
        <v>0</v>
      </c>
      <c r="D7132" s="13">
        <v>0</v>
      </c>
      <c r="E7132" s="12">
        <v>0</v>
      </c>
      <c r="F7132" s="14">
        <v>0</v>
      </c>
      <c r="G7132" s="13">
        <v>98872.5113</v>
      </c>
      <c r="H7132" s="14">
        <v>126786258.013723</v>
      </c>
      <c r="I7132" s="14" t="e">
        <f>=Round(1333.04140000,0)</f>
        <v>#VALUE!</v>
      </c>
      <c r="J7132" s="14" t="e">
        <f>=Round(605.92730000,0)</f>
        <v>#VALUE!</v>
      </c>
    </row>
    <row r="7133">
      <c r="A7133" s="11" t="s">
        <v>52</v>
      </c>
      <c r="B7133" s="12">
        <v>1282.524</v>
      </c>
      <c r="C7133" s="12">
        <v>0</v>
      </c>
      <c r="D7133" s="13">
        <v>0</v>
      </c>
      <c r="E7133" s="12">
        <v>0</v>
      </c>
      <c r="F7133" s="14">
        <v>0</v>
      </c>
      <c r="G7133" s="13">
        <v>98872.5113</v>
      </c>
      <c r="H7133" s="14">
        <v>126806368.682521</v>
      </c>
      <c r="I7133" s="14" t="e">
        <f>=Round(1333.68060000,0)</f>
        <v>#VALUE!</v>
      </c>
      <c r="J7133" s="14" t="e">
        <f>=Round(606.21780000,0)</f>
        <v>#VALUE!</v>
      </c>
    </row>
    <row r="7134">
      <c r="A7134" s="11" t="s">
        <v>53</v>
      </c>
      <c r="B7134" s="12">
        <v>1282.7292</v>
      </c>
      <c r="C7134" s="12">
        <v>7795.8777</v>
      </c>
      <c r="D7134" s="13">
        <v>10000000</v>
      </c>
      <c r="E7134" s="12">
        <v>0</v>
      </c>
      <c r="F7134" s="14">
        <v>0</v>
      </c>
      <c r="G7134" s="13">
        <v>98872.5113</v>
      </c>
      <c r="H7134" s="14">
        <v>126826657.32184</v>
      </c>
      <c r="I7134" s="14" t="e">
        <f>=Round(1333.89210000,0)</f>
        <v>#VALUE!</v>
      </c>
      <c r="J7134" s="14" t="e">
        <f>=Round(606.31400000,0)</f>
        <v>#VALUE!</v>
      </c>
    </row>
    <row r="7135">
      <c r="A7135" s="11" t="s">
        <v>54</v>
      </c>
      <c r="B7135" s="12">
        <v>1282.9343</v>
      </c>
      <c r="C7135" s="12">
        <v>0</v>
      </c>
      <c r="D7135" s="13">
        <v>0</v>
      </c>
      <c r="E7135" s="12">
        <v>0</v>
      </c>
      <c r="F7135" s="14">
        <v>0</v>
      </c>
      <c r="G7135" s="13">
        <v>106668.389</v>
      </c>
      <c r="H7135" s="14">
        <v>136848534.973843</v>
      </c>
      <c r="I7135" s="14" t="e">
        <f>=Round(1334.10550000,0)</f>
        <v>#VALUE!</v>
      </c>
      <c r="J7135" s="14" t="e">
        <f>=Round(606.41100000,0)</f>
        <v>#VALUE!</v>
      </c>
    </row>
    <row r="7136">
      <c r="A7136" s="11" t="s">
        <v>55</v>
      </c>
      <c r="B7136" s="12">
        <v>1283.1158</v>
      </c>
      <c r="C7136" s="12">
        <v>0</v>
      </c>
      <c r="D7136" s="13">
        <v>0</v>
      </c>
      <c r="E7136" s="12">
        <v>0</v>
      </c>
      <c r="F7136" s="14">
        <v>0</v>
      </c>
      <c r="G7136" s="13">
        <v>106668.389</v>
      </c>
      <c r="H7136" s="14">
        <v>136867895.286446</v>
      </c>
      <c r="I7136" s="14" t="e">
        <f>=Round(1439.52690000,0)</f>
        <v>#VALUE!</v>
      </c>
      <c r="J7136" s="14" t="e">
        <f>=Round(654.32980000,0)</f>
        <v>#VALUE!</v>
      </c>
    </row>
    <row r="7137" ht="-1">
      <c r="A7137" s="15"/>
      <c r="B7137" s="16" t="s">
        <v>56</v>
      </c>
      <c r="C7137" s="15"/>
      <c r="D7137" s="15"/>
      <c r="E7137" s="15"/>
      <c r="F7137" s="15"/>
      <c r="G7137" s="15"/>
      <c r="H7137" s="15"/>
      <c r="I7137" s="17" t="e">
        <f>=Round(SUM(I7111:I7136),0)</f>
        <v>#VALUE!</v>
      </c>
      <c r="J7137" s="17" t="e">
        <f>=Round(SUM(J7111:J7136),0)</f>
        <v>#VALUE!</v>
      </c>
    </row>
    <row r="7138">
      <c r="A7138" s="1" t="s">
        <v>0</v>
      </c>
      <c r="B7138" s="1"/>
      <c r="C7138" s="1"/>
      <c r="D7138" s="1"/>
    </row>
    <row r="7139">
      <c r="A7139" s="0" t="s">
        <v>1</v>
      </c>
      <c r="C7139" s="0" t="s">
        <v>234</v>
      </c>
      <c r="H7139" s="2" t="s">
        <v>3</v>
      </c>
    </row>
    <row r="7140">
      <c r="A7140" s="0" t="s">
        <v>4</v>
      </c>
      <c r="C7140" s="0" t="s">
        <v>133</v>
      </c>
      <c r="H7140" s="3" t="s">
        <v>6</v>
      </c>
    </row>
    <row r="7141">
      <c r="A7141" s="0" t="s">
        <v>7</v>
      </c>
      <c r="C7141" s="4" t="s">
        <v>205</v>
      </c>
      <c r="H7141" s="2" t="s">
        <v>9</v>
      </c>
    </row>
    <row r="7142">
      <c r="A7142" s="0" t="s">
        <v>10</v>
      </c>
      <c r="C7142" s="4" t="s">
        <v>124</v>
      </c>
      <c r="H7142" s="2" t="s">
        <v>12</v>
      </c>
    </row>
    <row r="7143">
      <c r="A7143" s="0" t="s">
        <v>13</v>
      </c>
      <c r="C7143" s="0" t="s">
        <v>14</v>
      </c>
    </row>
    <row r="7144">
      <c r="A7144" s="0" t="s">
        <v>15</v>
      </c>
      <c r="C7144" s="0" t="s">
        <v>16</v>
      </c>
    </row>
    <row r="7145">
      <c r="A7145" s="0" t="s">
        <v>17</v>
      </c>
      <c r="C7145" s="0" t="s">
        <v>18</v>
      </c>
    </row>
    <row r="7148">
      <c r="A7148" s="5" t="s">
        <v>19</v>
      </c>
      <c r="B7148" s="5" t="s">
        <v>20</v>
      </c>
      <c r="C7148" s="7" t="s">
        <v>21</v>
      </c>
      <c r="D7148" s="9"/>
      <c r="E7148" s="7" t="s">
        <v>22</v>
      </c>
      <c r="F7148" s="9"/>
      <c r="G7148" s="5" t="s">
        <v>23</v>
      </c>
      <c r="H7148" s="5" t="s">
        <v>24</v>
      </c>
      <c r="I7148" s="5" t="s">
        <v>206</v>
      </c>
      <c r="J7148" s="5" t="s">
        <v>125</v>
      </c>
    </row>
    <row r="7149">
      <c r="A7149" s="6"/>
      <c r="B7149" s="6"/>
      <c r="C7149" s="8" t="s">
        <v>27</v>
      </c>
      <c r="D7149" s="8" t="s">
        <v>28</v>
      </c>
      <c r="E7149" s="8" t="s">
        <v>27</v>
      </c>
      <c r="F7149" s="8" t="s">
        <v>28</v>
      </c>
      <c r="G7149" s="6"/>
      <c r="H7149" s="6"/>
      <c r="I7149" s="10" t="s">
        <v>29</v>
      </c>
      <c r="J7149" s="6"/>
    </row>
    <row r="7150">
      <c r="A7150" s="11" t="s">
        <v>30</v>
      </c>
      <c r="B7150" s="12">
        <v>1278.0261</v>
      </c>
      <c r="C7150" s="12">
        <v>1251.9307</v>
      </c>
      <c r="D7150" s="13">
        <v>1600000</v>
      </c>
      <c r="E7150" s="12">
        <v>7836.4868</v>
      </c>
      <c r="F7150" s="14">
        <v>10015234.66</v>
      </c>
      <c r="G7150" s="13">
        <v>988542.2182</v>
      </c>
      <c r="H7150" s="14">
        <v>1263382755.8114951</v>
      </c>
      <c r="I7150" s="14" t="e">
        <f>=Round(13281.78140000,0)</f>
        <v>#VALUE!</v>
      </c>
      <c r="J7150" s="14" t="e">
        <f>=Round(6037.16730000,0)</f>
        <v>#VALUE!</v>
      </c>
    </row>
    <row r="7151">
      <c r="A7151" s="11" t="s">
        <v>31</v>
      </c>
      <c r="B7151" s="12">
        <v>1278.2299</v>
      </c>
      <c r="C7151" s="12">
        <v>860.5651</v>
      </c>
      <c r="D7151" s="13">
        <v>1100000</v>
      </c>
      <c r="E7151" s="12">
        <v>1550</v>
      </c>
      <c r="F7151" s="14">
        <v>1981256.35</v>
      </c>
      <c r="G7151" s="13">
        <v>981957.6621</v>
      </c>
      <c r="H7151" s="14">
        <v>1255167644.2303171</v>
      </c>
      <c r="I7151" s="14" t="e">
        <f>=Round(13289.68200000,0)</f>
        <v>#VALUE!</v>
      </c>
      <c r="J7151" s="14" t="e">
        <f>=Round(6040.75850000,0)</f>
        <v>#VALUE!</v>
      </c>
    </row>
    <row r="7152">
      <c r="A7152" s="11" t="s">
        <v>32</v>
      </c>
      <c r="B7152" s="12">
        <v>1278.4335</v>
      </c>
      <c r="C7152" s="12">
        <v>172.0856</v>
      </c>
      <c r="D7152" s="13">
        <v>220000</v>
      </c>
      <c r="E7152" s="12">
        <v>6572.4579</v>
      </c>
      <c r="F7152" s="14">
        <v>8402450.36</v>
      </c>
      <c r="G7152" s="13">
        <v>981268.2272</v>
      </c>
      <c r="H7152" s="14">
        <v>1254486174.1380911</v>
      </c>
      <c r="I7152" s="14" t="e">
        <f>=Round(13203.26620000,0)</f>
        <v>#VALUE!</v>
      </c>
      <c r="J7152" s="14" t="e">
        <f>=Round(6001.47860000,0)</f>
        <v>#VALUE!</v>
      </c>
    </row>
    <row r="7153">
      <c r="A7153" s="11" t="s">
        <v>33</v>
      </c>
      <c r="B7153" s="12">
        <v>1278.6325</v>
      </c>
      <c r="C7153" s="12">
        <v>78.2086</v>
      </c>
      <c r="D7153" s="13">
        <v>100000</v>
      </c>
      <c r="E7153" s="12">
        <v>0</v>
      </c>
      <c r="F7153" s="14">
        <v>0</v>
      </c>
      <c r="G7153" s="13">
        <v>974867.8549</v>
      </c>
      <c r="H7153" s="14">
        <v>1246497722.4804239</v>
      </c>
      <c r="I7153" s="14" t="e">
        <f>=Round(13196.09770000,0)</f>
        <v>#VALUE!</v>
      </c>
      <c r="J7153" s="14" t="e">
        <f>=Round(5998.22020000,0)</f>
        <v>#VALUE!</v>
      </c>
    </row>
    <row r="7154">
      <c r="A7154" s="11" t="s">
        <v>34</v>
      </c>
      <c r="B7154" s="12">
        <v>1278.837</v>
      </c>
      <c r="C7154" s="12">
        <v>390.9802</v>
      </c>
      <c r="D7154" s="13">
        <v>500000</v>
      </c>
      <c r="E7154" s="12">
        <v>642.0481</v>
      </c>
      <c r="F7154" s="14">
        <v>821074.87</v>
      </c>
      <c r="G7154" s="13">
        <v>974946.0635</v>
      </c>
      <c r="H7154" s="14">
        <v>1246797099.00815</v>
      </c>
      <c r="I7154" s="14" t="e">
        <f>=Round(13112.06620000,0)</f>
        <v>#VALUE!</v>
      </c>
      <c r="J7154" s="14" t="e">
        <f>=Round(5960.02410000,0)</f>
        <v>#VALUE!</v>
      </c>
    </row>
    <row r="7155">
      <c r="A7155" s="11" t="s">
        <v>35</v>
      </c>
      <c r="B7155" s="12">
        <v>1278.837</v>
      </c>
      <c r="C7155" s="12">
        <v>0</v>
      </c>
      <c r="D7155" s="13">
        <v>0</v>
      </c>
      <c r="E7155" s="12">
        <v>0</v>
      </c>
      <c r="F7155" s="14">
        <v>0</v>
      </c>
      <c r="G7155" s="13">
        <v>974946.0635</v>
      </c>
      <c r="H7155" s="14">
        <v>1246797099.00815</v>
      </c>
      <c r="I7155" s="14" t="e">
        <f>=Round(13115.21540000,0)</f>
        <v>#VALUE!</v>
      </c>
      <c r="J7155" s="14" t="e">
        <f>=Round(5961.45560000,0)</f>
        <v>#VALUE!</v>
      </c>
    </row>
    <row r="7156">
      <c r="A7156" s="11" t="s">
        <v>36</v>
      </c>
      <c r="B7156" s="12">
        <v>1278.837</v>
      </c>
      <c r="C7156" s="12">
        <v>0</v>
      </c>
      <c r="D7156" s="13">
        <v>0</v>
      </c>
      <c r="E7156" s="12">
        <v>0</v>
      </c>
      <c r="F7156" s="14">
        <v>0</v>
      </c>
      <c r="G7156" s="13">
        <v>974946.0635</v>
      </c>
      <c r="H7156" s="14">
        <v>1246797099.00815</v>
      </c>
      <c r="I7156" s="14" t="e">
        <f>=Round(13115.21540000,0)</f>
        <v>#VALUE!</v>
      </c>
      <c r="J7156" s="14" t="e">
        <f>=Round(5961.45560000,0)</f>
        <v>#VALUE!</v>
      </c>
    </row>
    <row r="7157">
      <c r="A7157" s="11" t="s">
        <v>37</v>
      </c>
      <c r="B7157" s="12">
        <v>1279.4503</v>
      </c>
      <c r="C7157" s="12">
        <v>468.9514</v>
      </c>
      <c r="D7157" s="13">
        <v>600000</v>
      </c>
      <c r="E7157" s="12">
        <v>0</v>
      </c>
      <c r="F7157" s="14">
        <v>0</v>
      </c>
      <c r="G7157" s="13">
        <v>974694.9956</v>
      </c>
      <c r="H7157" s="14">
        <v>1247073804.528919</v>
      </c>
      <c r="I7157" s="14" t="e">
        <f>=Round(13115.21540000,0)</f>
        <v>#VALUE!</v>
      </c>
      <c r="J7157" s="14" t="e">
        <f>=Round(5961.45560000,0)</f>
        <v>#VALUE!</v>
      </c>
    </row>
    <row r="7158">
      <c r="A7158" s="11" t="s">
        <v>38</v>
      </c>
      <c r="B7158" s="12">
        <v>1279.6545</v>
      </c>
      <c r="C7158" s="12">
        <v>1094.0453</v>
      </c>
      <c r="D7158" s="13">
        <v>1400000</v>
      </c>
      <c r="E7158" s="12">
        <v>263408.7609</v>
      </c>
      <c r="F7158" s="14">
        <v>337072206.23</v>
      </c>
      <c r="G7158" s="13">
        <v>975163.947</v>
      </c>
      <c r="H7158" s="14">
        <v>1247872933.0163119</v>
      </c>
      <c r="I7158" s="14" t="e">
        <f>=Round(13118.12610000,0)</f>
        <v>#VALUE!</v>
      </c>
      <c r="J7158" s="14" t="e">
        <f>=Round(5962.77860000,0)</f>
        <v>#VALUE!</v>
      </c>
    </row>
    <row r="7159">
      <c r="A7159" s="11" t="s">
        <v>39</v>
      </c>
      <c r="B7159" s="12">
        <v>1279.8598</v>
      </c>
      <c r="C7159" s="12">
        <v>324.2543</v>
      </c>
      <c r="D7159" s="13">
        <v>415000</v>
      </c>
      <c r="E7159" s="12">
        <v>1000</v>
      </c>
      <c r="F7159" s="14">
        <v>1279859.8</v>
      </c>
      <c r="G7159" s="13">
        <v>712849.2314</v>
      </c>
      <c r="H7159" s="14">
        <v>912347074.729758</v>
      </c>
      <c r="I7159" s="14" t="e">
        <f>=Round(13126.53220000,0)</f>
        <v>#VALUE!</v>
      </c>
      <c r="J7159" s="14" t="e">
        <f>=Round(5966.59960000,0)</f>
        <v>#VALUE!</v>
      </c>
    </row>
    <row r="7160">
      <c r="A7160" s="11" t="s">
        <v>40</v>
      </c>
      <c r="B7160" s="12">
        <v>1280.0644</v>
      </c>
      <c r="C7160" s="12">
        <v>1562.4214</v>
      </c>
      <c r="D7160" s="13">
        <v>2000000</v>
      </c>
      <c r="E7160" s="12">
        <v>0.0001</v>
      </c>
      <c r="F7160" s="14">
        <v>0</v>
      </c>
      <c r="G7160" s="13">
        <v>712173.4857</v>
      </c>
      <c r="H7160" s="14">
        <v>911627925.668479</v>
      </c>
      <c r="I7160" s="14" t="e">
        <f>=Round(9597.09350000,0)</f>
        <v>#VALUE!</v>
      </c>
      <c r="J7160" s="14" t="e">
        <f>=Round(4362.31090000,0)</f>
        <v>#VALUE!</v>
      </c>
    </row>
    <row r="7161">
      <c r="A7161" s="11" t="s">
        <v>41</v>
      </c>
      <c r="B7161" s="12">
        <v>1280.2685</v>
      </c>
      <c r="C7161" s="12">
        <v>859.1948</v>
      </c>
      <c r="D7161" s="13">
        <v>1100000</v>
      </c>
      <c r="E7161" s="12">
        <v>0</v>
      </c>
      <c r="F7161" s="14">
        <v>0</v>
      </c>
      <c r="G7161" s="13">
        <v>713735.907</v>
      </c>
      <c r="H7161" s="14">
        <v>913773599.05103</v>
      </c>
      <c r="I7161" s="14" t="e">
        <f>=Round(9589.52870000,0)</f>
        <v>#VALUE!</v>
      </c>
      <c r="J7161" s="14" t="e">
        <f>=Round(4358.87230000,0)</f>
        <v>#VALUE!</v>
      </c>
    </row>
    <row r="7162">
      <c r="A7162" s="11" t="s">
        <v>42</v>
      </c>
      <c r="B7162" s="12">
        <v>1280.2685</v>
      </c>
      <c r="C7162" s="12">
        <v>0</v>
      </c>
      <c r="D7162" s="13">
        <v>0</v>
      </c>
      <c r="E7162" s="12">
        <v>0</v>
      </c>
      <c r="F7162" s="14">
        <v>0</v>
      </c>
      <c r="G7162" s="13">
        <v>713735.907</v>
      </c>
      <c r="H7162" s="14">
        <v>913773599.05103</v>
      </c>
      <c r="I7162" s="14" t="e">
        <f>=Round(9612.09930000,0)</f>
        <v>#VALUE!</v>
      </c>
      <c r="J7162" s="14" t="e">
        <f>=Round(4369.13170000,0)</f>
        <v>#VALUE!</v>
      </c>
    </row>
    <row r="7163">
      <c r="A7163" s="11" t="s">
        <v>43</v>
      </c>
      <c r="B7163" s="12">
        <v>1280.2685</v>
      </c>
      <c r="C7163" s="12">
        <v>0</v>
      </c>
      <c r="D7163" s="13">
        <v>0</v>
      </c>
      <c r="E7163" s="12">
        <v>0</v>
      </c>
      <c r="F7163" s="14">
        <v>0</v>
      </c>
      <c r="G7163" s="13">
        <v>713735.907</v>
      </c>
      <c r="H7163" s="14">
        <v>913773599.05103</v>
      </c>
      <c r="I7163" s="14" t="e">
        <f>=Round(9612.09930000,0)</f>
        <v>#VALUE!</v>
      </c>
      <c r="J7163" s="14" t="e">
        <f>=Round(4369.13170000,0)</f>
        <v>#VALUE!</v>
      </c>
    </row>
    <row r="7164">
      <c r="A7164" s="11" t="s">
        <v>44</v>
      </c>
      <c r="B7164" s="12">
        <v>1280.8839</v>
      </c>
      <c r="C7164" s="12">
        <v>780.7109</v>
      </c>
      <c r="D7164" s="13">
        <v>1000000</v>
      </c>
      <c r="E7164" s="12">
        <v>3721.7118</v>
      </c>
      <c r="F7164" s="14">
        <v>4767080.73</v>
      </c>
      <c r="G7164" s="13">
        <v>714595.1018</v>
      </c>
      <c r="H7164" s="14">
        <v>915313360.914481</v>
      </c>
      <c r="I7164" s="14" t="e">
        <f>=Round(9612.09930000,0)</f>
        <v>#VALUE!</v>
      </c>
      <c r="J7164" s="14" t="e">
        <f>=Round(4369.13170000,0)</f>
        <v>#VALUE!</v>
      </c>
    </row>
    <row r="7165">
      <c r="A7165" s="11" t="s">
        <v>45</v>
      </c>
      <c r="B7165" s="12">
        <v>1281.0899</v>
      </c>
      <c r="C7165" s="12">
        <v>858.6439</v>
      </c>
      <c r="D7165" s="13">
        <v>1100000</v>
      </c>
      <c r="E7165" s="12">
        <v>0.0001</v>
      </c>
      <c r="F7165" s="14">
        <v>0</v>
      </c>
      <c r="G7165" s="13">
        <v>711654.1009</v>
      </c>
      <c r="H7165" s="14">
        <v>911692880.956571</v>
      </c>
      <c r="I7165" s="14" t="e">
        <f>=Round(9628.29630000,0)</f>
        <v>#VALUE!</v>
      </c>
      <c r="J7165" s="14" t="e">
        <f>=Round(4376.49390000,0)</f>
        <v>#VALUE!</v>
      </c>
    </row>
    <row r="7166">
      <c r="A7166" s="11" t="s">
        <v>46</v>
      </c>
      <c r="B7166" s="12">
        <v>1281.2941</v>
      </c>
      <c r="C7166" s="12">
        <v>1053.6223</v>
      </c>
      <c r="D7166" s="13">
        <v>1350000</v>
      </c>
      <c r="E7166" s="12">
        <v>0</v>
      </c>
      <c r="F7166" s="14">
        <v>0</v>
      </c>
      <c r="G7166" s="13">
        <v>712512.7447</v>
      </c>
      <c r="H7166" s="14">
        <v>912938375.958916</v>
      </c>
      <c r="I7166" s="14" t="e">
        <f>=Round(9590.21200000,0)</f>
        <v>#VALUE!</v>
      </c>
      <c r="J7166" s="14" t="e">
        <f>=Round(4359.18290000,0)</f>
        <v>#VALUE!</v>
      </c>
    </row>
    <row r="7167">
      <c r="A7167" s="11" t="s">
        <v>47</v>
      </c>
      <c r="B7167" s="12">
        <v>1281.4992</v>
      </c>
      <c r="C7167" s="12">
        <v>624.2688</v>
      </c>
      <c r="D7167" s="13">
        <v>800000</v>
      </c>
      <c r="E7167" s="12">
        <v>0</v>
      </c>
      <c r="F7167" s="14">
        <v>0</v>
      </c>
      <c r="G7167" s="13">
        <v>713566.367</v>
      </c>
      <c r="H7167" s="14">
        <v>914434728.457406</v>
      </c>
      <c r="I7167" s="14" t="e">
        <f>=Round(9603.31350000,0)</f>
        <v>#VALUE!</v>
      </c>
      <c r="J7167" s="14" t="e">
        <f>=Round(4365.13810000,0)</f>
        <v>#VALUE!</v>
      </c>
    </row>
    <row r="7168">
      <c r="A7168" s="11" t="s">
        <v>48</v>
      </c>
      <c r="B7168" s="12">
        <v>1281.706</v>
      </c>
      <c r="C7168" s="12">
        <v>78021.0126</v>
      </c>
      <c r="D7168" s="13">
        <v>100000000</v>
      </c>
      <c r="E7168" s="12">
        <v>0</v>
      </c>
      <c r="F7168" s="14">
        <v>0</v>
      </c>
      <c r="G7168" s="13">
        <v>714190.6358</v>
      </c>
      <c r="H7168" s="14">
        <v>915382423.048675</v>
      </c>
      <c r="I7168" s="14" t="e">
        <f>=Round(9619.05380000,0)</f>
        <v>#VALUE!</v>
      </c>
      <c r="J7168" s="14" t="e">
        <f>=Round(4372.29280000,0)</f>
        <v>#VALUE!</v>
      </c>
    </row>
    <row r="7169">
      <c r="A7169" s="11" t="s">
        <v>49</v>
      </c>
      <c r="B7169" s="12">
        <v>1281.706</v>
      </c>
      <c r="C7169" s="12">
        <v>0</v>
      </c>
      <c r="D7169" s="13">
        <v>0</v>
      </c>
      <c r="E7169" s="12">
        <v>0</v>
      </c>
      <c r="F7169" s="14">
        <v>0</v>
      </c>
      <c r="G7169" s="13">
        <v>714190.6358</v>
      </c>
      <c r="H7169" s="14">
        <v>915382423.048675</v>
      </c>
      <c r="I7169" s="14" t="e">
        <f>=Round(9629.02280000,0)</f>
        <v>#VALUE!</v>
      </c>
      <c r="J7169" s="14" t="e">
        <f>=Round(4376.82410000,0)</f>
        <v>#VALUE!</v>
      </c>
    </row>
    <row r="7170">
      <c r="A7170" s="11" t="s">
        <v>50</v>
      </c>
      <c r="B7170" s="12">
        <v>1281.706</v>
      </c>
      <c r="C7170" s="12">
        <v>0</v>
      </c>
      <c r="D7170" s="13">
        <v>0</v>
      </c>
      <c r="E7170" s="12">
        <v>0</v>
      </c>
      <c r="F7170" s="14">
        <v>0</v>
      </c>
      <c r="G7170" s="13">
        <v>714190.6358</v>
      </c>
      <c r="H7170" s="14">
        <v>915382423.048675</v>
      </c>
      <c r="I7170" s="14" t="e">
        <f>=Round(9629.02280000,0)</f>
        <v>#VALUE!</v>
      </c>
      <c r="J7170" s="14" t="e">
        <f>=Round(4376.82410000,0)</f>
        <v>#VALUE!</v>
      </c>
    </row>
    <row r="7171">
      <c r="A7171" s="11" t="s">
        <v>51</v>
      </c>
      <c r="B7171" s="12">
        <v>1282.3206</v>
      </c>
      <c r="C7171" s="12">
        <v>13959.0676</v>
      </c>
      <c r="D7171" s="13">
        <v>17900000</v>
      </c>
      <c r="E7171" s="12">
        <v>1390.7652</v>
      </c>
      <c r="F7171" s="14">
        <v>1783406.87</v>
      </c>
      <c r="G7171" s="13">
        <v>792211.6484</v>
      </c>
      <c r="H7171" s="14">
        <v>1015869316.303277</v>
      </c>
      <c r="I7171" s="14" t="e">
        <f>=Round(9629.02280000,0)</f>
        <v>#VALUE!</v>
      </c>
      <c r="J7171" s="14" t="e">
        <f>=Round(4376.82410000,0)</f>
        <v>#VALUE!</v>
      </c>
    </row>
    <row r="7172">
      <c r="A7172" s="11" t="s">
        <v>52</v>
      </c>
      <c r="B7172" s="12">
        <v>1282.524</v>
      </c>
      <c r="C7172" s="12">
        <v>0</v>
      </c>
      <c r="D7172" s="13">
        <v>0</v>
      </c>
      <c r="E7172" s="12">
        <v>202134.881</v>
      </c>
      <c r="F7172" s="14">
        <v>259242836.12</v>
      </c>
      <c r="G7172" s="13">
        <v>804779.9508</v>
      </c>
      <c r="H7172" s="14">
        <v>1032149601.6198191</v>
      </c>
      <c r="I7172" s="14" t="e">
        <f>=Round(10686.05700000,0)</f>
        <v>#VALUE!</v>
      </c>
      <c r="J7172" s="14" t="e">
        <f>=Round(4857.29380000,0)</f>
        <v>#VALUE!</v>
      </c>
    </row>
    <row r="7173">
      <c r="A7173" s="11" t="s">
        <v>53</v>
      </c>
      <c r="B7173" s="12">
        <v>1282.7292</v>
      </c>
      <c r="C7173" s="12">
        <v>2065.9076</v>
      </c>
      <c r="D7173" s="13">
        <v>2650000</v>
      </c>
      <c r="E7173" s="12">
        <v>0</v>
      </c>
      <c r="F7173" s="14">
        <v>0</v>
      </c>
      <c r="G7173" s="13">
        <v>602645.0698</v>
      </c>
      <c r="H7173" s="14">
        <v>773030428.268498</v>
      </c>
      <c r="I7173" s="14" t="e">
        <f>=Round(10857.31140000,0)</f>
        <v>#VALUE!</v>
      </c>
      <c r="J7173" s="14" t="e">
        <f>=Round(4935.13660000,0)</f>
        <v>#VALUE!</v>
      </c>
    </row>
    <row r="7174">
      <c r="A7174" s="11" t="s">
        <v>54</v>
      </c>
      <c r="B7174" s="12">
        <v>1282.9343</v>
      </c>
      <c r="C7174" s="12">
        <v>8566.2999</v>
      </c>
      <c r="D7174" s="13">
        <v>10990000</v>
      </c>
      <c r="E7174" s="12">
        <v>78.9216</v>
      </c>
      <c r="F7174" s="14">
        <v>101251.23</v>
      </c>
      <c r="G7174" s="13">
        <v>604710.9774</v>
      </c>
      <c r="H7174" s="14">
        <v>775804454.492985</v>
      </c>
      <c r="I7174" s="14" t="e">
        <f>=Round(8131.60420000,0)</f>
        <v>#VALUE!</v>
      </c>
      <c r="J7174" s="14" t="e">
        <f>=Round(3696.18000000,0)</f>
        <v>#VALUE!</v>
      </c>
    </row>
    <row r="7175">
      <c r="A7175" s="11" t="s">
        <v>55</v>
      </c>
      <c r="B7175" s="12">
        <v>1283.1158</v>
      </c>
      <c r="C7175" s="12">
        <v>16561.2488</v>
      </c>
      <c r="D7175" s="13">
        <v>21250000</v>
      </c>
      <c r="E7175" s="12">
        <v>468.7514</v>
      </c>
      <c r="F7175" s="14">
        <v>601462.33</v>
      </c>
      <c r="G7175" s="13">
        <v>613198.3557</v>
      </c>
      <c r="H7175" s="14">
        <v>786804498.73269</v>
      </c>
      <c r="I7175" s="14" t="e">
        <f>=Round(8160.78460000,0)</f>
        <v>#VALUE!</v>
      </c>
      <c r="J7175" s="14" t="e">
        <f>=Round(3709.44380000,0)</f>
        <v>#VALUE!</v>
      </c>
    </row>
    <row r="7176" ht="-1">
      <c r="A7176" s="15"/>
      <c r="B7176" s="16" t="s">
        <v>56</v>
      </c>
      <c r="C7176" s="15"/>
      <c r="D7176" s="15"/>
      <c r="E7176" s="15"/>
      <c r="F7176" s="15"/>
      <c r="G7176" s="15"/>
      <c r="H7176" s="15"/>
      <c r="I7176" s="17" t="e">
        <f>=Round(SUM(I7150:I7175),0)</f>
        <v>#VALUE!</v>
      </c>
      <c r="J7176" s="17" t="e">
        <f>=Round(SUM(J7150:J7175),0)</f>
        <v>#VALUE!</v>
      </c>
    </row>
    <row r="7177">
      <c r="A7177" s="1" t="s">
        <v>0</v>
      </c>
      <c r="B7177" s="1"/>
      <c r="C7177" s="1"/>
      <c r="D7177" s="1"/>
    </row>
    <row r="7178">
      <c r="A7178" s="0" t="s">
        <v>1</v>
      </c>
      <c r="C7178" s="0" t="s">
        <v>234</v>
      </c>
      <c r="H7178" s="2" t="s">
        <v>3</v>
      </c>
    </row>
    <row r="7179">
      <c r="A7179" s="0" t="s">
        <v>4</v>
      </c>
      <c r="C7179" s="0" t="s">
        <v>251</v>
      </c>
      <c r="H7179" s="3" t="s">
        <v>6</v>
      </c>
    </row>
    <row r="7180">
      <c r="A7180" s="0" t="s">
        <v>7</v>
      </c>
      <c r="C7180" s="4" t="s">
        <v>205</v>
      </c>
      <c r="H7180" s="2" t="s">
        <v>9</v>
      </c>
    </row>
    <row r="7181">
      <c r="A7181" s="0" t="s">
        <v>10</v>
      </c>
      <c r="C7181" s="4" t="s">
        <v>11</v>
      </c>
      <c r="H7181" s="2" t="s">
        <v>12</v>
      </c>
    </row>
    <row r="7182">
      <c r="A7182" s="0" t="s">
        <v>13</v>
      </c>
      <c r="C7182" s="0" t="s">
        <v>14</v>
      </c>
    </row>
    <row r="7183">
      <c r="A7183" s="0" t="s">
        <v>15</v>
      </c>
      <c r="C7183" s="0" t="s">
        <v>16</v>
      </c>
    </row>
    <row r="7184">
      <c r="A7184" s="0" t="s">
        <v>17</v>
      </c>
      <c r="C7184" s="0" t="s">
        <v>18</v>
      </c>
    </row>
    <row r="7187">
      <c r="A7187" s="5" t="s">
        <v>19</v>
      </c>
      <c r="B7187" s="5" t="s">
        <v>20</v>
      </c>
      <c r="C7187" s="7" t="s">
        <v>21</v>
      </c>
      <c r="D7187" s="9"/>
      <c r="E7187" s="7" t="s">
        <v>22</v>
      </c>
      <c r="F7187" s="9"/>
      <c r="G7187" s="5" t="s">
        <v>23</v>
      </c>
      <c r="H7187" s="5" t="s">
        <v>24</v>
      </c>
      <c r="I7187" s="5" t="s">
        <v>206</v>
      </c>
      <c r="J7187" s="5" t="s">
        <v>26</v>
      </c>
    </row>
    <row r="7188">
      <c r="A7188" s="6"/>
      <c r="B7188" s="6"/>
      <c r="C7188" s="8" t="s">
        <v>27</v>
      </c>
      <c r="D7188" s="8" t="s">
        <v>28</v>
      </c>
      <c r="E7188" s="8" t="s">
        <v>27</v>
      </c>
      <c r="F7188" s="8" t="s">
        <v>28</v>
      </c>
      <c r="G7188" s="6"/>
      <c r="H7188" s="6"/>
      <c r="I7188" s="10" t="s">
        <v>29</v>
      </c>
      <c r="J7188" s="6"/>
    </row>
    <row r="7189">
      <c r="A7189" s="11" t="s">
        <v>30</v>
      </c>
      <c r="B7189" s="12">
        <v>1278.0261</v>
      </c>
      <c r="C7189" s="12">
        <v>0</v>
      </c>
      <c r="D7189" s="13">
        <v>0</v>
      </c>
      <c r="E7189" s="12">
        <v>0</v>
      </c>
      <c r="F7189" s="14">
        <v>0</v>
      </c>
      <c r="G7189" s="13">
        <v>22081400.981500003</v>
      </c>
      <c r="H7189" s="14">
        <v>28220606778.922615</v>
      </c>
      <c r="I7189" s="14" t="e">
        <f>=Round(296714.04890000,0)</f>
        <v>#VALUE!</v>
      </c>
      <c r="J7189" s="14" t="e">
        <f>=Round(0.00000000,0)</f>
        <v>#VALUE!</v>
      </c>
    </row>
    <row r="7190">
      <c r="A7190" s="11" t="s">
        <v>31</v>
      </c>
      <c r="B7190" s="12">
        <v>1278.2299</v>
      </c>
      <c r="C7190" s="12">
        <v>0</v>
      </c>
      <c r="D7190" s="13">
        <v>0</v>
      </c>
      <c r="E7190" s="12">
        <v>0</v>
      </c>
      <c r="F7190" s="14">
        <v>0</v>
      </c>
      <c r="G7190" s="13">
        <v>22081400.981500003</v>
      </c>
      <c r="H7190" s="14">
        <v>28225106968.44265</v>
      </c>
      <c r="I7190" s="14" t="e">
        <f>=Round(296856.10960000,0)</f>
        <v>#VALUE!</v>
      </c>
      <c r="J7190" s="14" t="e">
        <f>=Round(0.00000000,0)</f>
        <v>#VALUE!</v>
      </c>
    </row>
    <row r="7191">
      <c r="A7191" s="11" t="s">
        <v>32</v>
      </c>
      <c r="B7191" s="12">
        <v>1278.4335</v>
      </c>
      <c r="C7191" s="12">
        <v>0</v>
      </c>
      <c r="D7191" s="13">
        <v>0</v>
      </c>
      <c r="E7191" s="12">
        <v>0</v>
      </c>
      <c r="F7191" s="14">
        <v>0</v>
      </c>
      <c r="G7191" s="13">
        <v>22081400.981500003</v>
      </c>
      <c r="H7191" s="14">
        <v>28229602741.68248</v>
      </c>
      <c r="I7191" s="14" t="e">
        <f>=Round(296903.44760000,0)</f>
        <v>#VALUE!</v>
      </c>
      <c r="J7191" s="14" t="e">
        <f>=Round(0.00000000,0)</f>
        <v>#VALUE!</v>
      </c>
    </row>
    <row r="7192">
      <c r="A7192" s="11" t="s">
        <v>33</v>
      </c>
      <c r="B7192" s="12">
        <v>1278.6325</v>
      </c>
      <c r="C7192" s="12">
        <v>0</v>
      </c>
      <c r="D7192" s="13">
        <v>0</v>
      </c>
      <c r="E7192" s="12">
        <v>0</v>
      </c>
      <c r="F7192" s="14">
        <v>0</v>
      </c>
      <c r="G7192" s="13">
        <v>22081400.981500003</v>
      </c>
      <c r="H7192" s="14">
        <v>28233996940.4778</v>
      </c>
      <c r="I7192" s="14" t="e">
        <f>=Round(296950.73920000,0)</f>
        <v>#VALUE!</v>
      </c>
      <c r="J7192" s="14" t="e">
        <f>=Round(0.00000000,0)</f>
        <v>#VALUE!</v>
      </c>
    </row>
    <row r="7193">
      <c r="A7193" s="11" t="s">
        <v>34</v>
      </c>
      <c r="B7193" s="12">
        <v>1278.837</v>
      </c>
      <c r="C7193" s="12">
        <v>0</v>
      </c>
      <c r="D7193" s="13">
        <v>0</v>
      </c>
      <c r="E7193" s="12">
        <v>0</v>
      </c>
      <c r="F7193" s="14">
        <v>0</v>
      </c>
      <c r="G7193" s="13">
        <v>22081400.981500003</v>
      </c>
      <c r="H7193" s="14">
        <v>28238512586.978516</v>
      </c>
      <c r="I7193" s="14" t="e">
        <f>=Round(296996.96240000,0)</f>
        <v>#VALUE!</v>
      </c>
      <c r="J7193" s="14" t="e">
        <f>=Round(0.00000000,0)</f>
        <v>#VALUE!</v>
      </c>
    </row>
    <row r="7194">
      <c r="A7194" s="11" t="s">
        <v>35</v>
      </c>
      <c r="B7194" s="12">
        <v>1278.837</v>
      </c>
      <c r="C7194" s="12">
        <v>0</v>
      </c>
      <c r="D7194" s="13">
        <v>0</v>
      </c>
      <c r="E7194" s="12">
        <v>0</v>
      </c>
      <c r="F7194" s="14">
        <v>0</v>
      </c>
      <c r="G7194" s="13">
        <v>22081400.981500003</v>
      </c>
      <c r="H7194" s="14">
        <v>28238512586.978516</v>
      </c>
      <c r="I7194" s="14" t="e">
        <f>=Round(297044.46300000,0)</f>
        <v>#VALUE!</v>
      </c>
      <c r="J7194" s="14" t="e">
        <f>=Round(0.00000000,0)</f>
        <v>#VALUE!</v>
      </c>
    </row>
    <row r="7195">
      <c r="A7195" s="11" t="s">
        <v>36</v>
      </c>
      <c r="B7195" s="12">
        <v>1278.837</v>
      </c>
      <c r="C7195" s="12">
        <v>0</v>
      </c>
      <c r="D7195" s="13">
        <v>0</v>
      </c>
      <c r="E7195" s="12">
        <v>0</v>
      </c>
      <c r="F7195" s="14">
        <v>0</v>
      </c>
      <c r="G7195" s="13">
        <v>22081400.981500003</v>
      </c>
      <c r="H7195" s="14">
        <v>28238512586.978516</v>
      </c>
      <c r="I7195" s="14" t="e">
        <f>=Round(297044.46300000,0)</f>
        <v>#VALUE!</v>
      </c>
      <c r="J7195" s="14" t="e">
        <f>=Round(0.00000000,0)</f>
        <v>#VALUE!</v>
      </c>
    </row>
    <row r="7196">
      <c r="A7196" s="11" t="s">
        <v>37</v>
      </c>
      <c r="B7196" s="12">
        <v>1279.4503</v>
      </c>
      <c r="C7196" s="12">
        <v>0</v>
      </c>
      <c r="D7196" s="13">
        <v>0</v>
      </c>
      <c r="E7196" s="12">
        <v>0</v>
      </c>
      <c r="F7196" s="14">
        <v>0</v>
      </c>
      <c r="G7196" s="13">
        <v>22081400.981500003</v>
      </c>
      <c r="H7196" s="14">
        <v>28252055110.200466</v>
      </c>
      <c r="I7196" s="14" t="e">
        <f>=Round(297044.46300000,0)</f>
        <v>#VALUE!</v>
      </c>
      <c r="J7196" s="14" t="e">
        <f>=Round(0.00000000,0)</f>
        <v>#VALUE!</v>
      </c>
    </row>
    <row r="7197">
      <c r="A7197" s="11" t="s">
        <v>38</v>
      </c>
      <c r="B7197" s="12">
        <v>1279.6545</v>
      </c>
      <c r="C7197" s="12">
        <v>0</v>
      </c>
      <c r="D7197" s="13">
        <v>0</v>
      </c>
      <c r="E7197" s="12">
        <v>0</v>
      </c>
      <c r="F7197" s="14">
        <v>0</v>
      </c>
      <c r="G7197" s="13">
        <v>22081400.981500003</v>
      </c>
      <c r="H7197" s="14">
        <v>28256564132.280891</v>
      </c>
      <c r="I7197" s="14" t="e">
        <f>=Round(297186.91850000,0)</f>
        <v>#VALUE!</v>
      </c>
      <c r="J7197" s="14" t="e">
        <f>=Round(0.00000000,0)</f>
        <v>#VALUE!</v>
      </c>
    </row>
    <row r="7198">
      <c r="A7198" s="11" t="s">
        <v>39</v>
      </c>
      <c r="B7198" s="12">
        <v>1279.8598</v>
      </c>
      <c r="C7198" s="12">
        <v>0</v>
      </c>
      <c r="D7198" s="13">
        <v>0</v>
      </c>
      <c r="E7198" s="12">
        <v>0</v>
      </c>
      <c r="F7198" s="14">
        <v>0</v>
      </c>
      <c r="G7198" s="13">
        <v>22081400.981500003</v>
      </c>
      <c r="H7198" s="14">
        <v>28261097443.902393</v>
      </c>
      <c r="I7198" s="14" t="e">
        <f>=Round(297234.34950000,0)</f>
        <v>#VALUE!</v>
      </c>
      <c r="J7198" s="14" t="e">
        <f>=Round(0.00000000,0)</f>
        <v>#VALUE!</v>
      </c>
    </row>
    <row r="7199">
      <c r="A7199" s="11" t="s">
        <v>40</v>
      </c>
      <c r="B7199" s="12">
        <v>1280.0644</v>
      </c>
      <c r="C7199" s="12">
        <v>0</v>
      </c>
      <c r="D7199" s="13">
        <v>0</v>
      </c>
      <c r="E7199" s="12">
        <v>0</v>
      </c>
      <c r="F7199" s="14">
        <v>0</v>
      </c>
      <c r="G7199" s="13">
        <v>22081400.981500003</v>
      </c>
      <c r="H7199" s="14">
        <v>28265615298.543209</v>
      </c>
      <c r="I7199" s="14" t="e">
        <f>=Round(297282.03600000,0)</f>
        <v>#VALUE!</v>
      </c>
      <c r="J7199" s="14" t="e">
        <f>=Round(0.00000000,0)</f>
        <v>#VALUE!</v>
      </c>
    </row>
    <row r="7200">
      <c r="A7200" s="11" t="s">
        <v>41</v>
      </c>
      <c r="B7200" s="12">
        <v>1280.2685</v>
      </c>
      <c r="C7200" s="12">
        <v>0</v>
      </c>
      <c r="D7200" s="13">
        <v>0</v>
      </c>
      <c r="E7200" s="12">
        <v>0</v>
      </c>
      <c r="F7200" s="14">
        <v>0</v>
      </c>
      <c r="G7200" s="13">
        <v>22081400.981500003</v>
      </c>
      <c r="H7200" s="14">
        <v>28270122112.483532</v>
      </c>
      <c r="I7200" s="14" t="e">
        <f>=Round(297329.55980000,0)</f>
        <v>#VALUE!</v>
      </c>
      <c r="J7200" s="14" t="e">
        <f>=Round(0.00000000,0)</f>
        <v>#VALUE!</v>
      </c>
    </row>
    <row r="7201">
      <c r="A7201" s="11" t="s">
        <v>42</v>
      </c>
      <c r="B7201" s="12">
        <v>1280.2685</v>
      </c>
      <c r="C7201" s="12">
        <v>0</v>
      </c>
      <c r="D7201" s="13">
        <v>0</v>
      </c>
      <c r="E7201" s="12">
        <v>0</v>
      </c>
      <c r="F7201" s="14">
        <v>0</v>
      </c>
      <c r="G7201" s="13">
        <v>22081400.981500003</v>
      </c>
      <c r="H7201" s="14">
        <v>28270122112.483532</v>
      </c>
      <c r="I7201" s="14" t="e">
        <f>=Round(297376.96760000,0)</f>
        <v>#VALUE!</v>
      </c>
      <c r="J7201" s="14" t="e">
        <f>=Round(0.00000000,0)</f>
        <v>#VALUE!</v>
      </c>
    </row>
    <row r="7202">
      <c r="A7202" s="11" t="s">
        <v>43</v>
      </c>
      <c r="B7202" s="12">
        <v>1280.2685</v>
      </c>
      <c r="C7202" s="12">
        <v>0</v>
      </c>
      <c r="D7202" s="13">
        <v>0</v>
      </c>
      <c r="E7202" s="12">
        <v>0</v>
      </c>
      <c r="F7202" s="14">
        <v>0</v>
      </c>
      <c r="G7202" s="13">
        <v>22081400.981500003</v>
      </c>
      <c r="H7202" s="14">
        <v>28270122112.483532</v>
      </c>
      <c r="I7202" s="14" t="e">
        <f>=Round(297376.96760000,0)</f>
        <v>#VALUE!</v>
      </c>
      <c r="J7202" s="14" t="e">
        <f>=Round(0.00000000,0)</f>
        <v>#VALUE!</v>
      </c>
    </row>
    <row r="7203">
      <c r="A7203" s="11" t="s">
        <v>44</v>
      </c>
      <c r="B7203" s="12">
        <v>1280.8839</v>
      </c>
      <c r="C7203" s="12">
        <v>0</v>
      </c>
      <c r="D7203" s="13">
        <v>0</v>
      </c>
      <c r="E7203" s="12">
        <v>0</v>
      </c>
      <c r="F7203" s="14">
        <v>0</v>
      </c>
      <c r="G7203" s="13">
        <v>22081400.981500003</v>
      </c>
      <c r="H7203" s="14">
        <v>28283711006.647549</v>
      </c>
      <c r="I7203" s="14" t="e">
        <f>=Round(297376.96760000,0)</f>
        <v>#VALUE!</v>
      </c>
      <c r="J7203" s="14" t="e">
        <f>=Round(0.00000000,0)</f>
        <v>#VALUE!</v>
      </c>
    </row>
    <row r="7204">
      <c r="A7204" s="11" t="s">
        <v>45</v>
      </c>
      <c r="B7204" s="12">
        <v>1281.0899</v>
      </c>
      <c r="C7204" s="12">
        <v>0</v>
      </c>
      <c r="D7204" s="13">
        <v>0</v>
      </c>
      <c r="E7204" s="12">
        <v>0</v>
      </c>
      <c r="F7204" s="14">
        <v>0</v>
      </c>
      <c r="G7204" s="13">
        <v>22081400.981500003</v>
      </c>
      <c r="H7204" s="14">
        <v>28288259775.249737</v>
      </c>
      <c r="I7204" s="14" t="e">
        <f>=Round(297519.91090000,0)</f>
        <v>#VALUE!</v>
      </c>
      <c r="J7204" s="14" t="e">
        <f>=Round(0.00000000,0)</f>
        <v>#VALUE!</v>
      </c>
    </row>
    <row r="7205">
      <c r="A7205" s="11" t="s">
        <v>46</v>
      </c>
      <c r="B7205" s="12">
        <v>1281.2941</v>
      </c>
      <c r="C7205" s="12">
        <v>0</v>
      </c>
      <c r="D7205" s="13">
        <v>0</v>
      </c>
      <c r="E7205" s="12">
        <v>0</v>
      </c>
      <c r="F7205" s="14">
        <v>0</v>
      </c>
      <c r="G7205" s="13">
        <v>22081400.981500003</v>
      </c>
      <c r="H7205" s="14">
        <v>28292768797.330158</v>
      </c>
      <c r="I7205" s="14" t="e">
        <f>=Round(297567.75990000,0)</f>
        <v>#VALUE!</v>
      </c>
      <c r="J7205" s="14" t="e">
        <f>=Round(0.00000000,0)</f>
        <v>#VALUE!</v>
      </c>
    </row>
    <row r="7206">
      <c r="A7206" s="11" t="s">
        <v>47</v>
      </c>
      <c r="B7206" s="12">
        <v>1281.4992</v>
      </c>
      <c r="C7206" s="12">
        <v>0</v>
      </c>
      <c r="D7206" s="13">
        <v>0</v>
      </c>
      <c r="E7206" s="12">
        <v>0</v>
      </c>
      <c r="F7206" s="14">
        <v>0</v>
      </c>
      <c r="G7206" s="13">
        <v>22081400.981500003</v>
      </c>
      <c r="H7206" s="14">
        <v>28297297692.671463</v>
      </c>
      <c r="I7206" s="14" t="e">
        <f>=Round(297615.19090000,0)</f>
        <v>#VALUE!</v>
      </c>
      <c r="J7206" s="14" t="e">
        <f>=Round(0.00000000,0)</f>
        <v>#VALUE!</v>
      </c>
    </row>
    <row r="7207">
      <c r="A7207" s="11" t="s">
        <v>48</v>
      </c>
      <c r="B7207" s="12">
        <v>1281.706</v>
      </c>
      <c r="C7207" s="12">
        <v>0</v>
      </c>
      <c r="D7207" s="13">
        <v>0</v>
      </c>
      <c r="E7207" s="12">
        <v>0</v>
      </c>
      <c r="F7207" s="14">
        <v>0</v>
      </c>
      <c r="G7207" s="13">
        <v>22081400.981500003</v>
      </c>
      <c r="H7207" s="14">
        <v>28301864126.39444</v>
      </c>
      <c r="I7207" s="14" t="e">
        <f>=Round(297662.83090000,0)</f>
        <v>#VALUE!</v>
      </c>
      <c r="J7207" s="14" t="e">
        <f>=Round(0.00000000,0)</f>
        <v>#VALUE!</v>
      </c>
    </row>
    <row r="7208">
      <c r="A7208" s="11" t="s">
        <v>49</v>
      </c>
      <c r="B7208" s="12">
        <v>1281.706</v>
      </c>
      <c r="C7208" s="12">
        <v>0</v>
      </c>
      <c r="D7208" s="13">
        <v>0</v>
      </c>
      <c r="E7208" s="12">
        <v>0</v>
      </c>
      <c r="F7208" s="14">
        <v>0</v>
      </c>
      <c r="G7208" s="13">
        <v>22081400.981500003</v>
      </c>
      <c r="H7208" s="14">
        <v>28301864126.39444</v>
      </c>
      <c r="I7208" s="14" t="e">
        <f>=Round(297710.86580000,0)</f>
        <v>#VALUE!</v>
      </c>
      <c r="J7208" s="14" t="e">
        <f>=Round(0.00000000,0)</f>
        <v>#VALUE!</v>
      </c>
    </row>
    <row r="7209">
      <c r="A7209" s="11" t="s">
        <v>50</v>
      </c>
      <c r="B7209" s="12">
        <v>1281.706</v>
      </c>
      <c r="C7209" s="12">
        <v>0</v>
      </c>
      <c r="D7209" s="13">
        <v>0</v>
      </c>
      <c r="E7209" s="12">
        <v>0</v>
      </c>
      <c r="F7209" s="14">
        <v>0</v>
      </c>
      <c r="G7209" s="13">
        <v>22081400.981500003</v>
      </c>
      <c r="H7209" s="14">
        <v>28301864126.39444</v>
      </c>
      <c r="I7209" s="14" t="e">
        <f>=Round(297710.86580000,0)</f>
        <v>#VALUE!</v>
      </c>
      <c r="J7209" s="14" t="e">
        <f>=Round(0.00000000,0)</f>
        <v>#VALUE!</v>
      </c>
    </row>
    <row r="7210">
      <c r="A7210" s="11" t="s">
        <v>51</v>
      </c>
      <c r="B7210" s="12">
        <v>1282.3206</v>
      </c>
      <c r="C7210" s="12">
        <v>0</v>
      </c>
      <c r="D7210" s="13">
        <v>0</v>
      </c>
      <c r="E7210" s="12">
        <v>0</v>
      </c>
      <c r="F7210" s="14">
        <v>0</v>
      </c>
      <c r="G7210" s="13">
        <v>22081400.981500003</v>
      </c>
      <c r="H7210" s="14">
        <v>28315435355.437668</v>
      </c>
      <c r="I7210" s="14" t="e">
        <f>=Round(297710.86580000,0)</f>
        <v>#VALUE!</v>
      </c>
      <c r="J7210" s="14" t="e">
        <f>=Round(0.00000000,0)</f>
        <v>#VALUE!</v>
      </c>
    </row>
    <row r="7211">
      <c r="A7211" s="11" t="s">
        <v>52</v>
      </c>
      <c r="B7211" s="12">
        <v>1282.524</v>
      </c>
      <c r="C7211" s="12">
        <v>0</v>
      </c>
      <c r="D7211" s="13">
        <v>0</v>
      </c>
      <c r="E7211" s="12">
        <v>0</v>
      </c>
      <c r="F7211" s="14">
        <v>0</v>
      </c>
      <c r="G7211" s="13">
        <v>22081400.981500003</v>
      </c>
      <c r="H7211" s="14">
        <v>28319926712.397305</v>
      </c>
      <c r="I7211" s="14" t="e">
        <f>=Round(297853.62330000,0)</f>
        <v>#VALUE!</v>
      </c>
      <c r="J7211" s="14" t="e">
        <f>=Round(0.00000000,0)</f>
        <v>#VALUE!</v>
      </c>
    </row>
    <row r="7212">
      <c r="A7212" s="11" t="s">
        <v>53</v>
      </c>
      <c r="B7212" s="12">
        <v>1282.7292</v>
      </c>
      <c r="C7212" s="12">
        <v>0</v>
      </c>
      <c r="D7212" s="13">
        <v>0</v>
      </c>
      <c r="E7212" s="12">
        <v>1948969.4317</v>
      </c>
      <c r="F7212" s="14">
        <v>2499999999.95</v>
      </c>
      <c r="G7212" s="13">
        <v>22081400.981500003</v>
      </c>
      <c r="H7212" s="14">
        <v>28324457815.878712</v>
      </c>
      <c r="I7212" s="14" t="e">
        <f>=Round(297900.86840000,0)</f>
        <v>#VALUE!</v>
      </c>
      <c r="J7212" s="14" t="e">
        <f>=Round(0.00000000,0)</f>
        <v>#VALUE!</v>
      </c>
    </row>
    <row r="7213">
      <c r="A7213" s="11" t="s">
        <v>54</v>
      </c>
      <c r="B7213" s="12">
        <v>1282.9343</v>
      </c>
      <c r="C7213" s="12">
        <v>0</v>
      </c>
      <c r="D7213" s="13">
        <v>0</v>
      </c>
      <c r="E7213" s="12">
        <v>0</v>
      </c>
      <c r="F7213" s="14">
        <v>0</v>
      </c>
      <c r="G7213" s="13">
        <v>20132431.5498</v>
      </c>
      <c r="H7213" s="14">
        <v>25828586977.640575</v>
      </c>
      <c r="I7213" s="14" t="e">
        <f>=Round(297948.53170000,0)</f>
        <v>#VALUE!</v>
      </c>
      <c r="J7213" s="14" t="e">
        <f>=Round(0.00000000,0)</f>
        <v>#VALUE!</v>
      </c>
    </row>
    <row r="7214">
      <c r="A7214" s="11" t="s">
        <v>55</v>
      </c>
      <c r="B7214" s="12">
        <v>1283.1158</v>
      </c>
      <c r="C7214" s="12">
        <v>0</v>
      </c>
      <c r="D7214" s="13">
        <v>0</v>
      </c>
      <c r="E7214" s="12">
        <v>0</v>
      </c>
      <c r="F7214" s="14">
        <v>0</v>
      </c>
      <c r="G7214" s="13">
        <v>20132431.5498</v>
      </c>
      <c r="H7214" s="14">
        <v>25832241013.966869</v>
      </c>
      <c r="I7214" s="14" t="e">
        <f>=Round(271694.15260000,0)</f>
        <v>#VALUE!</v>
      </c>
      <c r="J7214" s="14" t="e">
        <f>=Round(0.00000000,0)</f>
        <v>#VALUE!</v>
      </c>
    </row>
    <row r="7215" ht="-1">
      <c r="A7215" s="15"/>
      <c r="B7215" s="16" t="s">
        <v>56</v>
      </c>
      <c r="C7215" s="15"/>
      <c r="D7215" s="15"/>
      <c r="E7215" s="15"/>
      <c r="F7215" s="15"/>
      <c r="G7215" s="15"/>
      <c r="H7215" s="15"/>
      <c r="I7215" s="17" t="e">
        <f>=Round(SUM(I7189:I7214),0)</f>
        <v>#VALUE!</v>
      </c>
      <c r="J7215" s="17" t="e">
        <f>=Round(SUM(J7189:J7214),0)</f>
        <v>#VALUE!</v>
      </c>
    </row>
    <row r="7216">
      <c r="A7216" s="1" t="s">
        <v>0</v>
      </c>
      <c r="B7216" s="1"/>
      <c r="C7216" s="1"/>
      <c r="D7216" s="1"/>
    </row>
    <row r="7217">
      <c r="A7217" s="0" t="s">
        <v>1</v>
      </c>
      <c r="C7217" s="0" t="s">
        <v>234</v>
      </c>
      <c r="H7217" s="2" t="s">
        <v>3</v>
      </c>
    </row>
    <row r="7218">
      <c r="A7218" s="0" t="s">
        <v>4</v>
      </c>
      <c r="C7218" s="0" t="s">
        <v>252</v>
      </c>
      <c r="H7218" s="3" t="s">
        <v>6</v>
      </c>
    </row>
    <row r="7219">
      <c r="A7219" s="0" t="s">
        <v>7</v>
      </c>
      <c r="C7219" s="4" t="s">
        <v>205</v>
      </c>
      <c r="H7219" s="2" t="s">
        <v>9</v>
      </c>
    </row>
    <row r="7220">
      <c r="A7220" s="0" t="s">
        <v>10</v>
      </c>
      <c r="C7220" s="4" t="s">
        <v>11</v>
      </c>
      <c r="H7220" s="2" t="s">
        <v>12</v>
      </c>
    </row>
    <row r="7221">
      <c r="A7221" s="0" t="s">
        <v>13</v>
      </c>
      <c r="C7221" s="0" t="s">
        <v>14</v>
      </c>
    </row>
    <row r="7222">
      <c r="A7222" s="0" t="s">
        <v>15</v>
      </c>
      <c r="C7222" s="0" t="s">
        <v>16</v>
      </c>
    </row>
    <row r="7223">
      <c r="A7223" s="0" t="s">
        <v>17</v>
      </c>
      <c r="C7223" s="0" t="s">
        <v>18</v>
      </c>
    </row>
    <row r="7226">
      <c r="A7226" s="5" t="s">
        <v>19</v>
      </c>
      <c r="B7226" s="5" t="s">
        <v>20</v>
      </c>
      <c r="C7226" s="7" t="s">
        <v>21</v>
      </c>
      <c r="D7226" s="9"/>
      <c r="E7226" s="7" t="s">
        <v>22</v>
      </c>
      <c r="F7226" s="9"/>
      <c r="G7226" s="5" t="s">
        <v>23</v>
      </c>
      <c r="H7226" s="5" t="s">
        <v>24</v>
      </c>
      <c r="I7226" s="5" t="s">
        <v>206</v>
      </c>
      <c r="J7226" s="5" t="s">
        <v>26</v>
      </c>
    </row>
    <row r="7227">
      <c r="A7227" s="6"/>
      <c r="B7227" s="6"/>
      <c r="C7227" s="8" t="s">
        <v>27</v>
      </c>
      <c r="D7227" s="8" t="s">
        <v>28</v>
      </c>
      <c r="E7227" s="8" t="s">
        <v>27</v>
      </c>
      <c r="F7227" s="8" t="s">
        <v>28</v>
      </c>
      <c r="G7227" s="6"/>
      <c r="H7227" s="6"/>
      <c r="I7227" s="10" t="s">
        <v>29</v>
      </c>
      <c r="J7227" s="6"/>
    </row>
    <row r="7228">
      <c r="A7228" s="11" t="s">
        <v>30</v>
      </c>
      <c r="B7228" s="12">
        <v>1278.0261</v>
      </c>
      <c r="C7228" s="12">
        <v>0</v>
      </c>
      <c r="D7228" s="13">
        <v>0</v>
      </c>
      <c r="E7228" s="12">
        <v>0</v>
      </c>
      <c r="F7228" s="14">
        <v>0</v>
      </c>
      <c r="G7228" s="13">
        <v>19679959.771</v>
      </c>
      <c r="H7228" s="14">
        <v>25151502234.288025</v>
      </c>
      <c r="I7228" s="14" t="e">
        <f>=Round(264445.20220000,0)</f>
        <v>#VALUE!</v>
      </c>
      <c r="J7228" s="14" t="e">
        <f>=Round(0.00000000,0)</f>
        <v>#VALUE!</v>
      </c>
    </row>
    <row r="7229">
      <c r="A7229" s="11" t="s">
        <v>31</v>
      </c>
      <c r="B7229" s="12">
        <v>1278.2299</v>
      </c>
      <c r="C7229" s="12">
        <v>0</v>
      </c>
      <c r="D7229" s="13">
        <v>0</v>
      </c>
      <c r="E7229" s="12">
        <v>0</v>
      </c>
      <c r="F7229" s="14">
        <v>0</v>
      </c>
      <c r="G7229" s="13">
        <v>19679959.771</v>
      </c>
      <c r="H7229" s="14">
        <v>25155513010.089352</v>
      </c>
      <c r="I7229" s="14" t="e">
        <f>=Round(264571.81310000,0)</f>
        <v>#VALUE!</v>
      </c>
      <c r="J7229" s="14" t="e">
        <f>=Round(0.00000000,0)</f>
        <v>#VALUE!</v>
      </c>
    </row>
    <row r="7230">
      <c r="A7230" s="11" t="s">
        <v>32</v>
      </c>
      <c r="B7230" s="12">
        <v>1278.4335</v>
      </c>
      <c r="C7230" s="12">
        <v>0</v>
      </c>
      <c r="D7230" s="13">
        <v>0</v>
      </c>
      <c r="E7230" s="12">
        <v>0</v>
      </c>
      <c r="F7230" s="14">
        <v>0</v>
      </c>
      <c r="G7230" s="13">
        <v>19679959.771</v>
      </c>
      <c r="H7230" s="14">
        <v>25159519849.898727</v>
      </c>
      <c r="I7230" s="14" t="e">
        <f>=Round(264614.00300000,0)</f>
        <v>#VALUE!</v>
      </c>
      <c r="J7230" s="14" t="e">
        <f>=Round(0.00000000,0)</f>
        <v>#VALUE!</v>
      </c>
    </row>
    <row r="7231">
      <c r="A7231" s="11" t="s">
        <v>33</v>
      </c>
      <c r="B7231" s="12">
        <v>1278.6325</v>
      </c>
      <c r="C7231" s="12">
        <v>0</v>
      </c>
      <c r="D7231" s="13">
        <v>0</v>
      </c>
      <c r="E7231" s="12">
        <v>0</v>
      </c>
      <c r="F7231" s="14">
        <v>0</v>
      </c>
      <c r="G7231" s="13">
        <v>19679959.771</v>
      </c>
      <c r="H7231" s="14">
        <v>25163436161.893162</v>
      </c>
      <c r="I7231" s="14" t="e">
        <f>=Round(264656.15140000,0)</f>
        <v>#VALUE!</v>
      </c>
      <c r="J7231" s="14" t="e">
        <f>=Round(0.00000000,0)</f>
        <v>#VALUE!</v>
      </c>
    </row>
    <row r="7232">
      <c r="A7232" s="11" t="s">
        <v>34</v>
      </c>
      <c r="B7232" s="12">
        <v>1278.837</v>
      </c>
      <c r="C7232" s="12">
        <v>0</v>
      </c>
      <c r="D7232" s="13">
        <v>0</v>
      </c>
      <c r="E7232" s="12">
        <v>0</v>
      </c>
      <c r="F7232" s="14">
        <v>0</v>
      </c>
      <c r="G7232" s="13">
        <v>19679959.771</v>
      </c>
      <c r="H7232" s="14">
        <v>25167460713.666328</v>
      </c>
      <c r="I7232" s="14" t="e">
        <f>=Round(264697.34760000,0)</f>
        <v>#VALUE!</v>
      </c>
      <c r="J7232" s="14" t="e">
        <f>=Round(0.00000000,0)</f>
        <v>#VALUE!</v>
      </c>
    </row>
    <row r="7233">
      <c r="A7233" s="11" t="s">
        <v>35</v>
      </c>
      <c r="B7233" s="12">
        <v>1278.837</v>
      </c>
      <c r="C7233" s="12">
        <v>0</v>
      </c>
      <c r="D7233" s="13">
        <v>0</v>
      </c>
      <c r="E7233" s="12">
        <v>0</v>
      </c>
      <c r="F7233" s="14">
        <v>0</v>
      </c>
      <c r="G7233" s="13">
        <v>19679959.771</v>
      </c>
      <c r="H7233" s="14">
        <v>25167460713.666328</v>
      </c>
      <c r="I7233" s="14" t="e">
        <f>=Round(264739.68240000,0)</f>
        <v>#VALUE!</v>
      </c>
      <c r="J7233" s="14" t="e">
        <f>=Round(0.00000000,0)</f>
        <v>#VALUE!</v>
      </c>
    </row>
    <row r="7234">
      <c r="A7234" s="11" t="s">
        <v>36</v>
      </c>
      <c r="B7234" s="12">
        <v>1278.837</v>
      </c>
      <c r="C7234" s="12">
        <v>0</v>
      </c>
      <c r="D7234" s="13">
        <v>0</v>
      </c>
      <c r="E7234" s="12">
        <v>0</v>
      </c>
      <c r="F7234" s="14">
        <v>0</v>
      </c>
      <c r="G7234" s="13">
        <v>19679959.771</v>
      </c>
      <c r="H7234" s="14">
        <v>25167460713.666328</v>
      </c>
      <c r="I7234" s="14" t="e">
        <f>=Round(264739.68240000,0)</f>
        <v>#VALUE!</v>
      </c>
      <c r="J7234" s="14" t="e">
        <f>=Round(0.00000000,0)</f>
        <v>#VALUE!</v>
      </c>
    </row>
    <row r="7235">
      <c r="A7235" s="11" t="s">
        <v>37</v>
      </c>
      <c r="B7235" s="12">
        <v>1279.4503</v>
      </c>
      <c r="C7235" s="12">
        <v>0</v>
      </c>
      <c r="D7235" s="13">
        <v>0</v>
      </c>
      <c r="E7235" s="12">
        <v>0</v>
      </c>
      <c r="F7235" s="14">
        <v>0</v>
      </c>
      <c r="G7235" s="13">
        <v>19679959.771</v>
      </c>
      <c r="H7235" s="14">
        <v>25179530432.993881</v>
      </c>
      <c r="I7235" s="14" t="e">
        <f>=Round(264739.68240000,0)</f>
        <v>#VALUE!</v>
      </c>
      <c r="J7235" s="14" t="e">
        <f>=Round(0.00000000,0)</f>
        <v>#VALUE!</v>
      </c>
    </row>
    <row r="7236">
      <c r="A7236" s="11" t="s">
        <v>38</v>
      </c>
      <c r="B7236" s="12">
        <v>1279.6545</v>
      </c>
      <c r="C7236" s="12">
        <v>0</v>
      </c>
      <c r="D7236" s="13">
        <v>0</v>
      </c>
      <c r="E7236" s="12">
        <v>0</v>
      </c>
      <c r="F7236" s="14">
        <v>0</v>
      </c>
      <c r="G7236" s="13">
        <v>19679959.771</v>
      </c>
      <c r="H7236" s="14">
        <v>25183549080.779121</v>
      </c>
      <c r="I7236" s="14" t="e">
        <f>=Round(264866.64530000,0)</f>
        <v>#VALUE!</v>
      </c>
      <c r="J7236" s="14" t="e">
        <f>=Round(0.00000000,0)</f>
        <v>#VALUE!</v>
      </c>
    </row>
    <row r="7237">
      <c r="A7237" s="11" t="s">
        <v>39</v>
      </c>
      <c r="B7237" s="12">
        <v>1279.8598</v>
      </c>
      <c r="C7237" s="12">
        <v>0</v>
      </c>
      <c r="D7237" s="13">
        <v>0</v>
      </c>
      <c r="E7237" s="12">
        <v>0</v>
      </c>
      <c r="F7237" s="14">
        <v>0</v>
      </c>
      <c r="G7237" s="13">
        <v>19679959.771</v>
      </c>
      <c r="H7237" s="14">
        <v>25187589376.520103</v>
      </c>
      <c r="I7237" s="14" t="e">
        <f>=Round(264908.91790000,0)</f>
        <v>#VALUE!</v>
      </c>
      <c r="J7237" s="14" t="e">
        <f>=Round(0.00000000,0)</f>
        <v>#VALUE!</v>
      </c>
    </row>
    <row r="7238">
      <c r="A7238" s="11" t="s">
        <v>40</v>
      </c>
      <c r="B7238" s="12">
        <v>1280.0644</v>
      </c>
      <c r="C7238" s="12">
        <v>0</v>
      </c>
      <c r="D7238" s="13">
        <v>0</v>
      </c>
      <c r="E7238" s="12">
        <v>0</v>
      </c>
      <c r="F7238" s="14">
        <v>0</v>
      </c>
      <c r="G7238" s="13">
        <v>19679959.771</v>
      </c>
      <c r="H7238" s="14">
        <v>25191615896.289253</v>
      </c>
      <c r="I7238" s="14" t="e">
        <f>=Round(264951.41830000,0)</f>
        <v>#VALUE!</v>
      </c>
      <c r="J7238" s="14" t="e">
        <f>=Round(0.00000000,0)</f>
        <v>#VALUE!</v>
      </c>
    </row>
    <row r="7239">
      <c r="A7239" s="11" t="s">
        <v>41</v>
      </c>
      <c r="B7239" s="12">
        <v>1280.2685</v>
      </c>
      <c r="C7239" s="12">
        <v>0</v>
      </c>
      <c r="D7239" s="13">
        <v>0</v>
      </c>
      <c r="E7239" s="12">
        <v>0</v>
      </c>
      <c r="F7239" s="14">
        <v>0</v>
      </c>
      <c r="G7239" s="13">
        <v>19679959.771</v>
      </c>
      <c r="H7239" s="14">
        <v>25195632576.07851</v>
      </c>
      <c r="I7239" s="14" t="e">
        <f>=Round(264993.77380000,0)</f>
        <v>#VALUE!</v>
      </c>
      <c r="J7239" s="14" t="e">
        <f>=Round(0.00000000,0)</f>
        <v>#VALUE!</v>
      </c>
    </row>
    <row r="7240">
      <c r="A7240" s="11" t="s">
        <v>42</v>
      </c>
      <c r="B7240" s="12">
        <v>1280.2685</v>
      </c>
      <c r="C7240" s="12">
        <v>0</v>
      </c>
      <c r="D7240" s="13">
        <v>0</v>
      </c>
      <c r="E7240" s="12">
        <v>0</v>
      </c>
      <c r="F7240" s="14">
        <v>0</v>
      </c>
      <c r="G7240" s="13">
        <v>19679959.771</v>
      </c>
      <c r="H7240" s="14">
        <v>25195632576.07851</v>
      </c>
      <c r="I7240" s="14" t="e">
        <f>=Round(265036.02570000,0)</f>
        <v>#VALUE!</v>
      </c>
      <c r="J7240" s="14" t="e">
        <f>=Round(0.00000000,0)</f>
        <v>#VALUE!</v>
      </c>
    </row>
    <row r="7241">
      <c r="A7241" s="11" t="s">
        <v>43</v>
      </c>
      <c r="B7241" s="12">
        <v>1280.2685</v>
      </c>
      <c r="C7241" s="12">
        <v>0</v>
      </c>
      <c r="D7241" s="13">
        <v>0</v>
      </c>
      <c r="E7241" s="12">
        <v>0</v>
      </c>
      <c r="F7241" s="14">
        <v>0</v>
      </c>
      <c r="G7241" s="13">
        <v>19679959.771</v>
      </c>
      <c r="H7241" s="14">
        <v>25195632576.07851</v>
      </c>
      <c r="I7241" s="14" t="e">
        <f>=Round(265036.02570000,0)</f>
        <v>#VALUE!</v>
      </c>
      <c r="J7241" s="14" t="e">
        <f>=Round(0.00000000,0)</f>
        <v>#VALUE!</v>
      </c>
    </row>
    <row r="7242">
      <c r="A7242" s="11" t="s">
        <v>44</v>
      </c>
      <c r="B7242" s="12">
        <v>1280.8839</v>
      </c>
      <c r="C7242" s="12">
        <v>0</v>
      </c>
      <c r="D7242" s="13">
        <v>0</v>
      </c>
      <c r="E7242" s="12">
        <v>0</v>
      </c>
      <c r="F7242" s="14">
        <v>0</v>
      </c>
      <c r="G7242" s="13">
        <v>19679959.771</v>
      </c>
      <c r="H7242" s="14">
        <v>25207743623.321587</v>
      </c>
      <c r="I7242" s="14" t="e">
        <f>=Round(265036.02570000,0)</f>
        <v>#VALUE!</v>
      </c>
      <c r="J7242" s="14" t="e">
        <f>=Round(0.00000000,0)</f>
        <v>#VALUE!</v>
      </c>
    </row>
    <row r="7243">
      <c r="A7243" s="11" t="s">
        <v>45</v>
      </c>
      <c r="B7243" s="12">
        <v>1281.0899</v>
      </c>
      <c r="C7243" s="12">
        <v>0</v>
      </c>
      <c r="D7243" s="13">
        <v>0</v>
      </c>
      <c r="E7243" s="12">
        <v>0</v>
      </c>
      <c r="F7243" s="14">
        <v>0</v>
      </c>
      <c r="G7243" s="13">
        <v>19679959.771</v>
      </c>
      <c r="H7243" s="14">
        <v>25211797695.034412</v>
      </c>
      <c r="I7243" s="14" t="e">
        <f>=Round(265163.42340000,0)</f>
        <v>#VALUE!</v>
      </c>
      <c r="J7243" s="14" t="e">
        <f>=Round(0.00000000,0)</f>
        <v>#VALUE!</v>
      </c>
    </row>
    <row r="7244">
      <c r="A7244" s="11" t="s">
        <v>46</v>
      </c>
      <c r="B7244" s="12">
        <v>1281.2941</v>
      </c>
      <c r="C7244" s="12">
        <v>0</v>
      </c>
      <c r="D7244" s="13">
        <v>0</v>
      </c>
      <c r="E7244" s="12">
        <v>0</v>
      </c>
      <c r="F7244" s="14">
        <v>0</v>
      </c>
      <c r="G7244" s="13">
        <v>19679959.771</v>
      </c>
      <c r="H7244" s="14">
        <v>25215816342.819653</v>
      </c>
      <c r="I7244" s="14" t="e">
        <f>=Round(265206.06860000,0)</f>
        <v>#VALUE!</v>
      </c>
      <c r="J7244" s="14" t="e">
        <f>=Round(0.00000000,0)</f>
        <v>#VALUE!</v>
      </c>
    </row>
    <row r="7245">
      <c r="A7245" s="11" t="s">
        <v>47</v>
      </c>
      <c r="B7245" s="12">
        <v>1281.4992</v>
      </c>
      <c r="C7245" s="12">
        <v>0</v>
      </c>
      <c r="D7245" s="13">
        <v>0</v>
      </c>
      <c r="E7245" s="12">
        <v>0</v>
      </c>
      <c r="F7245" s="14">
        <v>0</v>
      </c>
      <c r="G7245" s="13">
        <v>19679959.771</v>
      </c>
      <c r="H7245" s="14">
        <v>25219852702.568684</v>
      </c>
      <c r="I7245" s="14" t="e">
        <f>=Round(265248.34130000,0)</f>
        <v>#VALUE!</v>
      </c>
      <c r="J7245" s="14" t="e">
        <f>=Round(0.00000000,0)</f>
        <v>#VALUE!</v>
      </c>
    </row>
    <row r="7246">
      <c r="A7246" s="11" t="s">
        <v>48</v>
      </c>
      <c r="B7246" s="12">
        <v>1281.706</v>
      </c>
      <c r="C7246" s="12">
        <v>0</v>
      </c>
      <c r="D7246" s="13">
        <v>0</v>
      </c>
      <c r="E7246" s="12">
        <v>0</v>
      </c>
      <c r="F7246" s="14">
        <v>0</v>
      </c>
      <c r="G7246" s="13">
        <v>19679959.771</v>
      </c>
      <c r="H7246" s="14">
        <v>25223922518.249329</v>
      </c>
      <c r="I7246" s="14" t="e">
        <f>=Round(265290.80030000,0)</f>
        <v>#VALUE!</v>
      </c>
      <c r="J7246" s="14" t="e">
        <f>=Round(0.00000000,0)</f>
        <v>#VALUE!</v>
      </c>
    </row>
    <row r="7247">
      <c r="A7247" s="11" t="s">
        <v>49</v>
      </c>
      <c r="B7247" s="12">
        <v>1281.706</v>
      </c>
      <c r="C7247" s="12">
        <v>0</v>
      </c>
      <c r="D7247" s="13">
        <v>0</v>
      </c>
      <c r="E7247" s="12">
        <v>0</v>
      </c>
      <c r="F7247" s="14">
        <v>0</v>
      </c>
      <c r="G7247" s="13">
        <v>19679959.771</v>
      </c>
      <c r="H7247" s="14">
        <v>25223922518.249329</v>
      </c>
      <c r="I7247" s="14" t="e">
        <f>=Round(265333.61120000,0)</f>
        <v>#VALUE!</v>
      </c>
      <c r="J7247" s="14" t="e">
        <f>=Round(0.00000000,0)</f>
        <v>#VALUE!</v>
      </c>
    </row>
    <row r="7248">
      <c r="A7248" s="11" t="s">
        <v>50</v>
      </c>
      <c r="B7248" s="12">
        <v>1281.706</v>
      </c>
      <c r="C7248" s="12">
        <v>0</v>
      </c>
      <c r="D7248" s="13">
        <v>0</v>
      </c>
      <c r="E7248" s="12">
        <v>0</v>
      </c>
      <c r="F7248" s="14">
        <v>0</v>
      </c>
      <c r="G7248" s="13">
        <v>19679959.771</v>
      </c>
      <c r="H7248" s="14">
        <v>25223922518.249329</v>
      </c>
      <c r="I7248" s="14" t="e">
        <f>=Round(265333.61120000,0)</f>
        <v>#VALUE!</v>
      </c>
      <c r="J7248" s="14" t="e">
        <f>=Round(0.00000000,0)</f>
        <v>#VALUE!</v>
      </c>
    </row>
    <row r="7249">
      <c r="A7249" s="11" t="s">
        <v>51</v>
      </c>
      <c r="B7249" s="12">
        <v>1282.3206</v>
      </c>
      <c r="C7249" s="12">
        <v>0</v>
      </c>
      <c r="D7249" s="13">
        <v>0</v>
      </c>
      <c r="E7249" s="12">
        <v>0</v>
      </c>
      <c r="F7249" s="14">
        <v>0</v>
      </c>
      <c r="G7249" s="13">
        <v>19679959.771</v>
      </c>
      <c r="H7249" s="14">
        <v>25236017821.524586</v>
      </c>
      <c r="I7249" s="14" t="e">
        <f>=Round(265333.61120000,0)</f>
        <v>#VALUE!</v>
      </c>
      <c r="J7249" s="14" t="e">
        <f>=Round(0.00000000,0)</f>
        <v>#VALUE!</v>
      </c>
    </row>
    <row r="7250">
      <c r="A7250" s="11" t="s">
        <v>52</v>
      </c>
      <c r="B7250" s="12">
        <v>1282.524</v>
      </c>
      <c r="C7250" s="12">
        <v>0</v>
      </c>
      <c r="D7250" s="13">
        <v>0</v>
      </c>
      <c r="E7250" s="12">
        <v>0</v>
      </c>
      <c r="F7250" s="14">
        <v>0</v>
      </c>
      <c r="G7250" s="13">
        <v>19679959.771</v>
      </c>
      <c r="H7250" s="14">
        <v>25240020725.342003</v>
      </c>
      <c r="I7250" s="14" t="e">
        <f>=Round(265460.84320000,0)</f>
        <v>#VALUE!</v>
      </c>
      <c r="J7250" s="14" t="e">
        <f>=Round(0.00000000,0)</f>
        <v>#VALUE!</v>
      </c>
    </row>
    <row r="7251">
      <c r="A7251" s="11" t="s">
        <v>53</v>
      </c>
      <c r="B7251" s="12">
        <v>1282.7292</v>
      </c>
      <c r="C7251" s="12">
        <v>0</v>
      </c>
      <c r="D7251" s="13">
        <v>0</v>
      </c>
      <c r="E7251" s="12">
        <v>0</v>
      </c>
      <c r="F7251" s="14">
        <v>0</v>
      </c>
      <c r="G7251" s="13">
        <v>19679959.771</v>
      </c>
      <c r="H7251" s="14">
        <v>25244059053.087013</v>
      </c>
      <c r="I7251" s="14" t="e">
        <f>=Round(265502.95030000,0)</f>
        <v>#VALUE!</v>
      </c>
      <c r="J7251" s="14" t="e">
        <f>=Round(0.00000000,0)</f>
        <v>#VALUE!</v>
      </c>
    </row>
    <row r="7252">
      <c r="A7252" s="11" t="s">
        <v>54</v>
      </c>
      <c r="B7252" s="12">
        <v>1282.9343</v>
      </c>
      <c r="C7252" s="12">
        <v>0</v>
      </c>
      <c r="D7252" s="13">
        <v>0</v>
      </c>
      <c r="E7252" s="12">
        <v>0</v>
      </c>
      <c r="F7252" s="14">
        <v>0</v>
      </c>
      <c r="G7252" s="13">
        <v>19679959.771</v>
      </c>
      <c r="H7252" s="14">
        <v>25248095412.836044</v>
      </c>
      <c r="I7252" s="14" t="e">
        <f>=Round(265545.42990000,0)</f>
        <v>#VALUE!</v>
      </c>
      <c r="J7252" s="14" t="e">
        <f>=Round(0.00000000,0)</f>
        <v>#VALUE!</v>
      </c>
    </row>
    <row r="7253">
      <c r="A7253" s="11" t="s">
        <v>55</v>
      </c>
      <c r="B7253" s="12">
        <v>1283.1158</v>
      </c>
      <c r="C7253" s="12">
        <v>0</v>
      </c>
      <c r="D7253" s="13">
        <v>0</v>
      </c>
      <c r="E7253" s="12">
        <v>0</v>
      </c>
      <c r="F7253" s="14">
        <v>0</v>
      </c>
      <c r="G7253" s="13">
        <v>19679959.771</v>
      </c>
      <c r="H7253" s="14">
        <v>25251667325.534481</v>
      </c>
      <c r="I7253" s="14" t="e">
        <f>=Round(265587.88890000,0)</f>
        <v>#VALUE!</v>
      </c>
      <c r="J7253" s="14" t="e">
        <f>=Round(0.00000000,0)</f>
        <v>#VALUE!</v>
      </c>
    </row>
    <row r="7254" ht="-1">
      <c r="A7254" s="15"/>
      <c r="B7254" s="16" t="s">
        <v>56</v>
      </c>
      <c r="C7254" s="15"/>
      <c r="D7254" s="15"/>
      <c r="E7254" s="15"/>
      <c r="F7254" s="15"/>
      <c r="G7254" s="15"/>
      <c r="H7254" s="15"/>
      <c r="I7254" s="17" t="e">
        <f>=Round(SUM(I7228:I7253),0)</f>
        <v>#VALUE!</v>
      </c>
      <c r="J7254" s="17" t="e">
        <f>=Round(SUM(J7228:J7253),0)</f>
        <v>#VALUE!</v>
      </c>
    </row>
    <row r="7255">
      <c r="A7255" s="1" t="s">
        <v>0</v>
      </c>
      <c r="B7255" s="1"/>
      <c r="C7255" s="1"/>
      <c r="D7255" s="1"/>
    </row>
    <row r="7256">
      <c r="A7256" s="0" t="s">
        <v>1</v>
      </c>
      <c r="C7256" s="0" t="s">
        <v>234</v>
      </c>
      <c r="H7256" s="2" t="s">
        <v>3</v>
      </c>
    </row>
    <row r="7257">
      <c r="A7257" s="0" t="s">
        <v>4</v>
      </c>
      <c r="C7257" s="0" t="s">
        <v>253</v>
      </c>
      <c r="H7257" s="3" t="s">
        <v>6</v>
      </c>
    </row>
    <row r="7258">
      <c r="A7258" s="0" t="s">
        <v>7</v>
      </c>
      <c r="C7258" s="4" t="s">
        <v>205</v>
      </c>
      <c r="H7258" s="2" t="s">
        <v>9</v>
      </c>
    </row>
    <row r="7259">
      <c r="A7259" s="0" t="s">
        <v>10</v>
      </c>
      <c r="C7259" s="4" t="s">
        <v>124</v>
      </c>
      <c r="H7259" s="2" t="s">
        <v>12</v>
      </c>
    </row>
    <row r="7260">
      <c r="A7260" s="0" t="s">
        <v>13</v>
      </c>
      <c r="C7260" s="0" t="s">
        <v>14</v>
      </c>
    </row>
    <row r="7261">
      <c r="A7261" s="0" t="s">
        <v>15</v>
      </c>
      <c r="C7261" s="0" t="s">
        <v>16</v>
      </c>
    </row>
    <row r="7262">
      <c r="A7262" s="0" t="s">
        <v>17</v>
      </c>
      <c r="C7262" s="0" t="s">
        <v>18</v>
      </c>
    </row>
    <row r="7265">
      <c r="A7265" s="5" t="s">
        <v>19</v>
      </c>
      <c r="B7265" s="5" t="s">
        <v>20</v>
      </c>
      <c r="C7265" s="7" t="s">
        <v>21</v>
      </c>
      <c r="D7265" s="9"/>
      <c r="E7265" s="7" t="s">
        <v>22</v>
      </c>
      <c r="F7265" s="9"/>
      <c r="G7265" s="5" t="s">
        <v>23</v>
      </c>
      <c r="H7265" s="5" t="s">
        <v>24</v>
      </c>
      <c r="I7265" s="5" t="s">
        <v>206</v>
      </c>
      <c r="J7265" s="5" t="s">
        <v>125</v>
      </c>
    </row>
    <row r="7266">
      <c r="A7266" s="6"/>
      <c r="B7266" s="6"/>
      <c r="C7266" s="8" t="s">
        <v>27</v>
      </c>
      <c r="D7266" s="8" t="s">
        <v>28</v>
      </c>
      <c r="E7266" s="8" t="s">
        <v>27</v>
      </c>
      <c r="F7266" s="8" t="s">
        <v>28</v>
      </c>
      <c r="G7266" s="6"/>
      <c r="H7266" s="6"/>
      <c r="I7266" s="10" t="s">
        <v>29</v>
      </c>
      <c r="J7266" s="6"/>
    </row>
    <row r="7267">
      <c r="A7267" s="11" t="s">
        <v>30</v>
      </c>
      <c r="B7267" s="12">
        <v>1278.0261</v>
      </c>
      <c r="C7267" s="12">
        <v>0</v>
      </c>
      <c r="D7267" s="13">
        <v>0</v>
      </c>
      <c r="E7267" s="12">
        <v>0</v>
      </c>
      <c r="F7267" s="14">
        <v>0</v>
      </c>
      <c r="G7267" s="13">
        <v>3944.9002</v>
      </c>
      <c r="H7267" s="14">
        <v>5041685.417495</v>
      </c>
      <c r="I7267" s="14" t="e">
        <f>=Round(53.00870000,0)</f>
        <v>#VALUE!</v>
      </c>
      <c r="J7267" s="14" t="e">
        <f>=Round(24.09490000,0)</f>
        <v>#VALUE!</v>
      </c>
    </row>
    <row r="7268">
      <c r="A7268" s="11" t="s">
        <v>31</v>
      </c>
      <c r="B7268" s="12">
        <v>1278.2299</v>
      </c>
      <c r="C7268" s="12">
        <v>0</v>
      </c>
      <c r="D7268" s="13">
        <v>0</v>
      </c>
      <c r="E7268" s="12">
        <v>0</v>
      </c>
      <c r="F7268" s="14">
        <v>0</v>
      </c>
      <c r="G7268" s="13">
        <v>3944.9002</v>
      </c>
      <c r="H7268" s="14">
        <v>5042489.388156</v>
      </c>
      <c r="I7268" s="14" t="e">
        <f>=Round(53.03410000,0)</f>
        <v>#VALUE!</v>
      </c>
      <c r="J7268" s="14" t="e">
        <f>=Round(24.10640000,0)</f>
        <v>#VALUE!</v>
      </c>
    </row>
    <row r="7269">
      <c r="A7269" s="11" t="s">
        <v>32</v>
      </c>
      <c r="B7269" s="12">
        <v>1278.4335</v>
      </c>
      <c r="C7269" s="12">
        <v>0</v>
      </c>
      <c r="D7269" s="13">
        <v>0</v>
      </c>
      <c r="E7269" s="12">
        <v>0</v>
      </c>
      <c r="F7269" s="14">
        <v>0</v>
      </c>
      <c r="G7269" s="13">
        <v>3944.9002</v>
      </c>
      <c r="H7269" s="14">
        <v>5043292.569837</v>
      </c>
      <c r="I7269" s="14" t="e">
        <f>=Round(53.04260000,0)</f>
        <v>#VALUE!</v>
      </c>
      <c r="J7269" s="14" t="e">
        <f>=Round(24.11020000,0)</f>
        <v>#VALUE!</v>
      </c>
    </row>
    <row r="7270">
      <c r="A7270" s="11" t="s">
        <v>33</v>
      </c>
      <c r="B7270" s="12">
        <v>1278.6325</v>
      </c>
      <c r="C7270" s="12">
        <v>0</v>
      </c>
      <c r="D7270" s="13">
        <v>0</v>
      </c>
      <c r="E7270" s="12">
        <v>0</v>
      </c>
      <c r="F7270" s="14">
        <v>0</v>
      </c>
      <c r="G7270" s="13">
        <v>3944.9002</v>
      </c>
      <c r="H7270" s="14">
        <v>5044077.604977</v>
      </c>
      <c r="I7270" s="14" t="e">
        <f>=Round(53.05100000,0)</f>
        <v>#VALUE!</v>
      </c>
      <c r="J7270" s="14" t="e">
        <f>=Round(24.11410000,0)</f>
        <v>#VALUE!</v>
      </c>
    </row>
    <row r="7271">
      <c r="A7271" s="11" t="s">
        <v>34</v>
      </c>
      <c r="B7271" s="12">
        <v>1278.837</v>
      </c>
      <c r="C7271" s="12">
        <v>0</v>
      </c>
      <c r="D7271" s="13">
        <v>0</v>
      </c>
      <c r="E7271" s="12">
        <v>0</v>
      </c>
      <c r="F7271" s="14">
        <v>0</v>
      </c>
      <c r="G7271" s="13">
        <v>3944.9002</v>
      </c>
      <c r="H7271" s="14">
        <v>5044884.337067</v>
      </c>
      <c r="I7271" s="14" t="e">
        <f>=Round(53.05930000,0)</f>
        <v>#VALUE!</v>
      </c>
      <c r="J7271" s="14" t="e">
        <f>=Round(24.11780000,0)</f>
        <v>#VALUE!</v>
      </c>
    </row>
    <row r="7272">
      <c r="A7272" s="11" t="s">
        <v>35</v>
      </c>
      <c r="B7272" s="12">
        <v>1278.837</v>
      </c>
      <c r="C7272" s="12">
        <v>0</v>
      </c>
      <c r="D7272" s="13">
        <v>0</v>
      </c>
      <c r="E7272" s="12">
        <v>0</v>
      </c>
      <c r="F7272" s="14">
        <v>0</v>
      </c>
      <c r="G7272" s="13">
        <v>3944.9002</v>
      </c>
      <c r="H7272" s="14">
        <v>5044884.337067</v>
      </c>
      <c r="I7272" s="14" t="e">
        <f>=Round(53.06780000,0)</f>
        <v>#VALUE!</v>
      </c>
      <c r="J7272" s="14" t="e">
        <f>=Round(24.12170000,0)</f>
        <v>#VALUE!</v>
      </c>
    </row>
    <row r="7273">
      <c r="A7273" s="11" t="s">
        <v>36</v>
      </c>
      <c r="B7273" s="12">
        <v>1278.837</v>
      </c>
      <c r="C7273" s="12">
        <v>0</v>
      </c>
      <c r="D7273" s="13">
        <v>0</v>
      </c>
      <c r="E7273" s="12">
        <v>0</v>
      </c>
      <c r="F7273" s="14">
        <v>0</v>
      </c>
      <c r="G7273" s="13">
        <v>3944.9002</v>
      </c>
      <c r="H7273" s="14">
        <v>5044884.337067</v>
      </c>
      <c r="I7273" s="14" t="e">
        <f>=Round(53.06780000,0)</f>
        <v>#VALUE!</v>
      </c>
      <c r="J7273" s="14" t="e">
        <f>=Round(24.12170000,0)</f>
        <v>#VALUE!</v>
      </c>
    </row>
    <row r="7274">
      <c r="A7274" s="11" t="s">
        <v>37</v>
      </c>
      <c r="B7274" s="12">
        <v>1279.4503</v>
      </c>
      <c r="C7274" s="12">
        <v>0</v>
      </c>
      <c r="D7274" s="13">
        <v>0</v>
      </c>
      <c r="E7274" s="12">
        <v>0</v>
      </c>
      <c r="F7274" s="14">
        <v>0</v>
      </c>
      <c r="G7274" s="13">
        <v>3944.9002</v>
      </c>
      <c r="H7274" s="14">
        <v>5047303.74436</v>
      </c>
      <c r="I7274" s="14" t="e">
        <f>=Round(53.06780000,0)</f>
        <v>#VALUE!</v>
      </c>
      <c r="J7274" s="14" t="e">
        <f>=Round(24.12170000,0)</f>
        <v>#VALUE!</v>
      </c>
    </row>
    <row r="7275">
      <c r="A7275" s="11" t="s">
        <v>38</v>
      </c>
      <c r="B7275" s="12">
        <v>1279.6545</v>
      </c>
      <c r="C7275" s="12">
        <v>0</v>
      </c>
      <c r="D7275" s="13">
        <v>0</v>
      </c>
      <c r="E7275" s="12">
        <v>0</v>
      </c>
      <c r="F7275" s="14">
        <v>0</v>
      </c>
      <c r="G7275" s="13">
        <v>3944.9002</v>
      </c>
      <c r="H7275" s="14">
        <v>5048109.292981</v>
      </c>
      <c r="I7275" s="14" t="e">
        <f>=Round(53.09320000,0)</f>
        <v>#VALUE!</v>
      </c>
      <c r="J7275" s="14" t="e">
        <f>=Round(24.13330000,0)</f>
        <v>#VALUE!</v>
      </c>
    </row>
    <row r="7276">
      <c r="A7276" s="11" t="s">
        <v>39</v>
      </c>
      <c r="B7276" s="12">
        <v>1279.8598</v>
      </c>
      <c r="C7276" s="12">
        <v>0</v>
      </c>
      <c r="D7276" s="13">
        <v>0</v>
      </c>
      <c r="E7276" s="12">
        <v>0</v>
      </c>
      <c r="F7276" s="14">
        <v>0</v>
      </c>
      <c r="G7276" s="13">
        <v>3944.9002</v>
      </c>
      <c r="H7276" s="14">
        <v>5048919.180992</v>
      </c>
      <c r="I7276" s="14" t="e">
        <f>=Round(53.10170000,0)</f>
        <v>#VALUE!</v>
      </c>
      <c r="J7276" s="14" t="e">
        <f>=Round(24.13710000,0)</f>
        <v>#VALUE!</v>
      </c>
    </row>
    <row r="7277">
      <c r="A7277" s="11" t="s">
        <v>40</v>
      </c>
      <c r="B7277" s="12">
        <v>1280.0644</v>
      </c>
      <c r="C7277" s="12">
        <v>0</v>
      </c>
      <c r="D7277" s="13">
        <v>0</v>
      </c>
      <c r="E7277" s="12">
        <v>0</v>
      </c>
      <c r="F7277" s="14">
        <v>0</v>
      </c>
      <c r="G7277" s="13">
        <v>3944.9002</v>
      </c>
      <c r="H7277" s="14">
        <v>5049726.307573</v>
      </c>
      <c r="I7277" s="14" t="e">
        <f>=Round(53.11020000,0)</f>
        <v>#VALUE!</v>
      </c>
      <c r="J7277" s="14" t="e">
        <f>=Round(24.14100000,0)</f>
        <v>#VALUE!</v>
      </c>
    </row>
    <row r="7278">
      <c r="A7278" s="11" t="s">
        <v>41</v>
      </c>
      <c r="B7278" s="12">
        <v>1280.2685</v>
      </c>
      <c r="C7278" s="12">
        <v>0</v>
      </c>
      <c r="D7278" s="13">
        <v>0</v>
      </c>
      <c r="E7278" s="12">
        <v>0</v>
      </c>
      <c r="F7278" s="14">
        <v>0</v>
      </c>
      <c r="G7278" s="13">
        <v>3944.9002</v>
      </c>
      <c r="H7278" s="14">
        <v>5050531.461704</v>
      </c>
      <c r="I7278" s="14" t="e">
        <f>=Round(53.11870000,0)</f>
        <v>#VALUE!</v>
      </c>
      <c r="J7278" s="14" t="e">
        <f>=Round(24.14480000,0)</f>
        <v>#VALUE!</v>
      </c>
    </row>
    <row r="7279">
      <c r="A7279" s="11" t="s">
        <v>42</v>
      </c>
      <c r="B7279" s="12">
        <v>1280.2685</v>
      </c>
      <c r="C7279" s="12">
        <v>0</v>
      </c>
      <c r="D7279" s="13">
        <v>0</v>
      </c>
      <c r="E7279" s="12">
        <v>0</v>
      </c>
      <c r="F7279" s="14">
        <v>0</v>
      </c>
      <c r="G7279" s="13">
        <v>3944.9002</v>
      </c>
      <c r="H7279" s="14">
        <v>5050531.461704</v>
      </c>
      <c r="I7279" s="14" t="e">
        <f>=Round(53.12720000,0)</f>
        <v>#VALUE!</v>
      </c>
      <c r="J7279" s="14" t="e">
        <f>=Round(24.14870000,0)</f>
        <v>#VALUE!</v>
      </c>
    </row>
    <row r="7280">
      <c r="A7280" s="11" t="s">
        <v>43</v>
      </c>
      <c r="B7280" s="12">
        <v>1280.2685</v>
      </c>
      <c r="C7280" s="12">
        <v>0</v>
      </c>
      <c r="D7280" s="13">
        <v>0</v>
      </c>
      <c r="E7280" s="12">
        <v>0</v>
      </c>
      <c r="F7280" s="14">
        <v>0</v>
      </c>
      <c r="G7280" s="13">
        <v>3944.9002</v>
      </c>
      <c r="H7280" s="14">
        <v>5050531.461704</v>
      </c>
      <c r="I7280" s="14" t="e">
        <f>=Round(53.12720000,0)</f>
        <v>#VALUE!</v>
      </c>
      <c r="J7280" s="14" t="e">
        <f>=Round(24.14870000,0)</f>
        <v>#VALUE!</v>
      </c>
    </row>
    <row r="7281">
      <c r="A7281" s="11" t="s">
        <v>44</v>
      </c>
      <c r="B7281" s="12">
        <v>1280.8839</v>
      </c>
      <c r="C7281" s="12">
        <v>0</v>
      </c>
      <c r="D7281" s="13">
        <v>0</v>
      </c>
      <c r="E7281" s="12">
        <v>0</v>
      </c>
      <c r="F7281" s="14">
        <v>0</v>
      </c>
      <c r="G7281" s="13">
        <v>3944.9002</v>
      </c>
      <c r="H7281" s="14">
        <v>5052959.153287</v>
      </c>
      <c r="I7281" s="14" t="e">
        <f>=Round(53.12720000,0)</f>
        <v>#VALUE!</v>
      </c>
      <c r="J7281" s="14" t="e">
        <f>=Round(24.14870000,0)</f>
        <v>#VALUE!</v>
      </c>
    </row>
    <row r="7282">
      <c r="A7282" s="11" t="s">
        <v>45</v>
      </c>
      <c r="B7282" s="12">
        <v>1281.0899</v>
      </c>
      <c r="C7282" s="12">
        <v>0</v>
      </c>
      <c r="D7282" s="13">
        <v>0</v>
      </c>
      <c r="E7282" s="12">
        <v>0</v>
      </c>
      <c r="F7282" s="14">
        <v>0</v>
      </c>
      <c r="G7282" s="13">
        <v>3944.9002</v>
      </c>
      <c r="H7282" s="14">
        <v>5053771.802728</v>
      </c>
      <c r="I7282" s="14" t="e">
        <f>=Round(53.15270000,0)</f>
        <v>#VALUE!</v>
      </c>
      <c r="J7282" s="14" t="e">
        <f>=Round(24.16030000,0)</f>
        <v>#VALUE!</v>
      </c>
    </row>
    <row r="7283">
      <c r="A7283" s="11" t="s">
        <v>46</v>
      </c>
      <c r="B7283" s="12">
        <v>1281.2941</v>
      </c>
      <c r="C7283" s="12">
        <v>0</v>
      </c>
      <c r="D7283" s="13">
        <v>0</v>
      </c>
      <c r="E7283" s="12">
        <v>0</v>
      </c>
      <c r="F7283" s="14">
        <v>0</v>
      </c>
      <c r="G7283" s="13">
        <v>3944.9002</v>
      </c>
      <c r="H7283" s="14">
        <v>5054577.351349</v>
      </c>
      <c r="I7283" s="14" t="e">
        <f>=Round(53.16130000,0)</f>
        <v>#VALUE!</v>
      </c>
      <c r="J7283" s="14" t="e">
        <f>=Round(24.16420000,0)</f>
        <v>#VALUE!</v>
      </c>
    </row>
    <row r="7284">
      <c r="A7284" s="11" t="s">
        <v>47</v>
      </c>
      <c r="B7284" s="12">
        <v>1281.4992</v>
      </c>
      <c r="C7284" s="12">
        <v>0</v>
      </c>
      <c r="D7284" s="13">
        <v>0</v>
      </c>
      <c r="E7284" s="12">
        <v>0</v>
      </c>
      <c r="F7284" s="14">
        <v>0</v>
      </c>
      <c r="G7284" s="13">
        <v>3944.9002</v>
      </c>
      <c r="H7284" s="14">
        <v>5055386.45038</v>
      </c>
      <c r="I7284" s="14" t="e">
        <f>=Round(53.16970000,0)</f>
        <v>#VALUE!</v>
      </c>
      <c r="J7284" s="14" t="e">
        <f>=Round(24.16800000,0)</f>
        <v>#VALUE!</v>
      </c>
    </row>
    <row r="7285">
      <c r="A7285" s="11" t="s">
        <v>48</v>
      </c>
      <c r="B7285" s="12">
        <v>1281.706</v>
      </c>
      <c r="C7285" s="12">
        <v>0</v>
      </c>
      <c r="D7285" s="13">
        <v>0</v>
      </c>
      <c r="E7285" s="12">
        <v>0</v>
      </c>
      <c r="F7285" s="14">
        <v>0</v>
      </c>
      <c r="G7285" s="13">
        <v>3944.9002</v>
      </c>
      <c r="H7285" s="14">
        <v>5056202.255741</v>
      </c>
      <c r="I7285" s="14" t="e">
        <f>=Round(53.17820000,0)</f>
        <v>#VALUE!</v>
      </c>
      <c r="J7285" s="14" t="e">
        <f>=Round(24.17190000,0)</f>
        <v>#VALUE!</v>
      </c>
    </row>
    <row r="7286">
      <c r="A7286" s="11" t="s">
        <v>49</v>
      </c>
      <c r="B7286" s="12">
        <v>1281.706</v>
      </c>
      <c r="C7286" s="12">
        <v>0</v>
      </c>
      <c r="D7286" s="13">
        <v>0</v>
      </c>
      <c r="E7286" s="12">
        <v>0</v>
      </c>
      <c r="F7286" s="14">
        <v>0</v>
      </c>
      <c r="G7286" s="13">
        <v>3944.9002</v>
      </c>
      <c r="H7286" s="14">
        <v>5056202.255741</v>
      </c>
      <c r="I7286" s="14" t="e">
        <f>=Round(53.18680000,0)</f>
        <v>#VALUE!</v>
      </c>
      <c r="J7286" s="14" t="e">
        <f>=Round(24.17580000,0)</f>
        <v>#VALUE!</v>
      </c>
    </row>
    <row r="7287">
      <c r="A7287" s="11" t="s">
        <v>50</v>
      </c>
      <c r="B7287" s="12">
        <v>1281.706</v>
      </c>
      <c r="C7287" s="12">
        <v>0</v>
      </c>
      <c r="D7287" s="13">
        <v>0</v>
      </c>
      <c r="E7287" s="12">
        <v>0</v>
      </c>
      <c r="F7287" s="14">
        <v>0</v>
      </c>
      <c r="G7287" s="13">
        <v>3944.9002</v>
      </c>
      <c r="H7287" s="14">
        <v>5056202.255741</v>
      </c>
      <c r="I7287" s="14" t="e">
        <f>=Round(53.18680000,0)</f>
        <v>#VALUE!</v>
      </c>
      <c r="J7287" s="14" t="e">
        <f>=Round(24.17580000,0)</f>
        <v>#VALUE!</v>
      </c>
    </row>
    <row r="7288">
      <c r="A7288" s="11" t="s">
        <v>51</v>
      </c>
      <c r="B7288" s="12">
        <v>1282.3206</v>
      </c>
      <c r="C7288" s="12">
        <v>0</v>
      </c>
      <c r="D7288" s="13">
        <v>0</v>
      </c>
      <c r="E7288" s="12">
        <v>0</v>
      </c>
      <c r="F7288" s="14">
        <v>0</v>
      </c>
      <c r="G7288" s="13">
        <v>3944.9002</v>
      </c>
      <c r="H7288" s="14">
        <v>5058626.791404</v>
      </c>
      <c r="I7288" s="14" t="e">
        <f>=Round(53.18680000,0)</f>
        <v>#VALUE!</v>
      </c>
      <c r="J7288" s="14" t="e">
        <f>=Round(24.17580000,0)</f>
        <v>#VALUE!</v>
      </c>
    </row>
    <row r="7289">
      <c r="A7289" s="11" t="s">
        <v>52</v>
      </c>
      <c r="B7289" s="12">
        <v>1282.524</v>
      </c>
      <c r="C7289" s="12">
        <v>0</v>
      </c>
      <c r="D7289" s="13">
        <v>0</v>
      </c>
      <c r="E7289" s="12">
        <v>0</v>
      </c>
      <c r="F7289" s="14">
        <v>0</v>
      </c>
      <c r="G7289" s="13">
        <v>3944.9002</v>
      </c>
      <c r="H7289" s="14">
        <v>5059429.184105</v>
      </c>
      <c r="I7289" s="14" t="e">
        <f>=Round(53.21230000,0)</f>
        <v>#VALUE!</v>
      </c>
      <c r="J7289" s="14" t="e">
        <f>=Round(24.18740000,0)</f>
        <v>#VALUE!</v>
      </c>
    </row>
    <row r="7290">
      <c r="A7290" s="11" t="s">
        <v>53</v>
      </c>
      <c r="B7290" s="12">
        <v>1282.7292</v>
      </c>
      <c r="C7290" s="12">
        <v>0</v>
      </c>
      <c r="D7290" s="13">
        <v>0</v>
      </c>
      <c r="E7290" s="12">
        <v>0</v>
      </c>
      <c r="F7290" s="14">
        <v>0</v>
      </c>
      <c r="G7290" s="13">
        <v>3944.9002</v>
      </c>
      <c r="H7290" s="14">
        <v>5060238.677626</v>
      </c>
      <c r="I7290" s="14" t="e">
        <f>=Round(53.22080000,0)</f>
        <v>#VALUE!</v>
      </c>
      <c r="J7290" s="14" t="e">
        <f>=Round(24.19120000,0)</f>
        <v>#VALUE!</v>
      </c>
    </row>
    <row r="7291">
      <c r="A7291" s="11" t="s">
        <v>54</v>
      </c>
      <c r="B7291" s="12">
        <v>1282.9343</v>
      </c>
      <c r="C7291" s="12">
        <v>0</v>
      </c>
      <c r="D7291" s="13">
        <v>0</v>
      </c>
      <c r="E7291" s="12">
        <v>0</v>
      </c>
      <c r="F7291" s="14">
        <v>0</v>
      </c>
      <c r="G7291" s="13">
        <v>3944.9002</v>
      </c>
      <c r="H7291" s="14">
        <v>5061047.776657</v>
      </c>
      <c r="I7291" s="14" t="e">
        <f>=Round(53.22930000,0)</f>
        <v>#VALUE!</v>
      </c>
      <c r="J7291" s="14" t="e">
        <f>=Round(24.19510000,0)</f>
        <v>#VALUE!</v>
      </c>
    </row>
    <row r="7292">
      <c r="A7292" s="11" t="s">
        <v>55</v>
      </c>
      <c r="B7292" s="12">
        <v>1283.1158</v>
      </c>
      <c r="C7292" s="12">
        <v>0</v>
      </c>
      <c r="D7292" s="13">
        <v>0</v>
      </c>
      <c r="E7292" s="12">
        <v>0</v>
      </c>
      <c r="F7292" s="14">
        <v>0</v>
      </c>
      <c r="G7292" s="13">
        <v>3944.9002</v>
      </c>
      <c r="H7292" s="14">
        <v>5061763.776043</v>
      </c>
      <c r="I7292" s="14" t="e">
        <f>=Round(53.23780000,0)</f>
        <v>#VALUE!</v>
      </c>
      <c r="J7292" s="14" t="e">
        <f>=Round(24.19900000,0)</f>
        <v>#VALUE!</v>
      </c>
    </row>
    <row r="7293" ht="-1">
      <c r="A7293" s="15"/>
      <c r="B7293" s="16" t="s">
        <v>56</v>
      </c>
      <c r="C7293" s="15"/>
      <c r="D7293" s="15"/>
      <c r="E7293" s="15"/>
      <c r="F7293" s="15"/>
      <c r="G7293" s="15"/>
      <c r="H7293" s="15"/>
      <c r="I7293" s="17" t="e">
        <f>=Round(SUM(I7267:I7292),0)</f>
        <v>#VALUE!</v>
      </c>
      <c r="J7293" s="17" t="e">
        <f>=Round(SUM(J7267:J7292),0)</f>
        <v>#VALUE!</v>
      </c>
    </row>
    <row r="7294">
      <c r="A7294" s="1" t="s">
        <v>0</v>
      </c>
      <c r="B7294" s="1"/>
      <c r="C7294" s="1"/>
      <c r="D7294" s="1"/>
    </row>
    <row r="7295">
      <c r="A7295" s="0" t="s">
        <v>1</v>
      </c>
      <c r="C7295" s="0" t="s">
        <v>254</v>
      </c>
      <c r="H7295" s="2" t="s">
        <v>3</v>
      </c>
    </row>
    <row r="7296">
      <c r="A7296" s="0" t="s">
        <v>4</v>
      </c>
      <c r="C7296" s="0" t="s">
        <v>218</v>
      </c>
      <c r="H7296" s="3" t="s">
        <v>6</v>
      </c>
    </row>
    <row r="7297">
      <c r="A7297" s="0" t="s">
        <v>7</v>
      </c>
      <c r="C7297" s="4" t="s">
        <v>255</v>
      </c>
      <c r="H7297" s="2" t="s">
        <v>9</v>
      </c>
    </row>
    <row r="7298">
      <c r="A7298" s="0" t="s">
        <v>10</v>
      </c>
      <c r="C7298" s="4" t="s">
        <v>11</v>
      </c>
      <c r="H7298" s="2" t="s">
        <v>12</v>
      </c>
    </row>
    <row r="7299">
      <c r="A7299" s="0" t="s">
        <v>13</v>
      </c>
      <c r="C7299" s="0" t="s">
        <v>14</v>
      </c>
    </row>
    <row r="7300">
      <c r="A7300" s="0" t="s">
        <v>15</v>
      </c>
      <c r="C7300" s="0" t="s">
        <v>16</v>
      </c>
    </row>
    <row r="7301">
      <c r="A7301" s="0" t="s">
        <v>17</v>
      </c>
      <c r="C7301" s="0" t="s">
        <v>18</v>
      </c>
    </row>
    <row r="7304">
      <c r="A7304" s="5" t="s">
        <v>19</v>
      </c>
      <c r="B7304" s="5" t="s">
        <v>20</v>
      </c>
      <c r="C7304" s="7" t="s">
        <v>21</v>
      </c>
      <c r="D7304" s="9"/>
      <c r="E7304" s="7" t="s">
        <v>22</v>
      </c>
      <c r="F7304" s="9"/>
      <c r="G7304" s="5" t="s">
        <v>23</v>
      </c>
      <c r="H7304" s="5" t="s">
        <v>24</v>
      </c>
      <c r="I7304" s="5" t="s">
        <v>256</v>
      </c>
      <c r="J7304" s="5" t="s">
        <v>26</v>
      </c>
    </row>
    <row r="7305">
      <c r="A7305" s="6"/>
      <c r="B7305" s="6"/>
      <c r="C7305" s="8" t="s">
        <v>27</v>
      </c>
      <c r="D7305" s="8" t="s">
        <v>28</v>
      </c>
      <c r="E7305" s="8" t="s">
        <v>27</v>
      </c>
      <c r="F7305" s="8" t="s">
        <v>28</v>
      </c>
      <c r="G7305" s="6"/>
      <c r="H7305" s="6"/>
      <c r="I7305" s="10" t="s">
        <v>29</v>
      </c>
      <c r="J7305" s="6"/>
    </row>
    <row r="7306">
      <c r="A7306" s="11" t="s">
        <v>30</v>
      </c>
      <c r="B7306" s="12">
        <v>1111.573</v>
      </c>
      <c r="C7306" s="12">
        <v>0</v>
      </c>
      <c r="D7306" s="13">
        <v>0</v>
      </c>
      <c r="E7306" s="12">
        <v>0</v>
      </c>
      <c r="F7306" s="14">
        <v>0</v>
      </c>
      <c r="G7306" s="13">
        <v>89098461.5915</v>
      </c>
      <c r="H7306" s="14">
        <v>99039444246.648438</v>
      </c>
      <c r="I7306" s="14" t="e">
        <f>=Round(5968695.23070000,0)</f>
        <v>#VALUE!</v>
      </c>
      <c r="J7306" s="14" t="e">
        <f>=Round(0.00000000,0)</f>
        <v>#VALUE!</v>
      </c>
    </row>
    <row r="7307">
      <c r="A7307" s="11" t="s">
        <v>31</v>
      </c>
      <c r="B7307" s="12">
        <v>1117.412</v>
      </c>
      <c r="C7307" s="12">
        <v>0</v>
      </c>
      <c r="D7307" s="13">
        <v>0</v>
      </c>
      <c r="E7307" s="12">
        <v>0</v>
      </c>
      <c r="F7307" s="14">
        <v>0</v>
      </c>
      <c r="G7307" s="13">
        <v>89098461.5915</v>
      </c>
      <c r="H7307" s="14">
        <v>99559690163.8812</v>
      </c>
      <c r="I7307" s="14" t="e">
        <f>=Round(5953190.63780000,0)</f>
        <v>#VALUE!</v>
      </c>
      <c r="J7307" s="14" t="e">
        <f>=Round(0.00000000,0)</f>
        <v>#VALUE!</v>
      </c>
    </row>
    <row r="7308">
      <c r="A7308" s="11" t="s">
        <v>32</v>
      </c>
      <c r="B7308" s="12">
        <v>1118.766</v>
      </c>
      <c r="C7308" s="12">
        <v>0</v>
      </c>
      <c r="D7308" s="13">
        <v>0</v>
      </c>
      <c r="E7308" s="12">
        <v>0</v>
      </c>
      <c r="F7308" s="14">
        <v>0</v>
      </c>
      <c r="G7308" s="13">
        <v>89098461.5915</v>
      </c>
      <c r="H7308" s="14">
        <v>99680329480.8761</v>
      </c>
      <c r="I7308" s="14" t="e">
        <f>=Round(5984462.25030000,0)</f>
        <v>#VALUE!</v>
      </c>
      <c r="J7308" s="14" t="e">
        <f>=Round(0.00000000,0)</f>
        <v>#VALUE!</v>
      </c>
    </row>
    <row r="7309">
      <c r="A7309" s="11" t="s">
        <v>33</v>
      </c>
      <c r="B7309" s="12">
        <v>1121.316</v>
      </c>
      <c r="C7309" s="12">
        <v>0</v>
      </c>
      <c r="D7309" s="13">
        <v>0</v>
      </c>
      <c r="E7309" s="12">
        <v>0</v>
      </c>
      <c r="F7309" s="14">
        <v>0</v>
      </c>
      <c r="G7309" s="13">
        <v>89098461.5915</v>
      </c>
      <c r="H7309" s="14">
        <v>99907530557.934418</v>
      </c>
      <c r="I7309" s="14" t="e">
        <f>=Round(5991713.79390000,0)</f>
        <v>#VALUE!</v>
      </c>
      <c r="J7309" s="14" t="e">
        <f>=Round(0.00000000,0)</f>
        <v>#VALUE!</v>
      </c>
    </row>
    <row r="7310">
      <c r="A7310" s="11" t="s">
        <v>34</v>
      </c>
      <c r="B7310" s="12">
        <v>1122.998</v>
      </c>
      <c r="C7310" s="12">
        <v>0</v>
      </c>
      <c r="D7310" s="13">
        <v>0</v>
      </c>
      <c r="E7310" s="12">
        <v>0</v>
      </c>
      <c r="F7310" s="14">
        <v>0</v>
      </c>
      <c r="G7310" s="13">
        <v>89098461.5915</v>
      </c>
      <c r="H7310" s="14">
        <v>100057394170.33131</v>
      </c>
      <c r="I7310" s="14" t="e">
        <f>=Round(6005370.68930000,0)</f>
        <v>#VALUE!</v>
      </c>
      <c r="J7310" s="14" t="e">
        <f>=Round(0.00000000,0)</f>
        <v>#VALUE!</v>
      </c>
    </row>
    <row r="7311">
      <c r="A7311" s="11" t="s">
        <v>35</v>
      </c>
      <c r="B7311" s="12">
        <v>1122.998</v>
      </c>
      <c r="C7311" s="12">
        <v>0</v>
      </c>
      <c r="D7311" s="13">
        <v>0</v>
      </c>
      <c r="E7311" s="12">
        <v>0</v>
      </c>
      <c r="F7311" s="14">
        <v>0</v>
      </c>
      <c r="G7311" s="13">
        <v>89098461.5915</v>
      </c>
      <c r="H7311" s="14">
        <v>100057394170.33131</v>
      </c>
      <c r="I7311" s="14" t="e">
        <f>=Round(6014378.88460000,0)</f>
        <v>#VALUE!</v>
      </c>
      <c r="J7311" s="14" t="e">
        <f>=Round(0.00000000,0)</f>
        <v>#VALUE!</v>
      </c>
    </row>
    <row r="7312">
      <c r="A7312" s="11" t="s">
        <v>36</v>
      </c>
      <c r="B7312" s="12">
        <v>1122.998</v>
      </c>
      <c r="C7312" s="12">
        <v>0</v>
      </c>
      <c r="D7312" s="13">
        <v>0</v>
      </c>
      <c r="E7312" s="12">
        <v>0</v>
      </c>
      <c r="F7312" s="14">
        <v>0</v>
      </c>
      <c r="G7312" s="13">
        <v>89098461.5915</v>
      </c>
      <c r="H7312" s="14">
        <v>100057394170.33131</v>
      </c>
      <c r="I7312" s="14" t="e">
        <f>=Round(6014378.88460000,0)</f>
        <v>#VALUE!</v>
      </c>
      <c r="J7312" s="14" t="e">
        <f>=Round(0.00000000,0)</f>
        <v>#VALUE!</v>
      </c>
    </row>
    <row r="7313">
      <c r="A7313" s="11" t="s">
        <v>37</v>
      </c>
      <c r="B7313" s="12">
        <v>1121.02</v>
      </c>
      <c r="C7313" s="12">
        <v>0</v>
      </c>
      <c r="D7313" s="13">
        <v>0</v>
      </c>
      <c r="E7313" s="12">
        <v>0</v>
      </c>
      <c r="F7313" s="14">
        <v>0</v>
      </c>
      <c r="G7313" s="13">
        <v>89098461.5915</v>
      </c>
      <c r="H7313" s="14">
        <v>99881157413.303329</v>
      </c>
      <c r="I7313" s="14" t="e">
        <f>=Round(6014378.88460000,0)</f>
        <v>#VALUE!</v>
      </c>
      <c r="J7313" s="14" t="e">
        <f>=Round(0.00000000,0)</f>
        <v>#VALUE!</v>
      </c>
    </row>
    <row r="7314">
      <c r="A7314" s="11" t="s">
        <v>38</v>
      </c>
      <c r="B7314" s="12">
        <v>1119.931</v>
      </c>
      <c r="C7314" s="12">
        <v>0</v>
      </c>
      <c r="D7314" s="13">
        <v>0</v>
      </c>
      <c r="E7314" s="12">
        <v>0</v>
      </c>
      <c r="F7314" s="14">
        <v>0</v>
      </c>
      <c r="G7314" s="13">
        <v>89098461.5915</v>
      </c>
      <c r="H7314" s="14">
        <v>99784129188.630188</v>
      </c>
      <c r="I7314" s="14" t="e">
        <f>=Round(6003785.41830000,0)</f>
        <v>#VALUE!</v>
      </c>
      <c r="J7314" s="14" t="e">
        <f>=Round(0.00000000,0)</f>
        <v>#VALUE!</v>
      </c>
    </row>
    <row r="7315">
      <c r="A7315" s="11" t="s">
        <v>39</v>
      </c>
      <c r="B7315" s="12">
        <v>1119.981</v>
      </c>
      <c r="C7315" s="12">
        <v>0</v>
      </c>
      <c r="D7315" s="13">
        <v>0</v>
      </c>
      <c r="E7315" s="12">
        <v>0</v>
      </c>
      <c r="F7315" s="14">
        <v>0</v>
      </c>
      <c r="G7315" s="13">
        <v>89098461.5915</v>
      </c>
      <c r="H7315" s="14">
        <v>99788584111.709763</v>
      </c>
      <c r="I7315" s="14" t="e">
        <f>=Round(5997953.12060000,0)</f>
        <v>#VALUE!</v>
      </c>
      <c r="J7315" s="14" t="e">
        <f>=Round(0.00000000,0)</f>
        <v>#VALUE!</v>
      </c>
    </row>
    <row r="7316">
      <c r="A7316" s="11" t="s">
        <v>40</v>
      </c>
      <c r="B7316" s="12">
        <v>1118.513</v>
      </c>
      <c r="C7316" s="12">
        <v>0</v>
      </c>
      <c r="D7316" s="13">
        <v>0</v>
      </c>
      <c r="E7316" s="12">
        <v>0</v>
      </c>
      <c r="F7316" s="14">
        <v>0</v>
      </c>
      <c r="G7316" s="13">
        <v>89098461.5915</v>
      </c>
      <c r="H7316" s="14">
        <v>99657787570.093445</v>
      </c>
      <c r="I7316" s="14" t="e">
        <f>=Round(5998220.90290000,0)</f>
        <v>#VALUE!</v>
      </c>
      <c r="J7316" s="14" t="e">
        <f>=Round(0.00000000,0)</f>
        <v>#VALUE!</v>
      </c>
    </row>
    <row r="7317">
      <c r="A7317" s="11" t="s">
        <v>41</v>
      </c>
      <c r="B7317" s="12">
        <v>1118.661</v>
      </c>
      <c r="C7317" s="12">
        <v>0</v>
      </c>
      <c r="D7317" s="13">
        <v>0</v>
      </c>
      <c r="E7317" s="12">
        <v>0</v>
      </c>
      <c r="F7317" s="14">
        <v>0</v>
      </c>
      <c r="G7317" s="13">
        <v>89098461.5915</v>
      </c>
      <c r="H7317" s="14">
        <v>99670974142.408981</v>
      </c>
      <c r="I7317" s="14" t="e">
        <f>=Round(5990358.81570000,0)</f>
        <v>#VALUE!</v>
      </c>
      <c r="J7317" s="14" t="e">
        <f>=Round(0.00000000,0)</f>
        <v>#VALUE!</v>
      </c>
    </row>
    <row r="7318">
      <c r="A7318" s="11" t="s">
        <v>42</v>
      </c>
      <c r="B7318" s="12">
        <v>1118.661</v>
      </c>
      <c r="C7318" s="12">
        <v>0</v>
      </c>
      <c r="D7318" s="13">
        <v>0</v>
      </c>
      <c r="E7318" s="12">
        <v>0</v>
      </c>
      <c r="F7318" s="14">
        <v>0</v>
      </c>
      <c r="G7318" s="13">
        <v>89098461.5915</v>
      </c>
      <c r="H7318" s="14">
        <v>99670974142.408981</v>
      </c>
      <c r="I7318" s="14" t="e">
        <f>=Round(5991151.45120000,0)</f>
        <v>#VALUE!</v>
      </c>
      <c r="J7318" s="14" t="e">
        <f>=Round(0.00000000,0)</f>
        <v>#VALUE!</v>
      </c>
    </row>
    <row r="7319">
      <c r="A7319" s="11" t="s">
        <v>43</v>
      </c>
      <c r="B7319" s="12">
        <v>1118.661</v>
      </c>
      <c r="C7319" s="12">
        <v>0</v>
      </c>
      <c r="D7319" s="13">
        <v>0</v>
      </c>
      <c r="E7319" s="12">
        <v>0</v>
      </c>
      <c r="F7319" s="14">
        <v>0</v>
      </c>
      <c r="G7319" s="13">
        <v>89098461.5915</v>
      </c>
      <c r="H7319" s="14">
        <v>99670974142.408981</v>
      </c>
      <c r="I7319" s="14" t="e">
        <f>=Round(5991151.45120000,0)</f>
        <v>#VALUE!</v>
      </c>
      <c r="J7319" s="14" t="e">
        <f>=Round(0.00000000,0)</f>
        <v>#VALUE!</v>
      </c>
    </row>
    <row r="7320">
      <c r="A7320" s="11" t="s">
        <v>44</v>
      </c>
      <c r="B7320" s="12">
        <v>1119.604</v>
      </c>
      <c r="C7320" s="12">
        <v>0</v>
      </c>
      <c r="D7320" s="13">
        <v>0</v>
      </c>
      <c r="E7320" s="12">
        <v>0</v>
      </c>
      <c r="F7320" s="14">
        <v>0</v>
      </c>
      <c r="G7320" s="13">
        <v>89098461.5915</v>
      </c>
      <c r="H7320" s="14">
        <v>99754993991.689758</v>
      </c>
      <c r="I7320" s="14" t="e">
        <f>=Round(5991151.45120000,0)</f>
        <v>#VALUE!</v>
      </c>
      <c r="J7320" s="14" t="e">
        <f>=Round(0.00000000,0)</f>
        <v>#VALUE!</v>
      </c>
    </row>
    <row r="7321">
      <c r="A7321" s="11" t="s">
        <v>45</v>
      </c>
      <c r="B7321" s="12">
        <v>1121.845</v>
      </c>
      <c r="C7321" s="12">
        <v>0</v>
      </c>
      <c r="D7321" s="13">
        <v>0</v>
      </c>
      <c r="E7321" s="12">
        <v>0</v>
      </c>
      <c r="F7321" s="14">
        <v>0</v>
      </c>
      <c r="G7321" s="13">
        <v>89098461.5915</v>
      </c>
      <c r="H7321" s="14">
        <v>99954663644.116318</v>
      </c>
      <c r="I7321" s="14" t="e">
        <f>=Round(5996201.82460000,0)</f>
        <v>#VALUE!</v>
      </c>
      <c r="J7321" s="14" t="e">
        <f>=Round(0.00000000,0)</f>
        <v>#VALUE!</v>
      </c>
    </row>
    <row r="7322">
      <c r="A7322" s="11" t="s">
        <v>46</v>
      </c>
      <c r="B7322" s="12">
        <v>1123.65</v>
      </c>
      <c r="C7322" s="12">
        <v>0</v>
      </c>
      <c r="D7322" s="13">
        <v>0</v>
      </c>
      <c r="E7322" s="12">
        <v>0</v>
      </c>
      <c r="F7322" s="14">
        <v>0</v>
      </c>
      <c r="G7322" s="13">
        <v>89098461.5915</v>
      </c>
      <c r="H7322" s="14">
        <v>100115486367.28897</v>
      </c>
      <c r="I7322" s="14" t="e">
        <f>=Round(6008203.82560000,0)</f>
        <v>#VALUE!</v>
      </c>
      <c r="J7322" s="14" t="e">
        <f>=Round(0.00000000,0)</f>
        <v>#VALUE!</v>
      </c>
    </row>
    <row r="7323">
      <c r="A7323" s="11" t="s">
        <v>47</v>
      </c>
      <c r="B7323" s="12">
        <v>1125.068</v>
      </c>
      <c r="C7323" s="12">
        <v>0</v>
      </c>
      <c r="D7323" s="13">
        <v>0</v>
      </c>
      <c r="E7323" s="12">
        <v>0</v>
      </c>
      <c r="F7323" s="14">
        <v>0</v>
      </c>
      <c r="G7323" s="13">
        <v>89098461.5915</v>
      </c>
      <c r="H7323" s="14">
        <v>100241827985.82573</v>
      </c>
      <c r="I7323" s="14" t="e">
        <f>=Round(6017870.76520000,0)</f>
        <v>#VALUE!</v>
      </c>
      <c r="J7323" s="14" t="e">
        <f>=Round(0.00000000,0)</f>
        <v>#VALUE!</v>
      </c>
    </row>
    <row r="7324">
      <c r="A7324" s="11" t="s">
        <v>48</v>
      </c>
      <c r="B7324" s="12">
        <v>1122.846</v>
      </c>
      <c r="C7324" s="12">
        <v>0</v>
      </c>
      <c r="D7324" s="13">
        <v>0</v>
      </c>
      <c r="E7324" s="12">
        <v>0</v>
      </c>
      <c r="F7324" s="14">
        <v>0</v>
      </c>
      <c r="G7324" s="13">
        <v>89098461.5915</v>
      </c>
      <c r="H7324" s="14">
        <v>100043851204.1694</v>
      </c>
      <c r="I7324" s="14" t="e">
        <f>=Round(6025465.07020000,0)</f>
        <v>#VALUE!</v>
      </c>
      <c r="J7324" s="14" t="e">
        <f>=Round(0.00000000,0)</f>
        <v>#VALUE!</v>
      </c>
    </row>
    <row r="7325">
      <c r="A7325" s="11" t="s">
        <v>49</v>
      </c>
      <c r="B7325" s="12">
        <v>1122.846</v>
      </c>
      <c r="C7325" s="12">
        <v>0</v>
      </c>
      <c r="D7325" s="13">
        <v>0</v>
      </c>
      <c r="E7325" s="12">
        <v>0</v>
      </c>
      <c r="F7325" s="14">
        <v>0</v>
      </c>
      <c r="G7325" s="13">
        <v>89098461.5915</v>
      </c>
      <c r="H7325" s="14">
        <v>100043851204.1694</v>
      </c>
      <c r="I7325" s="14" t="e">
        <f>=Round(6013564.82650000,0)</f>
        <v>#VALUE!</v>
      </c>
      <c r="J7325" s="14" t="e">
        <f>=Round(0.00000000,0)</f>
        <v>#VALUE!</v>
      </c>
    </row>
    <row r="7326">
      <c r="A7326" s="11" t="s">
        <v>50</v>
      </c>
      <c r="B7326" s="12">
        <v>1122.846</v>
      </c>
      <c r="C7326" s="12">
        <v>0</v>
      </c>
      <c r="D7326" s="13">
        <v>0</v>
      </c>
      <c r="E7326" s="12">
        <v>0</v>
      </c>
      <c r="F7326" s="14">
        <v>0</v>
      </c>
      <c r="G7326" s="13">
        <v>89098461.5915</v>
      </c>
      <c r="H7326" s="14">
        <v>100043851204.1694</v>
      </c>
      <c r="I7326" s="14" t="e">
        <f>=Round(6013564.82650000,0)</f>
        <v>#VALUE!</v>
      </c>
      <c r="J7326" s="14" t="e">
        <f>=Round(0.00000000,0)</f>
        <v>#VALUE!</v>
      </c>
    </row>
    <row r="7327">
      <c r="A7327" s="11" t="s">
        <v>51</v>
      </c>
      <c r="B7327" s="12">
        <v>1118.608</v>
      </c>
      <c r="C7327" s="12">
        <v>0</v>
      </c>
      <c r="D7327" s="13">
        <v>0</v>
      </c>
      <c r="E7327" s="12">
        <v>0</v>
      </c>
      <c r="F7327" s="14">
        <v>0</v>
      </c>
      <c r="G7327" s="13">
        <v>89098461.5915</v>
      </c>
      <c r="H7327" s="14">
        <v>99666251923.944641</v>
      </c>
      <c r="I7327" s="14" t="e">
        <f>=Round(6013564.82650000,0)</f>
        <v>#VALUE!</v>
      </c>
      <c r="J7327" s="14" t="e">
        <f>=Round(0.00000000,0)</f>
        <v>#VALUE!</v>
      </c>
    </row>
    <row r="7328">
      <c r="A7328" s="11" t="s">
        <v>52</v>
      </c>
      <c r="B7328" s="12">
        <v>1118.904</v>
      </c>
      <c r="C7328" s="12">
        <v>0</v>
      </c>
      <c r="D7328" s="13">
        <v>0</v>
      </c>
      <c r="E7328" s="12">
        <v>0</v>
      </c>
      <c r="F7328" s="14">
        <v>0</v>
      </c>
      <c r="G7328" s="13">
        <v>89098461.5915</v>
      </c>
      <c r="H7328" s="14">
        <v>99692625068.575714</v>
      </c>
      <c r="I7328" s="14" t="e">
        <f>=Round(5990867.60200000,0)</f>
        <v>#VALUE!</v>
      </c>
      <c r="J7328" s="14" t="e">
        <f>=Round(0.00000000,0)</f>
        <v>#VALUE!</v>
      </c>
    </row>
    <row r="7329">
      <c r="A7329" s="11" t="s">
        <v>53</v>
      </c>
      <c r="B7329" s="12">
        <v>1114.408</v>
      </c>
      <c r="C7329" s="12">
        <v>0</v>
      </c>
      <c r="D7329" s="13">
        <v>0</v>
      </c>
      <c r="E7329" s="12">
        <v>0</v>
      </c>
      <c r="F7329" s="14">
        <v>0</v>
      </c>
      <c r="G7329" s="13">
        <v>89098461.5915</v>
      </c>
      <c r="H7329" s="14">
        <v>99292038385.26033</v>
      </c>
      <c r="I7329" s="14" t="e">
        <f>=Round(5992452.87300000,0)</f>
        <v>#VALUE!</v>
      </c>
      <c r="J7329" s="14" t="e">
        <f>=Round(0.00000000,0)</f>
        <v>#VALUE!</v>
      </c>
    </row>
    <row r="7330">
      <c r="A7330" s="11" t="s">
        <v>54</v>
      </c>
      <c r="B7330" s="12">
        <v>1107.26</v>
      </c>
      <c r="C7330" s="12">
        <v>0</v>
      </c>
      <c r="D7330" s="13">
        <v>0</v>
      </c>
      <c r="E7330" s="12">
        <v>0</v>
      </c>
      <c r="F7330" s="14">
        <v>0</v>
      </c>
      <c r="G7330" s="13">
        <v>89098461.5915</v>
      </c>
      <c r="H7330" s="14">
        <v>98655162581.804291</v>
      </c>
      <c r="I7330" s="14" t="e">
        <f>=Round(5968373.89200000,0)</f>
        <v>#VALUE!</v>
      </c>
      <c r="J7330" s="14" t="e">
        <f>=Round(0.00000000,0)</f>
        <v>#VALUE!</v>
      </c>
    </row>
    <row r="7331">
      <c r="A7331" s="11" t="s">
        <v>55</v>
      </c>
      <c r="B7331" s="12">
        <v>1100.914</v>
      </c>
      <c r="C7331" s="12">
        <v>0</v>
      </c>
      <c r="D7331" s="13">
        <v>0</v>
      </c>
      <c r="E7331" s="12">
        <v>0</v>
      </c>
      <c r="F7331" s="14">
        <v>0</v>
      </c>
      <c r="G7331" s="13">
        <v>89098461.5915</v>
      </c>
      <c r="H7331" s="14">
        <v>98089743744.544617</v>
      </c>
      <c r="I7331" s="14" t="e">
        <f>=Round(5930091.73990000,0)</f>
        <v>#VALUE!</v>
      </c>
      <c r="J7331" s="14" t="e">
        <f>=Round(0.00000000,0)</f>
        <v>#VALUE!</v>
      </c>
    </row>
    <row r="7332" ht="-1">
      <c r="A7332" s="15"/>
      <c r="B7332" s="16" t="s">
        <v>56</v>
      </c>
      <c r="C7332" s="15"/>
      <c r="D7332" s="15"/>
      <c r="E7332" s="15"/>
      <c r="F7332" s="15"/>
      <c r="G7332" s="15"/>
      <c r="H7332" s="15"/>
      <c r="I7332" s="17" t="e">
        <f>=Round(SUM(I7306:I7331),0)</f>
        <v>#VALUE!</v>
      </c>
      <c r="J7332" s="17" t="e">
        <f>=Round(SUM(J7306:J7331),0)</f>
        <v>#VALUE!</v>
      </c>
    </row>
    <row r="7333">
      <c r="A7333" s="1" t="s">
        <v>0</v>
      </c>
      <c r="B7333" s="1"/>
      <c r="C7333" s="1"/>
      <c r="D7333" s="1"/>
    </row>
    <row r="7334">
      <c r="A7334" s="0" t="s">
        <v>1</v>
      </c>
      <c r="C7334" s="0" t="s">
        <v>257</v>
      </c>
      <c r="H7334" s="2" t="s">
        <v>3</v>
      </c>
    </row>
    <row r="7335">
      <c r="A7335" s="0" t="s">
        <v>4</v>
      </c>
      <c r="C7335" s="0" t="s">
        <v>258</v>
      </c>
      <c r="H7335" s="3" t="s">
        <v>6</v>
      </c>
    </row>
    <row r="7336">
      <c r="A7336" s="0" t="s">
        <v>7</v>
      </c>
      <c r="C7336" s="4" t="s">
        <v>137</v>
      </c>
      <c r="H7336" s="2" t="s">
        <v>9</v>
      </c>
    </row>
    <row r="7337">
      <c r="A7337" s="0" t="s">
        <v>10</v>
      </c>
      <c r="C7337" s="4" t="s">
        <v>11</v>
      </c>
      <c r="H7337" s="2" t="s">
        <v>12</v>
      </c>
    </row>
    <row r="7338">
      <c r="A7338" s="0" t="s">
        <v>13</v>
      </c>
      <c r="C7338" s="0" t="s">
        <v>14</v>
      </c>
    </row>
    <row r="7339">
      <c r="A7339" s="0" t="s">
        <v>15</v>
      </c>
      <c r="C7339" s="0" t="s">
        <v>16</v>
      </c>
    </row>
    <row r="7340">
      <c r="A7340" s="0" t="s">
        <v>17</v>
      </c>
      <c r="C7340" s="0" t="s">
        <v>18</v>
      </c>
    </row>
    <row r="7343">
      <c r="A7343" s="5" t="s">
        <v>19</v>
      </c>
      <c r="B7343" s="5" t="s">
        <v>20</v>
      </c>
      <c r="C7343" s="7" t="s">
        <v>21</v>
      </c>
      <c r="D7343" s="9"/>
      <c r="E7343" s="7" t="s">
        <v>22</v>
      </c>
      <c r="F7343" s="9"/>
      <c r="G7343" s="5" t="s">
        <v>23</v>
      </c>
      <c r="H7343" s="5" t="s">
        <v>24</v>
      </c>
      <c r="I7343" s="5" t="s">
        <v>138</v>
      </c>
      <c r="J7343" s="5" t="s">
        <v>26</v>
      </c>
    </row>
    <row r="7344">
      <c r="A7344" s="6"/>
      <c r="B7344" s="6"/>
      <c r="C7344" s="8" t="s">
        <v>27</v>
      </c>
      <c r="D7344" s="8" t="s">
        <v>28</v>
      </c>
      <c r="E7344" s="8" t="s">
        <v>27</v>
      </c>
      <c r="F7344" s="8" t="s">
        <v>28</v>
      </c>
      <c r="G7344" s="6"/>
      <c r="H7344" s="6"/>
      <c r="I7344" s="10" t="s">
        <v>29</v>
      </c>
      <c r="J7344" s="6"/>
    </row>
    <row r="7345">
      <c r="A7345" s="11" t="s">
        <v>30</v>
      </c>
      <c r="B7345" s="12">
        <v>759.493</v>
      </c>
      <c r="C7345" s="12">
        <v>0</v>
      </c>
      <c r="D7345" s="13">
        <v>0</v>
      </c>
      <c r="E7345" s="12">
        <v>0</v>
      </c>
      <c r="F7345" s="14">
        <v>0</v>
      </c>
      <c r="G7345" s="13">
        <v>38808309.9841</v>
      </c>
      <c r="H7345" s="14">
        <v>29474639774.754059</v>
      </c>
      <c r="I7345" s="14" t="e">
        <f>=Round(2220234.81280000,0)</f>
        <v>#VALUE!</v>
      </c>
      <c r="J7345" s="14" t="e">
        <f>=Round(0.00000000,0)</f>
        <v>#VALUE!</v>
      </c>
    </row>
    <row r="7346">
      <c r="A7346" s="11" t="s">
        <v>31</v>
      </c>
      <c r="B7346" s="12">
        <v>763.6</v>
      </c>
      <c r="C7346" s="12">
        <v>0</v>
      </c>
      <c r="D7346" s="13">
        <v>0</v>
      </c>
      <c r="E7346" s="12">
        <v>0</v>
      </c>
      <c r="F7346" s="14">
        <v>0</v>
      </c>
      <c r="G7346" s="13">
        <v>38808309.9841</v>
      </c>
      <c r="H7346" s="14">
        <v>29634025503.858761</v>
      </c>
      <c r="I7346" s="14" t="e">
        <f>=Round(2214624.57320000,0)</f>
        <v>#VALUE!</v>
      </c>
      <c r="J7346" s="14" t="e">
        <f>=Round(0.00000000,0)</f>
        <v>#VALUE!</v>
      </c>
    </row>
    <row r="7347">
      <c r="A7347" s="11" t="s">
        <v>32</v>
      </c>
      <c r="B7347" s="12">
        <v>765.047</v>
      </c>
      <c r="C7347" s="12">
        <v>0</v>
      </c>
      <c r="D7347" s="13">
        <v>0</v>
      </c>
      <c r="E7347" s="12">
        <v>0</v>
      </c>
      <c r="F7347" s="14">
        <v>0</v>
      </c>
      <c r="G7347" s="13">
        <v>38808309.9841</v>
      </c>
      <c r="H7347" s="14">
        <v>29690181128.40575</v>
      </c>
      <c r="I7347" s="14" t="e">
        <f>=Round(2226600.27690000,0)</f>
        <v>#VALUE!</v>
      </c>
      <c r="J7347" s="14" t="e">
        <f>=Round(0.00000000,0)</f>
        <v>#VALUE!</v>
      </c>
    </row>
    <row r="7348">
      <c r="A7348" s="11" t="s">
        <v>33</v>
      </c>
      <c r="B7348" s="12">
        <v>766.447</v>
      </c>
      <c r="C7348" s="12">
        <v>0</v>
      </c>
      <c r="D7348" s="13">
        <v>0</v>
      </c>
      <c r="E7348" s="12">
        <v>0</v>
      </c>
      <c r="F7348" s="14">
        <v>0</v>
      </c>
      <c r="G7348" s="13">
        <v>38808309.9841</v>
      </c>
      <c r="H7348" s="14">
        <v>29744512762.383492</v>
      </c>
      <c r="I7348" s="14" t="e">
        <f>=Round(2230819.62030000,0)</f>
        <v>#VALUE!</v>
      </c>
      <c r="J7348" s="14" t="e">
        <f>=Round(0.00000000,0)</f>
        <v>#VALUE!</v>
      </c>
    </row>
    <row r="7349">
      <c r="A7349" s="11" t="s">
        <v>34</v>
      </c>
      <c r="B7349" s="12">
        <v>766.758</v>
      </c>
      <c r="C7349" s="12">
        <v>0</v>
      </c>
      <c r="D7349" s="13">
        <v>0</v>
      </c>
      <c r="E7349" s="12">
        <v>0</v>
      </c>
      <c r="F7349" s="14">
        <v>0</v>
      </c>
      <c r="G7349" s="13">
        <v>38808309.9841</v>
      </c>
      <c r="H7349" s="14">
        <v>29756582146.788548</v>
      </c>
      <c r="I7349" s="14" t="e">
        <f>=Round(2234901.91520000,0)</f>
        <v>#VALUE!</v>
      </c>
      <c r="J7349" s="14" t="e">
        <f>=Round(0.00000000,0)</f>
        <v>#VALUE!</v>
      </c>
    </row>
    <row r="7350">
      <c r="A7350" s="11" t="s">
        <v>35</v>
      </c>
      <c r="B7350" s="12">
        <v>766.758</v>
      </c>
      <c r="C7350" s="12">
        <v>0</v>
      </c>
      <c r="D7350" s="13">
        <v>0</v>
      </c>
      <c r="E7350" s="12">
        <v>0</v>
      </c>
      <c r="F7350" s="14">
        <v>0</v>
      </c>
      <c r="G7350" s="13">
        <v>38808309.9841</v>
      </c>
      <c r="H7350" s="14">
        <v>29756582146.788548</v>
      </c>
      <c r="I7350" s="14" t="e">
        <f>=Round(2235808.76790000,0)</f>
        <v>#VALUE!</v>
      </c>
      <c r="J7350" s="14" t="e">
        <f>=Round(0.00000000,0)</f>
        <v>#VALUE!</v>
      </c>
    </row>
    <row r="7351">
      <c r="A7351" s="11" t="s">
        <v>36</v>
      </c>
      <c r="B7351" s="12">
        <v>766.758</v>
      </c>
      <c r="C7351" s="12">
        <v>0</v>
      </c>
      <c r="D7351" s="13">
        <v>0</v>
      </c>
      <c r="E7351" s="12">
        <v>0</v>
      </c>
      <c r="F7351" s="14">
        <v>0</v>
      </c>
      <c r="G7351" s="13">
        <v>38808309.9841</v>
      </c>
      <c r="H7351" s="14">
        <v>29756582146.788548</v>
      </c>
      <c r="I7351" s="14" t="e">
        <f>=Round(2235808.76790000,0)</f>
        <v>#VALUE!</v>
      </c>
      <c r="J7351" s="14" t="e">
        <f>=Round(0.00000000,0)</f>
        <v>#VALUE!</v>
      </c>
    </row>
    <row r="7352">
      <c r="A7352" s="11" t="s">
        <v>37</v>
      </c>
      <c r="B7352" s="12">
        <v>764.918</v>
      </c>
      <c r="C7352" s="12">
        <v>0</v>
      </c>
      <c r="D7352" s="13">
        <v>0</v>
      </c>
      <c r="E7352" s="12">
        <v>0</v>
      </c>
      <c r="F7352" s="14">
        <v>0</v>
      </c>
      <c r="G7352" s="13">
        <v>38808309.9841</v>
      </c>
      <c r="H7352" s="14">
        <v>29685174856.417805</v>
      </c>
      <c r="I7352" s="14" t="e">
        <f>=Round(2235808.76790000,0)</f>
        <v>#VALUE!</v>
      </c>
      <c r="J7352" s="14" t="e">
        <f>=Round(0.00000000,0)</f>
        <v>#VALUE!</v>
      </c>
    </row>
    <row r="7353">
      <c r="A7353" s="11" t="s">
        <v>38</v>
      </c>
      <c r="B7353" s="12">
        <v>764.852</v>
      </c>
      <c r="C7353" s="12">
        <v>0</v>
      </c>
      <c r="D7353" s="13">
        <v>0</v>
      </c>
      <c r="E7353" s="12">
        <v>0</v>
      </c>
      <c r="F7353" s="14">
        <v>0</v>
      </c>
      <c r="G7353" s="13">
        <v>38808309.9841</v>
      </c>
      <c r="H7353" s="14">
        <v>29682613507.958851</v>
      </c>
      <c r="I7353" s="14" t="e">
        <f>=Round(2230443.46600000,0)</f>
        <v>#VALUE!</v>
      </c>
      <c r="J7353" s="14" t="e">
        <f>=Round(0.00000000,0)</f>
        <v>#VALUE!</v>
      </c>
    </row>
    <row r="7354">
      <c r="A7354" s="11" t="s">
        <v>39</v>
      </c>
      <c r="B7354" s="12">
        <v>764.08</v>
      </c>
      <c r="C7354" s="12">
        <v>0</v>
      </c>
      <c r="D7354" s="13">
        <v>0</v>
      </c>
      <c r="E7354" s="12">
        <v>0</v>
      </c>
      <c r="F7354" s="14">
        <v>0</v>
      </c>
      <c r="G7354" s="13">
        <v>38808309.9841</v>
      </c>
      <c r="H7354" s="14">
        <v>29652653492.651127</v>
      </c>
      <c r="I7354" s="14" t="e">
        <f>=Round(2230251.01490000,0)</f>
        <v>#VALUE!</v>
      </c>
      <c r="J7354" s="14" t="e">
        <f>=Round(0.00000000,0)</f>
        <v>#VALUE!</v>
      </c>
    </row>
    <row r="7355">
      <c r="A7355" s="11" t="s">
        <v>40</v>
      </c>
      <c r="B7355" s="12">
        <v>762.71</v>
      </c>
      <c r="C7355" s="12">
        <v>0</v>
      </c>
      <c r="D7355" s="13">
        <v>0</v>
      </c>
      <c r="E7355" s="12">
        <v>0</v>
      </c>
      <c r="F7355" s="14">
        <v>0</v>
      </c>
      <c r="G7355" s="13">
        <v>38808309.9841</v>
      </c>
      <c r="H7355" s="14">
        <v>29599486107.972912</v>
      </c>
      <c r="I7355" s="14" t="e">
        <f>=Round(2227999.92090000,0)</f>
        <v>#VALUE!</v>
      </c>
      <c r="J7355" s="14" t="e">
        <f>=Round(0.00000000,0)</f>
        <v>#VALUE!</v>
      </c>
    </row>
    <row r="7356">
      <c r="A7356" s="11" t="s">
        <v>41</v>
      </c>
      <c r="B7356" s="12">
        <v>762.606</v>
      </c>
      <c r="C7356" s="12">
        <v>0</v>
      </c>
      <c r="D7356" s="13">
        <v>0</v>
      </c>
      <c r="E7356" s="12">
        <v>0</v>
      </c>
      <c r="F7356" s="14">
        <v>0</v>
      </c>
      <c r="G7356" s="13">
        <v>38808309.9841</v>
      </c>
      <c r="H7356" s="14">
        <v>29595450043.734566</v>
      </c>
      <c r="I7356" s="14" t="e">
        <f>=Round(2224005.10370000,0)</f>
        <v>#VALUE!</v>
      </c>
      <c r="J7356" s="14" t="e">
        <f>=Round(0.00000000,0)</f>
        <v>#VALUE!</v>
      </c>
    </row>
    <row r="7357">
      <c r="A7357" s="11" t="s">
        <v>42</v>
      </c>
      <c r="B7357" s="12">
        <v>762.606</v>
      </c>
      <c r="C7357" s="12">
        <v>0</v>
      </c>
      <c r="D7357" s="13">
        <v>0</v>
      </c>
      <c r="E7357" s="12">
        <v>0</v>
      </c>
      <c r="F7357" s="14">
        <v>0</v>
      </c>
      <c r="G7357" s="13">
        <v>38808309.9841</v>
      </c>
      <c r="H7357" s="14">
        <v>29595450043.734566</v>
      </c>
      <c r="I7357" s="14" t="e">
        <f>=Round(2223701.84750000,0)</f>
        <v>#VALUE!</v>
      </c>
      <c r="J7357" s="14" t="e">
        <f>=Round(0.00000000,0)</f>
        <v>#VALUE!</v>
      </c>
    </row>
    <row r="7358">
      <c r="A7358" s="11" t="s">
        <v>43</v>
      </c>
      <c r="B7358" s="12">
        <v>762.606</v>
      </c>
      <c r="C7358" s="12">
        <v>0</v>
      </c>
      <c r="D7358" s="13">
        <v>0</v>
      </c>
      <c r="E7358" s="12">
        <v>0</v>
      </c>
      <c r="F7358" s="14">
        <v>0</v>
      </c>
      <c r="G7358" s="13">
        <v>38808309.9841</v>
      </c>
      <c r="H7358" s="14">
        <v>29595450043.734566</v>
      </c>
      <c r="I7358" s="14" t="e">
        <f>=Round(2223701.84750000,0)</f>
        <v>#VALUE!</v>
      </c>
      <c r="J7358" s="14" t="e">
        <f>=Round(0.00000000,0)</f>
        <v>#VALUE!</v>
      </c>
    </row>
    <row r="7359">
      <c r="A7359" s="11" t="s">
        <v>44</v>
      </c>
      <c r="B7359" s="12">
        <v>763.214</v>
      </c>
      <c r="C7359" s="12">
        <v>0</v>
      </c>
      <c r="D7359" s="13">
        <v>0</v>
      </c>
      <c r="E7359" s="12">
        <v>0</v>
      </c>
      <c r="F7359" s="14">
        <v>0</v>
      </c>
      <c r="G7359" s="13">
        <v>38808309.9841</v>
      </c>
      <c r="H7359" s="14">
        <v>29619045496.204895</v>
      </c>
      <c r="I7359" s="14" t="e">
        <f>=Round(2223701.84750000,0)</f>
        <v>#VALUE!</v>
      </c>
      <c r="J7359" s="14" t="e">
        <f>=Round(0.00000000,0)</f>
        <v>#VALUE!</v>
      </c>
    </row>
    <row r="7360">
      <c r="A7360" s="11" t="s">
        <v>45</v>
      </c>
      <c r="B7360" s="12">
        <v>764.978</v>
      </c>
      <c r="C7360" s="12">
        <v>0</v>
      </c>
      <c r="D7360" s="13">
        <v>0</v>
      </c>
      <c r="E7360" s="12">
        <v>0</v>
      </c>
      <c r="F7360" s="14">
        <v>0</v>
      </c>
      <c r="G7360" s="13">
        <v>38808309.9841</v>
      </c>
      <c r="H7360" s="14">
        <v>29687503355.01685</v>
      </c>
      <c r="I7360" s="14" t="e">
        <f>=Round(2225474.72990000,0)</f>
        <v>#VALUE!</v>
      </c>
      <c r="J7360" s="14" t="e">
        <f>=Round(0.00000000,0)</f>
        <v>#VALUE!</v>
      </c>
    </row>
    <row r="7361">
      <c r="A7361" s="11" t="s">
        <v>46</v>
      </c>
      <c r="B7361" s="12">
        <v>766.547</v>
      </c>
      <c r="C7361" s="12">
        <v>0</v>
      </c>
      <c r="D7361" s="13">
        <v>0</v>
      </c>
      <c r="E7361" s="12">
        <v>0</v>
      </c>
      <c r="F7361" s="14">
        <v>0</v>
      </c>
      <c r="G7361" s="13">
        <v>38808309.9841</v>
      </c>
      <c r="H7361" s="14">
        <v>29748393593.381905</v>
      </c>
      <c r="I7361" s="14" t="e">
        <f>=Round(2230618.42150000,0)</f>
        <v>#VALUE!</v>
      </c>
      <c r="J7361" s="14" t="e">
        <f>=Round(0.00000000,0)</f>
        <v>#VALUE!</v>
      </c>
    </row>
    <row r="7362">
      <c r="A7362" s="11" t="s">
        <v>47</v>
      </c>
      <c r="B7362" s="12">
        <v>767.062</v>
      </c>
      <c r="C7362" s="12">
        <v>0</v>
      </c>
      <c r="D7362" s="13">
        <v>0</v>
      </c>
      <c r="E7362" s="12">
        <v>0</v>
      </c>
      <c r="F7362" s="14">
        <v>0</v>
      </c>
      <c r="G7362" s="13">
        <v>38808309.9841</v>
      </c>
      <c r="H7362" s="14">
        <v>29768379873.023712</v>
      </c>
      <c r="I7362" s="14" t="e">
        <f>=Round(2235193.50770000,0)</f>
        <v>#VALUE!</v>
      </c>
      <c r="J7362" s="14" t="e">
        <f>=Round(0.00000000,0)</f>
        <v>#VALUE!</v>
      </c>
    </row>
    <row r="7363">
      <c r="A7363" s="11" t="s">
        <v>48</v>
      </c>
      <c r="B7363" s="12">
        <v>765.01</v>
      </c>
      <c r="C7363" s="12">
        <v>0</v>
      </c>
      <c r="D7363" s="13">
        <v>0</v>
      </c>
      <c r="E7363" s="12">
        <v>0</v>
      </c>
      <c r="F7363" s="14">
        <v>0</v>
      </c>
      <c r="G7363" s="13">
        <v>38808309.9841</v>
      </c>
      <c r="H7363" s="14">
        <v>29688745220.93634</v>
      </c>
      <c r="I7363" s="14" t="e">
        <f>=Round(2236695.20900000,0)</f>
        <v>#VALUE!</v>
      </c>
      <c r="J7363" s="14" t="e">
        <f>=Round(0.00000000,0)</f>
        <v>#VALUE!</v>
      </c>
    </row>
    <row r="7364">
      <c r="A7364" s="11" t="s">
        <v>49</v>
      </c>
      <c r="B7364" s="12">
        <v>765.01</v>
      </c>
      <c r="C7364" s="12">
        <v>0</v>
      </c>
      <c r="D7364" s="13">
        <v>0</v>
      </c>
      <c r="E7364" s="12">
        <v>0</v>
      </c>
      <c r="F7364" s="14">
        <v>0</v>
      </c>
      <c r="G7364" s="13">
        <v>38808309.9841</v>
      </c>
      <c r="H7364" s="14">
        <v>29688745220.93634</v>
      </c>
      <c r="I7364" s="14" t="e">
        <f>=Round(2230711.73110000,0)</f>
        <v>#VALUE!</v>
      </c>
      <c r="J7364" s="14" t="e">
        <f>=Round(0.00000000,0)</f>
        <v>#VALUE!</v>
      </c>
    </row>
    <row r="7365">
      <c r="A7365" s="11" t="s">
        <v>50</v>
      </c>
      <c r="B7365" s="12">
        <v>765.01</v>
      </c>
      <c r="C7365" s="12">
        <v>0</v>
      </c>
      <c r="D7365" s="13">
        <v>0</v>
      </c>
      <c r="E7365" s="12">
        <v>0</v>
      </c>
      <c r="F7365" s="14">
        <v>0</v>
      </c>
      <c r="G7365" s="13">
        <v>38808309.9841</v>
      </c>
      <c r="H7365" s="14">
        <v>29688745220.93634</v>
      </c>
      <c r="I7365" s="14" t="e">
        <f>=Round(2230711.73110000,0)</f>
        <v>#VALUE!</v>
      </c>
      <c r="J7365" s="14" t="e">
        <f>=Round(0.00000000,0)</f>
        <v>#VALUE!</v>
      </c>
    </row>
    <row r="7366">
      <c r="A7366" s="11" t="s">
        <v>51</v>
      </c>
      <c r="B7366" s="12">
        <v>761.489</v>
      </c>
      <c r="C7366" s="12">
        <v>0</v>
      </c>
      <c r="D7366" s="13">
        <v>0</v>
      </c>
      <c r="E7366" s="12">
        <v>0</v>
      </c>
      <c r="F7366" s="14">
        <v>0</v>
      </c>
      <c r="G7366" s="13">
        <v>38808309.9841</v>
      </c>
      <c r="H7366" s="14">
        <v>29552101161.482323</v>
      </c>
      <c r="I7366" s="14" t="e">
        <f>=Round(2230711.73110000,0)</f>
        <v>#VALUE!</v>
      </c>
      <c r="J7366" s="14" t="e">
        <f>=Round(0.00000000,0)</f>
        <v>#VALUE!</v>
      </c>
    </row>
    <row r="7367">
      <c r="A7367" s="11" t="s">
        <v>52</v>
      </c>
      <c r="B7367" s="12">
        <v>761.497</v>
      </c>
      <c r="C7367" s="12">
        <v>0</v>
      </c>
      <c r="D7367" s="13">
        <v>0</v>
      </c>
      <c r="E7367" s="12">
        <v>0</v>
      </c>
      <c r="F7367" s="14">
        <v>0</v>
      </c>
      <c r="G7367" s="13">
        <v>38808309.9841</v>
      </c>
      <c r="H7367" s="14">
        <v>29552411627.9622</v>
      </c>
      <c r="I7367" s="14" t="e">
        <f>=Round(2220444.75940000,0)</f>
        <v>#VALUE!</v>
      </c>
      <c r="J7367" s="14" t="e">
        <f>=Round(0.00000000,0)</f>
        <v>#VALUE!</v>
      </c>
    </row>
    <row r="7368">
      <c r="A7368" s="11" t="s">
        <v>53</v>
      </c>
      <c r="B7368" s="12">
        <v>758.022</v>
      </c>
      <c r="C7368" s="12">
        <v>0</v>
      </c>
      <c r="D7368" s="13">
        <v>0</v>
      </c>
      <c r="E7368" s="12">
        <v>0</v>
      </c>
      <c r="F7368" s="14">
        <v>0</v>
      </c>
      <c r="G7368" s="13">
        <v>38808309.9841</v>
      </c>
      <c r="H7368" s="14">
        <v>29417552750.767448</v>
      </c>
      <c r="I7368" s="14" t="e">
        <f>=Round(2220468.08680000,0)</f>
        <v>#VALUE!</v>
      </c>
      <c r="J7368" s="14" t="e">
        <f>=Round(0.00000000,0)</f>
        <v>#VALUE!</v>
      </c>
    </row>
    <row r="7369">
      <c r="A7369" s="11" t="s">
        <v>54</v>
      </c>
      <c r="B7369" s="12">
        <v>751.367</v>
      </c>
      <c r="C7369" s="12">
        <v>0</v>
      </c>
      <c r="D7369" s="13">
        <v>0</v>
      </c>
      <c r="E7369" s="12">
        <v>0</v>
      </c>
      <c r="F7369" s="14">
        <v>0</v>
      </c>
      <c r="G7369" s="13">
        <v>38808309.9841</v>
      </c>
      <c r="H7369" s="14">
        <v>29159283447.823265</v>
      </c>
      <c r="I7369" s="14" t="e">
        <f>=Round(2210335.24770000,0)</f>
        <v>#VALUE!</v>
      </c>
      <c r="J7369" s="14" t="e">
        <f>=Round(0.00000000,0)</f>
        <v>#VALUE!</v>
      </c>
    </row>
    <row r="7370">
      <c r="A7370" s="11" t="s">
        <v>55</v>
      </c>
      <c r="B7370" s="12">
        <v>745.951</v>
      </c>
      <c r="C7370" s="12">
        <v>0</v>
      </c>
      <c r="D7370" s="13">
        <v>0</v>
      </c>
      <c r="E7370" s="12">
        <v>0</v>
      </c>
      <c r="F7370" s="14">
        <v>0</v>
      </c>
      <c r="G7370" s="13">
        <v>38808309.9841</v>
      </c>
      <c r="H7370" s="14">
        <v>28949097640.949379</v>
      </c>
      <c r="I7370" s="14" t="e">
        <f>=Round(2190929.76730000,0)</f>
        <v>#VALUE!</v>
      </c>
      <c r="J7370" s="14" t="e">
        <f>=Round(0.00000000,0)</f>
        <v>#VALUE!</v>
      </c>
    </row>
    <row r="7371" ht="-1">
      <c r="A7371" s="15"/>
      <c r="B7371" s="16" t="s">
        <v>56</v>
      </c>
      <c r="C7371" s="15"/>
      <c r="D7371" s="15"/>
      <c r="E7371" s="15"/>
      <c r="F7371" s="15"/>
      <c r="G7371" s="15"/>
      <c r="H7371" s="15"/>
      <c r="I7371" s="17" t="e">
        <f>=Round(SUM(I7345:I7370),0)</f>
        <v>#VALUE!</v>
      </c>
      <c r="J7371" s="17" t="e">
        <f>=Round(SUM(J7345:J7370),0)</f>
        <v>#VALUE!</v>
      </c>
    </row>
    <row r="7372">
      <c r="A7372" s="1" t="s">
        <v>0</v>
      </c>
      <c r="B7372" s="1"/>
      <c r="C7372" s="1"/>
      <c r="D7372" s="1"/>
    </row>
    <row r="7373">
      <c r="A7373" s="0" t="s">
        <v>1</v>
      </c>
      <c r="C7373" s="0" t="s">
        <v>259</v>
      </c>
      <c r="H7373" s="2" t="s">
        <v>3</v>
      </c>
    </row>
    <row r="7374">
      <c r="A7374" s="0" t="s">
        <v>4</v>
      </c>
      <c r="C7374" s="0" t="s">
        <v>222</v>
      </c>
      <c r="H7374" s="3" t="s">
        <v>6</v>
      </c>
    </row>
    <row r="7375">
      <c r="A7375" s="0" t="s">
        <v>7</v>
      </c>
      <c r="C7375" s="4" t="s">
        <v>260</v>
      </c>
      <c r="H7375" s="2" t="s">
        <v>9</v>
      </c>
    </row>
    <row r="7376">
      <c r="A7376" s="0" t="s">
        <v>10</v>
      </c>
      <c r="C7376" s="4" t="s">
        <v>11</v>
      </c>
      <c r="H7376" s="2" t="s">
        <v>12</v>
      </c>
    </row>
    <row r="7377">
      <c r="A7377" s="0" t="s">
        <v>13</v>
      </c>
      <c r="C7377" s="0" t="s">
        <v>14</v>
      </c>
    </row>
    <row r="7378">
      <c r="A7378" s="0" t="s">
        <v>15</v>
      </c>
      <c r="C7378" s="0" t="s">
        <v>16</v>
      </c>
    </row>
    <row r="7379">
      <c r="A7379" s="0" t="s">
        <v>17</v>
      </c>
      <c r="C7379" s="0" t="s">
        <v>18</v>
      </c>
    </row>
    <row r="7382">
      <c r="A7382" s="5" t="s">
        <v>19</v>
      </c>
      <c r="B7382" s="5" t="s">
        <v>20</v>
      </c>
      <c r="C7382" s="7" t="s">
        <v>21</v>
      </c>
      <c r="D7382" s="9"/>
      <c r="E7382" s="7" t="s">
        <v>22</v>
      </c>
      <c r="F7382" s="9"/>
      <c r="G7382" s="5" t="s">
        <v>23</v>
      </c>
      <c r="H7382" s="5" t="s">
        <v>24</v>
      </c>
      <c r="I7382" s="5" t="s">
        <v>261</v>
      </c>
      <c r="J7382" s="5" t="s">
        <v>26</v>
      </c>
    </row>
    <row r="7383">
      <c r="A7383" s="6"/>
      <c r="B7383" s="6"/>
      <c r="C7383" s="8" t="s">
        <v>27</v>
      </c>
      <c r="D7383" s="8" t="s">
        <v>28</v>
      </c>
      <c r="E7383" s="8" t="s">
        <v>27</v>
      </c>
      <c r="F7383" s="8" t="s">
        <v>28</v>
      </c>
      <c r="G7383" s="6"/>
      <c r="H7383" s="6"/>
      <c r="I7383" s="10" t="s">
        <v>29</v>
      </c>
      <c r="J7383" s="6"/>
    </row>
    <row r="7384">
      <c r="A7384" s="11" t="s">
        <v>30</v>
      </c>
      <c r="B7384" s="12">
        <v>1040.585</v>
      </c>
      <c r="C7384" s="12">
        <v>0</v>
      </c>
      <c r="D7384" s="13">
        <v>0</v>
      </c>
      <c r="E7384" s="12">
        <v>0</v>
      </c>
      <c r="F7384" s="14">
        <v>0</v>
      </c>
      <c r="G7384" s="13">
        <v>43217075.2571</v>
      </c>
      <c r="H7384" s="14">
        <v>44971040256.409409</v>
      </c>
      <c r="I7384" s="14" t="e">
        <f>=Round(405209.67390000,0)</f>
        <v>#VALUE!</v>
      </c>
      <c r="J7384" s="14" t="e">
        <f>=Round(0.00000000,0)</f>
        <v>#VALUE!</v>
      </c>
    </row>
    <row r="7385">
      <c r="A7385" s="11" t="s">
        <v>31</v>
      </c>
      <c r="B7385" s="12">
        <v>1040.81</v>
      </c>
      <c r="C7385" s="12">
        <v>0</v>
      </c>
      <c r="D7385" s="13">
        <v>0</v>
      </c>
      <c r="E7385" s="12">
        <v>0</v>
      </c>
      <c r="F7385" s="14">
        <v>0</v>
      </c>
      <c r="G7385" s="13">
        <v>43217075.2571</v>
      </c>
      <c r="H7385" s="14">
        <v>44980764098.342247</v>
      </c>
      <c r="I7385" s="14" t="e">
        <f>=Round(405476.59250000,0)</f>
        <v>#VALUE!</v>
      </c>
      <c r="J7385" s="14" t="e">
        <f>=Round(0.00000000,0)</f>
        <v>#VALUE!</v>
      </c>
    </row>
    <row r="7386">
      <c r="A7386" s="11" t="s">
        <v>32</v>
      </c>
      <c r="B7386" s="12">
        <v>1041.035</v>
      </c>
      <c r="C7386" s="12">
        <v>0</v>
      </c>
      <c r="D7386" s="13">
        <v>0</v>
      </c>
      <c r="E7386" s="12">
        <v>0</v>
      </c>
      <c r="F7386" s="14">
        <v>0</v>
      </c>
      <c r="G7386" s="13">
        <v>43217075.2571</v>
      </c>
      <c r="H7386" s="14">
        <v>44990487940.275093</v>
      </c>
      <c r="I7386" s="14" t="e">
        <f>=Round(405564.26650000,0)</f>
        <v>#VALUE!</v>
      </c>
      <c r="J7386" s="14" t="e">
        <f>=Round(0.00000000,0)</f>
        <v>#VALUE!</v>
      </c>
    </row>
    <row r="7387">
      <c r="A7387" s="11" t="s">
        <v>33</v>
      </c>
      <c r="B7387" s="12">
        <v>1041.26</v>
      </c>
      <c r="C7387" s="12">
        <v>0</v>
      </c>
      <c r="D7387" s="13">
        <v>0</v>
      </c>
      <c r="E7387" s="12">
        <v>0</v>
      </c>
      <c r="F7387" s="14">
        <v>0</v>
      </c>
      <c r="G7387" s="13">
        <v>43217075.2571</v>
      </c>
      <c r="H7387" s="14">
        <v>45000211782.207947</v>
      </c>
      <c r="I7387" s="14" t="e">
        <f>=Round(405651.94040000,0)</f>
        <v>#VALUE!</v>
      </c>
      <c r="J7387" s="14" t="e">
        <f>=Round(0.00000000,0)</f>
        <v>#VALUE!</v>
      </c>
    </row>
    <row r="7388">
      <c r="A7388" s="11" t="s">
        <v>34</v>
      </c>
      <c r="B7388" s="12">
        <v>1041.485</v>
      </c>
      <c r="C7388" s="12">
        <v>0</v>
      </c>
      <c r="D7388" s="13">
        <v>0</v>
      </c>
      <c r="E7388" s="12">
        <v>0</v>
      </c>
      <c r="F7388" s="14">
        <v>0</v>
      </c>
      <c r="G7388" s="13">
        <v>43217075.2571</v>
      </c>
      <c r="H7388" s="14">
        <v>45009935624.140793</v>
      </c>
      <c r="I7388" s="14" t="e">
        <f>=Round(405739.61440000,0)</f>
        <v>#VALUE!</v>
      </c>
      <c r="J7388" s="14" t="e">
        <f>=Round(0.00000000,0)</f>
        <v>#VALUE!</v>
      </c>
    </row>
    <row r="7389">
      <c r="A7389" s="11" t="s">
        <v>35</v>
      </c>
      <c r="B7389" s="12">
        <v>1041.485</v>
      </c>
      <c r="C7389" s="12">
        <v>0</v>
      </c>
      <c r="D7389" s="13">
        <v>0</v>
      </c>
      <c r="E7389" s="12">
        <v>0</v>
      </c>
      <c r="F7389" s="14">
        <v>0</v>
      </c>
      <c r="G7389" s="13">
        <v>43217075.2571</v>
      </c>
      <c r="H7389" s="14">
        <v>45009935624.140793</v>
      </c>
      <c r="I7389" s="14" t="e">
        <f>=Round(405827.28840000,0)</f>
        <v>#VALUE!</v>
      </c>
      <c r="J7389" s="14" t="e">
        <f>=Round(0.00000000,0)</f>
        <v>#VALUE!</v>
      </c>
    </row>
    <row r="7390">
      <c r="A7390" s="11" t="s">
        <v>36</v>
      </c>
      <c r="B7390" s="12">
        <v>1041.485</v>
      </c>
      <c r="C7390" s="12">
        <v>0</v>
      </c>
      <c r="D7390" s="13">
        <v>0</v>
      </c>
      <c r="E7390" s="12">
        <v>0</v>
      </c>
      <c r="F7390" s="14">
        <v>0</v>
      </c>
      <c r="G7390" s="13">
        <v>43217075.2571</v>
      </c>
      <c r="H7390" s="14">
        <v>45009935624.140793</v>
      </c>
      <c r="I7390" s="14" t="e">
        <f>=Round(405827.28840000,0)</f>
        <v>#VALUE!</v>
      </c>
      <c r="J7390" s="14" t="e">
        <f>=Round(0.00000000,0)</f>
        <v>#VALUE!</v>
      </c>
    </row>
    <row r="7391">
      <c r="A7391" s="11" t="s">
        <v>37</v>
      </c>
      <c r="B7391" s="12">
        <v>1042.16</v>
      </c>
      <c r="C7391" s="12">
        <v>0</v>
      </c>
      <c r="D7391" s="13">
        <v>0</v>
      </c>
      <c r="E7391" s="12">
        <v>0</v>
      </c>
      <c r="F7391" s="14">
        <v>0</v>
      </c>
      <c r="G7391" s="13">
        <v>43217075.2571</v>
      </c>
      <c r="H7391" s="14">
        <v>45039107149.939339</v>
      </c>
      <c r="I7391" s="14" t="e">
        <f>=Round(405827.28840000,0)</f>
        <v>#VALUE!</v>
      </c>
      <c r="J7391" s="14" t="e">
        <f>=Round(0.00000000,0)</f>
        <v>#VALUE!</v>
      </c>
    </row>
    <row r="7392">
      <c r="A7392" s="11" t="s">
        <v>38</v>
      </c>
      <c r="B7392" s="12">
        <v>1042.385</v>
      </c>
      <c r="C7392" s="12">
        <v>0</v>
      </c>
      <c r="D7392" s="13">
        <v>0</v>
      </c>
      <c r="E7392" s="12">
        <v>0</v>
      </c>
      <c r="F7392" s="14">
        <v>0</v>
      </c>
      <c r="G7392" s="13">
        <v>43217075.2571</v>
      </c>
      <c r="H7392" s="14">
        <v>45048830991.872185</v>
      </c>
      <c r="I7392" s="14" t="e">
        <f>=Round(406090.31040000,0)</f>
        <v>#VALUE!</v>
      </c>
      <c r="J7392" s="14" t="e">
        <f>=Round(0.00000000,0)</f>
        <v>#VALUE!</v>
      </c>
    </row>
    <row r="7393">
      <c r="A7393" s="11" t="s">
        <v>39</v>
      </c>
      <c r="B7393" s="12">
        <v>1042.61</v>
      </c>
      <c r="C7393" s="12">
        <v>0</v>
      </c>
      <c r="D7393" s="13">
        <v>0</v>
      </c>
      <c r="E7393" s="12">
        <v>0</v>
      </c>
      <c r="F7393" s="14">
        <v>0</v>
      </c>
      <c r="G7393" s="13">
        <v>43217075.2571</v>
      </c>
      <c r="H7393" s="14">
        <v>45058554833.805031</v>
      </c>
      <c r="I7393" s="14" t="e">
        <f>=Round(406177.98440000,0)</f>
        <v>#VALUE!</v>
      </c>
      <c r="J7393" s="14" t="e">
        <f>=Round(0.00000000,0)</f>
        <v>#VALUE!</v>
      </c>
    </row>
    <row r="7394">
      <c r="A7394" s="11" t="s">
        <v>40</v>
      </c>
      <c r="B7394" s="12">
        <v>1042.835</v>
      </c>
      <c r="C7394" s="12">
        <v>0</v>
      </c>
      <c r="D7394" s="13">
        <v>0</v>
      </c>
      <c r="E7394" s="12">
        <v>0</v>
      </c>
      <c r="F7394" s="14">
        <v>0</v>
      </c>
      <c r="G7394" s="13">
        <v>43217075.2571</v>
      </c>
      <c r="H7394" s="14">
        <v>45068278675.737877</v>
      </c>
      <c r="I7394" s="14" t="e">
        <f>=Round(406265.65830000,0)</f>
        <v>#VALUE!</v>
      </c>
      <c r="J7394" s="14" t="e">
        <f>=Round(0.00000000,0)</f>
        <v>#VALUE!</v>
      </c>
    </row>
    <row r="7395">
      <c r="A7395" s="11" t="s">
        <v>41</v>
      </c>
      <c r="B7395" s="12">
        <v>1043.06</v>
      </c>
      <c r="C7395" s="12">
        <v>0</v>
      </c>
      <c r="D7395" s="13">
        <v>0</v>
      </c>
      <c r="E7395" s="12">
        <v>0</v>
      </c>
      <c r="F7395" s="14">
        <v>0</v>
      </c>
      <c r="G7395" s="13">
        <v>43217075.2571</v>
      </c>
      <c r="H7395" s="14">
        <v>45078002517.670731</v>
      </c>
      <c r="I7395" s="14" t="e">
        <f>=Round(406353.33230000,0)</f>
        <v>#VALUE!</v>
      </c>
      <c r="J7395" s="14" t="e">
        <f>=Round(0.00000000,0)</f>
        <v>#VALUE!</v>
      </c>
    </row>
    <row r="7396">
      <c r="A7396" s="11" t="s">
        <v>42</v>
      </c>
      <c r="B7396" s="12">
        <v>1043.06</v>
      </c>
      <c r="C7396" s="12">
        <v>0</v>
      </c>
      <c r="D7396" s="13">
        <v>0</v>
      </c>
      <c r="E7396" s="12">
        <v>0</v>
      </c>
      <c r="F7396" s="14">
        <v>0</v>
      </c>
      <c r="G7396" s="13">
        <v>43217075.2571</v>
      </c>
      <c r="H7396" s="14">
        <v>45078002517.670731</v>
      </c>
      <c r="I7396" s="14" t="e">
        <f>=Round(406441.00630000,0)</f>
        <v>#VALUE!</v>
      </c>
      <c r="J7396" s="14" t="e">
        <f>=Round(0.00000000,0)</f>
        <v>#VALUE!</v>
      </c>
    </row>
    <row r="7397">
      <c r="A7397" s="11" t="s">
        <v>43</v>
      </c>
      <c r="B7397" s="12">
        <v>1043.06</v>
      </c>
      <c r="C7397" s="12">
        <v>0</v>
      </c>
      <c r="D7397" s="13">
        <v>0</v>
      </c>
      <c r="E7397" s="12">
        <v>0</v>
      </c>
      <c r="F7397" s="14">
        <v>0</v>
      </c>
      <c r="G7397" s="13">
        <v>43217075.2571</v>
      </c>
      <c r="H7397" s="14">
        <v>45078002517.670731</v>
      </c>
      <c r="I7397" s="14" t="e">
        <f>=Round(406441.00630000,0)</f>
        <v>#VALUE!</v>
      </c>
      <c r="J7397" s="14" t="e">
        <f>=Round(0.00000000,0)</f>
        <v>#VALUE!</v>
      </c>
    </row>
    <row r="7398">
      <c r="A7398" s="11" t="s">
        <v>44</v>
      </c>
      <c r="B7398" s="12">
        <v>1043.735</v>
      </c>
      <c r="C7398" s="12">
        <v>0</v>
      </c>
      <c r="D7398" s="13">
        <v>0</v>
      </c>
      <c r="E7398" s="12">
        <v>0</v>
      </c>
      <c r="F7398" s="14">
        <v>0</v>
      </c>
      <c r="G7398" s="13">
        <v>43217075.2571</v>
      </c>
      <c r="H7398" s="14">
        <v>45107174043.469269</v>
      </c>
      <c r="I7398" s="14" t="e">
        <f>=Round(406441.00630000,0)</f>
        <v>#VALUE!</v>
      </c>
      <c r="J7398" s="14" t="e">
        <f>=Round(0.00000000,0)</f>
        <v>#VALUE!</v>
      </c>
    </row>
    <row r="7399">
      <c r="A7399" s="11" t="s">
        <v>45</v>
      </c>
      <c r="B7399" s="12">
        <v>1043.96</v>
      </c>
      <c r="C7399" s="12">
        <v>0</v>
      </c>
      <c r="D7399" s="13">
        <v>0</v>
      </c>
      <c r="E7399" s="12">
        <v>0</v>
      </c>
      <c r="F7399" s="14">
        <v>0</v>
      </c>
      <c r="G7399" s="13">
        <v>43217075.2571</v>
      </c>
      <c r="H7399" s="14">
        <v>45116897885.402115</v>
      </c>
      <c r="I7399" s="14" t="e">
        <f>=Round(406704.02830000,0)</f>
        <v>#VALUE!</v>
      </c>
      <c r="J7399" s="14" t="e">
        <f>=Round(0.00000000,0)</f>
        <v>#VALUE!</v>
      </c>
    </row>
    <row r="7400">
      <c r="A7400" s="11" t="s">
        <v>46</v>
      </c>
      <c r="B7400" s="12">
        <v>1044.185</v>
      </c>
      <c r="C7400" s="12">
        <v>0</v>
      </c>
      <c r="D7400" s="13">
        <v>0</v>
      </c>
      <c r="E7400" s="12">
        <v>0</v>
      </c>
      <c r="F7400" s="14">
        <v>0</v>
      </c>
      <c r="G7400" s="13">
        <v>43217075.2571</v>
      </c>
      <c r="H7400" s="14">
        <v>45126621727.334961</v>
      </c>
      <c r="I7400" s="14" t="e">
        <f>=Round(406791.70220000,0)</f>
        <v>#VALUE!</v>
      </c>
      <c r="J7400" s="14" t="e">
        <f>=Round(0.00000000,0)</f>
        <v>#VALUE!</v>
      </c>
    </row>
    <row r="7401">
      <c r="A7401" s="11" t="s">
        <v>47</v>
      </c>
      <c r="B7401" s="12">
        <v>1044.41</v>
      </c>
      <c r="C7401" s="12">
        <v>0</v>
      </c>
      <c r="D7401" s="13">
        <v>0</v>
      </c>
      <c r="E7401" s="12">
        <v>0</v>
      </c>
      <c r="F7401" s="14">
        <v>0</v>
      </c>
      <c r="G7401" s="13">
        <v>43217075.2571</v>
      </c>
      <c r="H7401" s="14">
        <v>45136345569.267807</v>
      </c>
      <c r="I7401" s="14" t="e">
        <f>=Round(406879.37620000,0)</f>
        <v>#VALUE!</v>
      </c>
      <c r="J7401" s="14" t="e">
        <f>=Round(0.00000000,0)</f>
        <v>#VALUE!</v>
      </c>
    </row>
    <row r="7402">
      <c r="A7402" s="11" t="s">
        <v>48</v>
      </c>
      <c r="B7402" s="12">
        <v>1044.635</v>
      </c>
      <c r="C7402" s="12">
        <v>0</v>
      </c>
      <c r="D7402" s="13">
        <v>0</v>
      </c>
      <c r="E7402" s="12">
        <v>0</v>
      </c>
      <c r="F7402" s="14">
        <v>0</v>
      </c>
      <c r="G7402" s="13">
        <v>43217075.2571</v>
      </c>
      <c r="H7402" s="14">
        <v>45146069411.200653</v>
      </c>
      <c r="I7402" s="14" t="e">
        <f>=Round(406967.05020000,0)</f>
        <v>#VALUE!</v>
      </c>
      <c r="J7402" s="14" t="e">
        <f>=Round(0.00000000,0)</f>
        <v>#VALUE!</v>
      </c>
    </row>
    <row r="7403">
      <c r="A7403" s="11" t="s">
        <v>49</v>
      </c>
      <c r="B7403" s="12">
        <v>1044.635</v>
      </c>
      <c r="C7403" s="12">
        <v>0</v>
      </c>
      <c r="D7403" s="13">
        <v>0</v>
      </c>
      <c r="E7403" s="12">
        <v>0</v>
      </c>
      <c r="F7403" s="14">
        <v>0</v>
      </c>
      <c r="G7403" s="13">
        <v>43217075.2571</v>
      </c>
      <c r="H7403" s="14">
        <v>45146069411.200653</v>
      </c>
      <c r="I7403" s="14" t="e">
        <f>=Round(407054.72420000,0)</f>
        <v>#VALUE!</v>
      </c>
      <c r="J7403" s="14" t="e">
        <f>=Round(0.00000000,0)</f>
        <v>#VALUE!</v>
      </c>
    </row>
    <row r="7404">
      <c r="A7404" s="11" t="s">
        <v>50</v>
      </c>
      <c r="B7404" s="12">
        <v>1044.635</v>
      </c>
      <c r="C7404" s="12">
        <v>0</v>
      </c>
      <c r="D7404" s="13">
        <v>0</v>
      </c>
      <c r="E7404" s="12">
        <v>0</v>
      </c>
      <c r="F7404" s="14">
        <v>0</v>
      </c>
      <c r="G7404" s="13">
        <v>43217075.2571</v>
      </c>
      <c r="H7404" s="14">
        <v>45146069411.200653</v>
      </c>
      <c r="I7404" s="14" t="e">
        <f>=Round(407054.72420000,0)</f>
        <v>#VALUE!</v>
      </c>
      <c r="J7404" s="14" t="e">
        <f>=Round(0.00000000,0)</f>
        <v>#VALUE!</v>
      </c>
    </row>
    <row r="7405">
      <c r="A7405" s="11" t="s">
        <v>51</v>
      </c>
      <c r="B7405" s="12">
        <v>1045.31</v>
      </c>
      <c r="C7405" s="12">
        <v>0</v>
      </c>
      <c r="D7405" s="13">
        <v>0</v>
      </c>
      <c r="E7405" s="12">
        <v>0</v>
      </c>
      <c r="F7405" s="14">
        <v>0</v>
      </c>
      <c r="G7405" s="13">
        <v>43217075.2571</v>
      </c>
      <c r="H7405" s="14">
        <v>45175240936.9992</v>
      </c>
      <c r="I7405" s="14" t="e">
        <f>=Round(407054.72420000,0)</f>
        <v>#VALUE!</v>
      </c>
      <c r="J7405" s="14" t="e">
        <f>=Round(0.00000000,0)</f>
        <v>#VALUE!</v>
      </c>
    </row>
    <row r="7406">
      <c r="A7406" s="11" t="s">
        <v>52</v>
      </c>
      <c r="B7406" s="12">
        <v>1045.535</v>
      </c>
      <c r="C7406" s="12">
        <v>0</v>
      </c>
      <c r="D7406" s="13">
        <v>0</v>
      </c>
      <c r="E7406" s="12">
        <v>0</v>
      </c>
      <c r="F7406" s="14">
        <v>0</v>
      </c>
      <c r="G7406" s="13">
        <v>43217075.2571</v>
      </c>
      <c r="H7406" s="14">
        <v>45184964778.932045</v>
      </c>
      <c r="I7406" s="14" t="e">
        <f>=Round(407317.74620000,0)</f>
        <v>#VALUE!</v>
      </c>
      <c r="J7406" s="14" t="e">
        <f>=Round(0.00000000,0)</f>
        <v>#VALUE!</v>
      </c>
    </row>
    <row r="7407">
      <c r="A7407" s="11" t="s">
        <v>53</v>
      </c>
      <c r="B7407" s="12">
        <v>1045.76</v>
      </c>
      <c r="C7407" s="12">
        <v>0</v>
      </c>
      <c r="D7407" s="13">
        <v>0</v>
      </c>
      <c r="E7407" s="12">
        <v>0</v>
      </c>
      <c r="F7407" s="14">
        <v>0</v>
      </c>
      <c r="G7407" s="13">
        <v>43217075.2571</v>
      </c>
      <c r="H7407" s="14">
        <v>45194688620.8649</v>
      </c>
      <c r="I7407" s="14" t="e">
        <f>=Round(407405.42010000,0)</f>
        <v>#VALUE!</v>
      </c>
      <c r="J7407" s="14" t="e">
        <f>=Round(0.00000000,0)</f>
        <v>#VALUE!</v>
      </c>
    </row>
    <row r="7408">
      <c r="A7408" s="11" t="s">
        <v>54</v>
      </c>
      <c r="B7408" s="12">
        <v>1045.985</v>
      </c>
      <c r="C7408" s="12">
        <v>0</v>
      </c>
      <c r="D7408" s="13">
        <v>0</v>
      </c>
      <c r="E7408" s="12">
        <v>0</v>
      </c>
      <c r="F7408" s="14">
        <v>0</v>
      </c>
      <c r="G7408" s="13">
        <v>43217075.2571</v>
      </c>
      <c r="H7408" s="14">
        <v>45204412462.797745</v>
      </c>
      <c r="I7408" s="14" t="e">
        <f>=Round(407493.09410000,0)</f>
        <v>#VALUE!</v>
      </c>
      <c r="J7408" s="14" t="e">
        <f>=Round(0.00000000,0)</f>
        <v>#VALUE!</v>
      </c>
    </row>
    <row r="7409">
      <c r="A7409" s="11" t="s">
        <v>55</v>
      </c>
      <c r="B7409" s="12">
        <v>1046.21</v>
      </c>
      <c r="C7409" s="12">
        <v>0</v>
      </c>
      <c r="D7409" s="13">
        <v>0</v>
      </c>
      <c r="E7409" s="12">
        <v>0</v>
      </c>
      <c r="F7409" s="14">
        <v>0</v>
      </c>
      <c r="G7409" s="13">
        <v>43217075.2571</v>
      </c>
      <c r="H7409" s="14">
        <v>45214136304.730591</v>
      </c>
      <c r="I7409" s="14" t="e">
        <f>=Round(407580.76810000,0)</f>
        <v>#VALUE!</v>
      </c>
      <c r="J7409" s="14" t="e">
        <f>=Round(0.00000000,0)</f>
        <v>#VALUE!</v>
      </c>
    </row>
    <row r="7410" ht="-1">
      <c r="A7410" s="15"/>
      <c r="B7410" s="16" t="s">
        <v>56</v>
      </c>
      <c r="C7410" s="15"/>
      <c r="D7410" s="15"/>
      <c r="E7410" s="15"/>
      <c r="F7410" s="15"/>
      <c r="G7410" s="15"/>
      <c r="H7410" s="15"/>
      <c r="I7410" s="17" t="e">
        <f>=Round(SUM(I7384:I7409),0)</f>
        <v>#VALUE!</v>
      </c>
      <c r="J7410" s="17" t="e">
        <f>=Round(SUM(J7384:J7409),0)</f>
        <v>#VALUE!</v>
      </c>
    </row>
    <row r="7411">
      <c r="A7411" s="1" t="s">
        <v>0</v>
      </c>
      <c r="B7411" s="1"/>
      <c r="C7411" s="1"/>
      <c r="D7411" s="1"/>
    </row>
    <row r="7412">
      <c r="A7412" s="0" t="s">
        <v>1</v>
      </c>
      <c r="C7412" s="0" t="s">
        <v>262</v>
      </c>
      <c r="H7412" s="2" t="s">
        <v>3</v>
      </c>
    </row>
    <row r="7413">
      <c r="A7413" s="0" t="s">
        <v>4</v>
      </c>
      <c r="C7413" s="0" t="s">
        <v>222</v>
      </c>
      <c r="H7413" s="3" t="s">
        <v>6</v>
      </c>
    </row>
    <row r="7414">
      <c r="A7414" s="0" t="s">
        <v>7</v>
      </c>
      <c r="C7414" s="4" t="s">
        <v>223</v>
      </c>
      <c r="H7414" s="2" t="s">
        <v>9</v>
      </c>
    </row>
    <row r="7415">
      <c r="A7415" s="0" t="s">
        <v>10</v>
      </c>
      <c r="C7415" s="4" t="s">
        <v>11</v>
      </c>
      <c r="H7415" s="2" t="s">
        <v>12</v>
      </c>
    </row>
    <row r="7416">
      <c r="A7416" s="0" t="s">
        <v>13</v>
      </c>
      <c r="C7416" s="0" t="s">
        <v>14</v>
      </c>
    </row>
    <row r="7417">
      <c r="A7417" s="0" t="s">
        <v>15</v>
      </c>
      <c r="C7417" s="0" t="s">
        <v>16</v>
      </c>
    </row>
    <row r="7418">
      <c r="A7418" s="0" t="s">
        <v>17</v>
      </c>
      <c r="C7418" s="0" t="s">
        <v>18</v>
      </c>
    </row>
    <row r="7421">
      <c r="A7421" s="5" t="s">
        <v>19</v>
      </c>
      <c r="B7421" s="5" t="s">
        <v>20</v>
      </c>
      <c r="C7421" s="7" t="s">
        <v>21</v>
      </c>
      <c r="D7421" s="9"/>
      <c r="E7421" s="7" t="s">
        <v>22</v>
      </c>
      <c r="F7421" s="9"/>
      <c r="G7421" s="5" t="s">
        <v>23</v>
      </c>
      <c r="H7421" s="5" t="s">
        <v>24</v>
      </c>
      <c r="I7421" s="5" t="s">
        <v>224</v>
      </c>
      <c r="J7421" s="5" t="s">
        <v>26</v>
      </c>
    </row>
    <row r="7422">
      <c r="A7422" s="6"/>
      <c r="B7422" s="6"/>
      <c r="C7422" s="8" t="s">
        <v>27</v>
      </c>
      <c r="D7422" s="8" t="s">
        <v>28</v>
      </c>
      <c r="E7422" s="8" t="s">
        <v>27</v>
      </c>
      <c r="F7422" s="8" t="s">
        <v>28</v>
      </c>
      <c r="G7422" s="6"/>
      <c r="H7422" s="6"/>
      <c r="I7422" s="10" t="s">
        <v>29</v>
      </c>
      <c r="J7422" s="6"/>
    </row>
    <row r="7423">
      <c r="A7423" s="11" t="s">
        <v>30</v>
      </c>
      <c r="B7423" s="12">
        <v>900.184</v>
      </c>
      <c r="C7423" s="12">
        <v>0</v>
      </c>
      <c r="D7423" s="13">
        <v>0</v>
      </c>
      <c r="E7423" s="12">
        <v>0</v>
      </c>
      <c r="F7423" s="14">
        <v>0</v>
      </c>
      <c r="G7423" s="13">
        <v>63139243.9101</v>
      </c>
      <c r="H7423" s="14">
        <v>56836937139.96946</v>
      </c>
      <c r="I7423" s="14" t="e">
        <f>=Round(2997806.05970000,0)</f>
        <v>#VALUE!</v>
      </c>
      <c r="J7423" s="14" t="e">
        <f>=Round(0.00000000,0)</f>
        <v>#VALUE!</v>
      </c>
    </row>
    <row r="7424">
      <c r="A7424" s="11" t="s">
        <v>31</v>
      </c>
      <c r="B7424" s="12">
        <v>905.224</v>
      </c>
      <c r="C7424" s="12">
        <v>0</v>
      </c>
      <c r="D7424" s="13">
        <v>0</v>
      </c>
      <c r="E7424" s="12">
        <v>0</v>
      </c>
      <c r="F7424" s="14">
        <v>0</v>
      </c>
      <c r="G7424" s="13">
        <v>63139243.9101</v>
      </c>
      <c r="H7424" s="14">
        <v>57155158929.27636</v>
      </c>
      <c r="I7424" s="14" t="e">
        <f>=Round(2989374.42610000,0)</f>
        <v>#VALUE!</v>
      </c>
      <c r="J7424" s="14" t="e">
        <f>=Round(0.00000000,0)</f>
        <v>#VALUE!</v>
      </c>
    </row>
    <row r="7425">
      <c r="A7425" s="11" t="s">
        <v>32</v>
      </c>
      <c r="B7425" s="12">
        <v>906.611</v>
      </c>
      <c r="C7425" s="12">
        <v>0</v>
      </c>
      <c r="D7425" s="13">
        <v>0</v>
      </c>
      <c r="E7425" s="12">
        <v>0</v>
      </c>
      <c r="F7425" s="14">
        <v>0</v>
      </c>
      <c r="G7425" s="13">
        <v>63139243.9101</v>
      </c>
      <c r="H7425" s="14">
        <v>57242733060.579674</v>
      </c>
      <c r="I7425" s="14" t="e">
        <f>=Round(3006111.50110000,0)</f>
        <v>#VALUE!</v>
      </c>
      <c r="J7425" s="14" t="e">
        <f>=Round(0.00000000,0)</f>
        <v>#VALUE!</v>
      </c>
    </row>
    <row r="7426">
      <c r="A7426" s="11" t="s">
        <v>33</v>
      </c>
      <c r="B7426" s="12">
        <v>908.701</v>
      </c>
      <c r="C7426" s="12">
        <v>0</v>
      </c>
      <c r="D7426" s="13">
        <v>0</v>
      </c>
      <c r="E7426" s="12">
        <v>0</v>
      </c>
      <c r="F7426" s="14">
        <v>0</v>
      </c>
      <c r="G7426" s="13">
        <v>63139243.9101</v>
      </c>
      <c r="H7426" s="14">
        <v>57374694080.351776</v>
      </c>
      <c r="I7426" s="14" t="e">
        <f>=Round(3010717.51750000,0)</f>
        <v>#VALUE!</v>
      </c>
      <c r="J7426" s="14" t="e">
        <f>=Round(0.00000000,0)</f>
        <v>#VALUE!</v>
      </c>
    </row>
    <row r="7427">
      <c r="A7427" s="11" t="s">
        <v>34</v>
      </c>
      <c r="B7427" s="12">
        <v>909.571</v>
      </c>
      <c r="C7427" s="12">
        <v>0</v>
      </c>
      <c r="D7427" s="13">
        <v>0</v>
      </c>
      <c r="E7427" s="12">
        <v>0</v>
      </c>
      <c r="F7427" s="14">
        <v>0</v>
      </c>
      <c r="G7427" s="13">
        <v>63139243.9101</v>
      </c>
      <c r="H7427" s="14">
        <v>57429625222.553566</v>
      </c>
      <c r="I7427" s="14" t="e">
        <f>=Round(3017658.09030000,0)</f>
        <v>#VALUE!</v>
      </c>
      <c r="J7427" s="14" t="e">
        <f>=Round(0.00000000,0)</f>
        <v>#VALUE!</v>
      </c>
    </row>
    <row r="7428">
      <c r="A7428" s="11" t="s">
        <v>35</v>
      </c>
      <c r="B7428" s="12">
        <v>909.571</v>
      </c>
      <c r="C7428" s="12">
        <v>0</v>
      </c>
      <c r="D7428" s="13">
        <v>0</v>
      </c>
      <c r="E7428" s="12">
        <v>0</v>
      </c>
      <c r="F7428" s="14">
        <v>0</v>
      </c>
      <c r="G7428" s="13">
        <v>63139243.9101</v>
      </c>
      <c r="H7428" s="14">
        <v>57429625222.553566</v>
      </c>
      <c r="I7428" s="14" t="e">
        <f>=Round(3020547.22820000,0)</f>
        <v>#VALUE!</v>
      </c>
      <c r="J7428" s="14" t="e">
        <f>=Round(0.00000000,0)</f>
        <v>#VALUE!</v>
      </c>
    </row>
    <row r="7429">
      <c r="A7429" s="11" t="s">
        <v>36</v>
      </c>
      <c r="B7429" s="12">
        <v>909.571</v>
      </c>
      <c r="C7429" s="12">
        <v>0</v>
      </c>
      <c r="D7429" s="13">
        <v>0</v>
      </c>
      <c r="E7429" s="12">
        <v>0</v>
      </c>
      <c r="F7429" s="14">
        <v>0</v>
      </c>
      <c r="G7429" s="13">
        <v>63139243.9101</v>
      </c>
      <c r="H7429" s="14">
        <v>57429625222.553566</v>
      </c>
      <c r="I7429" s="14" t="e">
        <f>=Round(3020547.22820000,0)</f>
        <v>#VALUE!</v>
      </c>
      <c r="J7429" s="14" t="e">
        <f>=Round(0.00000000,0)</f>
        <v>#VALUE!</v>
      </c>
    </row>
    <row r="7430">
      <c r="A7430" s="11" t="s">
        <v>37</v>
      </c>
      <c r="B7430" s="12">
        <v>907.607</v>
      </c>
      <c r="C7430" s="12">
        <v>0</v>
      </c>
      <c r="D7430" s="13">
        <v>0</v>
      </c>
      <c r="E7430" s="12">
        <v>0</v>
      </c>
      <c r="F7430" s="14">
        <v>0</v>
      </c>
      <c r="G7430" s="13">
        <v>63139243.9101</v>
      </c>
      <c r="H7430" s="14">
        <v>57305619747.51413</v>
      </c>
      <c r="I7430" s="14" t="e">
        <f>=Round(3020547.22820000,0)</f>
        <v>#VALUE!</v>
      </c>
      <c r="J7430" s="14" t="e">
        <f>=Round(0.00000000,0)</f>
        <v>#VALUE!</v>
      </c>
    </row>
    <row r="7431">
      <c r="A7431" s="11" t="s">
        <v>38</v>
      </c>
      <c r="B7431" s="12">
        <v>907.117</v>
      </c>
      <c r="C7431" s="12">
        <v>0</v>
      </c>
      <c r="D7431" s="13">
        <v>0</v>
      </c>
      <c r="E7431" s="12">
        <v>0</v>
      </c>
      <c r="F7431" s="14">
        <v>0</v>
      </c>
      <c r="G7431" s="13">
        <v>63139243.9101</v>
      </c>
      <c r="H7431" s="14">
        <v>57274681517.998184</v>
      </c>
      <c r="I7431" s="14" t="e">
        <f>=Round(3014025.08230000,0)</f>
        <v>#VALUE!</v>
      </c>
      <c r="J7431" s="14" t="e">
        <f>=Round(0.00000000,0)</f>
        <v>#VALUE!</v>
      </c>
    </row>
    <row r="7432">
      <c r="A7432" s="11" t="s">
        <v>39</v>
      </c>
      <c r="B7432" s="12">
        <v>906.333</v>
      </c>
      <c r="C7432" s="12">
        <v>0</v>
      </c>
      <c r="D7432" s="13">
        <v>0</v>
      </c>
      <c r="E7432" s="12">
        <v>0</v>
      </c>
      <c r="F7432" s="14">
        <v>0</v>
      </c>
      <c r="G7432" s="13">
        <v>63139243.9101</v>
      </c>
      <c r="H7432" s="14">
        <v>57225180350.772667</v>
      </c>
      <c r="I7432" s="14" t="e">
        <f>=Round(3012397.86670000,0)</f>
        <v>#VALUE!</v>
      </c>
      <c r="J7432" s="14" t="e">
        <f>=Round(0.00000000,0)</f>
        <v>#VALUE!</v>
      </c>
    </row>
    <row r="7433">
      <c r="A7433" s="11" t="s">
        <v>40</v>
      </c>
      <c r="B7433" s="12">
        <v>904.831</v>
      </c>
      <c r="C7433" s="12">
        <v>0</v>
      </c>
      <c r="D7433" s="13">
        <v>0</v>
      </c>
      <c r="E7433" s="12">
        <v>0</v>
      </c>
      <c r="F7433" s="14">
        <v>0</v>
      </c>
      <c r="G7433" s="13">
        <v>63139243.9101</v>
      </c>
      <c r="H7433" s="14">
        <v>57130345206.419693</v>
      </c>
      <c r="I7433" s="14" t="e">
        <f>=Round(3009794.32170000,0)</f>
        <v>#VALUE!</v>
      </c>
      <c r="J7433" s="14" t="e">
        <f>=Round(0.00000000,0)</f>
        <v>#VALUE!</v>
      </c>
    </row>
    <row r="7434">
      <c r="A7434" s="11" t="s">
        <v>41</v>
      </c>
      <c r="B7434" s="12">
        <v>904.347</v>
      </c>
      <c r="C7434" s="12">
        <v>0</v>
      </c>
      <c r="D7434" s="13">
        <v>0</v>
      </c>
      <c r="E7434" s="12">
        <v>0</v>
      </c>
      <c r="F7434" s="14">
        <v>0</v>
      </c>
      <c r="G7434" s="13">
        <v>63139243.9101</v>
      </c>
      <c r="H7434" s="14">
        <v>57099785812.36721</v>
      </c>
      <c r="I7434" s="14" t="e">
        <f>=Round(3004806.40770000,0)</f>
        <v>#VALUE!</v>
      </c>
      <c r="J7434" s="14" t="e">
        <f>=Round(0.00000000,0)</f>
        <v>#VALUE!</v>
      </c>
    </row>
    <row r="7435">
      <c r="A7435" s="11" t="s">
        <v>42</v>
      </c>
      <c r="B7435" s="12">
        <v>904.347</v>
      </c>
      <c r="C7435" s="12">
        <v>0</v>
      </c>
      <c r="D7435" s="13">
        <v>0</v>
      </c>
      <c r="E7435" s="12">
        <v>0</v>
      </c>
      <c r="F7435" s="14">
        <v>0</v>
      </c>
      <c r="G7435" s="13">
        <v>63139243.9101</v>
      </c>
      <c r="H7435" s="14">
        <v>57099785812.36721</v>
      </c>
      <c r="I7435" s="14" t="e">
        <f>=Round(3003199.11720000,0)</f>
        <v>#VALUE!</v>
      </c>
      <c r="J7435" s="14" t="e">
        <f>=Round(0.00000000,0)</f>
        <v>#VALUE!</v>
      </c>
    </row>
    <row r="7436">
      <c r="A7436" s="11" t="s">
        <v>43</v>
      </c>
      <c r="B7436" s="12">
        <v>904.347</v>
      </c>
      <c r="C7436" s="12">
        <v>0</v>
      </c>
      <c r="D7436" s="13">
        <v>0</v>
      </c>
      <c r="E7436" s="12">
        <v>0</v>
      </c>
      <c r="F7436" s="14">
        <v>0</v>
      </c>
      <c r="G7436" s="13">
        <v>63139243.9101</v>
      </c>
      <c r="H7436" s="14">
        <v>57099785812.36721</v>
      </c>
      <c r="I7436" s="14" t="e">
        <f>=Round(3003199.11720000,0)</f>
        <v>#VALUE!</v>
      </c>
      <c r="J7436" s="14" t="e">
        <f>=Round(0.00000000,0)</f>
        <v>#VALUE!</v>
      </c>
    </row>
    <row r="7437">
      <c r="A7437" s="11" t="s">
        <v>44</v>
      </c>
      <c r="B7437" s="12">
        <v>905.073</v>
      </c>
      <c r="C7437" s="12">
        <v>0</v>
      </c>
      <c r="D7437" s="13">
        <v>0</v>
      </c>
      <c r="E7437" s="12">
        <v>0</v>
      </c>
      <c r="F7437" s="14">
        <v>0</v>
      </c>
      <c r="G7437" s="13">
        <v>63139243.9101</v>
      </c>
      <c r="H7437" s="14">
        <v>57145624903.445938</v>
      </c>
      <c r="I7437" s="14" t="e">
        <f>=Round(3003199.11720000,0)</f>
        <v>#VALUE!</v>
      </c>
      <c r="J7437" s="14" t="e">
        <f>=Round(0.00000000,0)</f>
        <v>#VALUE!</v>
      </c>
    </row>
    <row r="7438">
      <c r="A7438" s="11" t="s">
        <v>45</v>
      </c>
      <c r="B7438" s="12">
        <v>906.812</v>
      </c>
      <c r="C7438" s="12">
        <v>0</v>
      </c>
      <c r="D7438" s="13">
        <v>0</v>
      </c>
      <c r="E7438" s="12">
        <v>0</v>
      </c>
      <c r="F7438" s="14">
        <v>0</v>
      </c>
      <c r="G7438" s="13">
        <v>63139243.9101</v>
      </c>
      <c r="H7438" s="14">
        <v>57255424048.6056</v>
      </c>
      <c r="I7438" s="14" t="e">
        <f>=Round(3005610.05300000,0)</f>
        <v>#VALUE!</v>
      </c>
      <c r="J7438" s="14" t="e">
        <f>=Round(0.00000000,0)</f>
        <v>#VALUE!</v>
      </c>
    </row>
    <row r="7439">
      <c r="A7439" s="11" t="s">
        <v>46</v>
      </c>
      <c r="B7439" s="12">
        <v>908.66</v>
      </c>
      <c r="C7439" s="12">
        <v>0</v>
      </c>
      <c r="D7439" s="13">
        <v>0</v>
      </c>
      <c r="E7439" s="12">
        <v>0</v>
      </c>
      <c r="F7439" s="14">
        <v>0</v>
      </c>
      <c r="G7439" s="13">
        <v>63139243.9101</v>
      </c>
      <c r="H7439" s="14">
        <v>57372105371.351463</v>
      </c>
      <c r="I7439" s="14" t="e">
        <f>=Round(3011385.00800000,0)</f>
        <v>#VALUE!</v>
      </c>
      <c r="J7439" s="14" t="e">
        <f>=Round(0.00000000,0)</f>
        <v>#VALUE!</v>
      </c>
    </row>
    <row r="7440">
      <c r="A7440" s="11" t="s">
        <v>47</v>
      </c>
      <c r="B7440" s="12">
        <v>909.889</v>
      </c>
      <c r="C7440" s="12">
        <v>0</v>
      </c>
      <c r="D7440" s="13">
        <v>0</v>
      </c>
      <c r="E7440" s="12">
        <v>0</v>
      </c>
      <c r="F7440" s="14">
        <v>0</v>
      </c>
      <c r="G7440" s="13">
        <v>63139243.9101</v>
      </c>
      <c r="H7440" s="14">
        <v>57449703502.116974</v>
      </c>
      <c r="I7440" s="14" t="e">
        <f>=Round(3017521.93550000,0)</f>
        <v>#VALUE!</v>
      </c>
      <c r="J7440" s="14" t="e">
        <f>=Round(0.00000000,0)</f>
        <v>#VALUE!</v>
      </c>
    </row>
    <row r="7441">
      <c r="A7441" s="11" t="s">
        <v>48</v>
      </c>
      <c r="B7441" s="12">
        <v>907.613</v>
      </c>
      <c r="C7441" s="12">
        <v>0</v>
      </c>
      <c r="D7441" s="13">
        <v>0</v>
      </c>
      <c r="E7441" s="12">
        <v>0</v>
      </c>
      <c r="F7441" s="14">
        <v>0</v>
      </c>
      <c r="G7441" s="13">
        <v>63139243.9101</v>
      </c>
      <c r="H7441" s="14">
        <v>57305998582.977592</v>
      </c>
      <c r="I7441" s="14" t="e">
        <f>=Round(3021603.25800000,0)</f>
        <v>#VALUE!</v>
      </c>
      <c r="J7441" s="14" t="e">
        <f>=Round(0.00000000,0)</f>
        <v>#VALUE!</v>
      </c>
    </row>
    <row r="7442">
      <c r="A7442" s="11" t="s">
        <v>49</v>
      </c>
      <c r="B7442" s="12">
        <v>907.613</v>
      </c>
      <c r="C7442" s="12">
        <v>0</v>
      </c>
      <c r="D7442" s="13">
        <v>0</v>
      </c>
      <c r="E7442" s="12">
        <v>0</v>
      </c>
      <c r="F7442" s="14">
        <v>0</v>
      </c>
      <c r="G7442" s="13">
        <v>63139243.9101</v>
      </c>
      <c r="H7442" s="14">
        <v>57305998582.977592</v>
      </c>
      <c r="I7442" s="14" t="e">
        <f>=Round(3014045.00740000,0)</f>
        <v>#VALUE!</v>
      </c>
      <c r="J7442" s="14" t="e">
        <f>=Round(0.00000000,0)</f>
        <v>#VALUE!</v>
      </c>
    </row>
    <row r="7443">
      <c r="A7443" s="11" t="s">
        <v>50</v>
      </c>
      <c r="B7443" s="12">
        <v>907.613</v>
      </c>
      <c r="C7443" s="12">
        <v>0</v>
      </c>
      <c r="D7443" s="13">
        <v>0</v>
      </c>
      <c r="E7443" s="12">
        <v>0</v>
      </c>
      <c r="F7443" s="14">
        <v>0</v>
      </c>
      <c r="G7443" s="13">
        <v>63139243.9101</v>
      </c>
      <c r="H7443" s="14">
        <v>57305998582.977592</v>
      </c>
      <c r="I7443" s="14" t="e">
        <f>=Round(3014045.00740000,0)</f>
        <v>#VALUE!</v>
      </c>
      <c r="J7443" s="14" t="e">
        <f>=Round(0.00000000,0)</f>
        <v>#VALUE!</v>
      </c>
    </row>
    <row r="7444">
      <c r="A7444" s="11" t="s">
        <v>51</v>
      </c>
      <c r="B7444" s="12">
        <v>903.607</v>
      </c>
      <c r="C7444" s="12">
        <v>0</v>
      </c>
      <c r="D7444" s="13">
        <v>0</v>
      </c>
      <c r="E7444" s="12">
        <v>0</v>
      </c>
      <c r="F7444" s="14">
        <v>0</v>
      </c>
      <c r="G7444" s="13">
        <v>63139243.9101</v>
      </c>
      <c r="H7444" s="14">
        <v>57053062771.873726</v>
      </c>
      <c r="I7444" s="14" t="e">
        <f>=Round(3014045.00740000,0)</f>
        <v>#VALUE!</v>
      </c>
      <c r="J7444" s="14" t="e">
        <f>=Round(0.00000000,0)</f>
        <v>#VALUE!</v>
      </c>
    </row>
    <row r="7445">
      <c r="A7445" s="11" t="s">
        <v>52</v>
      </c>
      <c r="B7445" s="12">
        <v>903.902</v>
      </c>
      <c r="C7445" s="12">
        <v>0</v>
      </c>
      <c r="D7445" s="13">
        <v>0</v>
      </c>
      <c r="E7445" s="12">
        <v>0</v>
      </c>
      <c r="F7445" s="14">
        <v>0</v>
      </c>
      <c r="G7445" s="13">
        <v>63139243.9101</v>
      </c>
      <c r="H7445" s="14">
        <v>57071688848.827209</v>
      </c>
      <c r="I7445" s="14" t="e">
        <f>=Round(3000741.68950000,0)</f>
        <v>#VALUE!</v>
      </c>
      <c r="J7445" s="14" t="e">
        <f>=Round(0.00000000,0)</f>
        <v>#VALUE!</v>
      </c>
    </row>
    <row r="7446">
      <c r="A7446" s="11" t="s">
        <v>53</v>
      </c>
      <c r="B7446" s="12">
        <v>901.002</v>
      </c>
      <c r="C7446" s="12">
        <v>0</v>
      </c>
      <c r="D7446" s="13">
        <v>0</v>
      </c>
      <c r="E7446" s="12">
        <v>0</v>
      </c>
      <c r="F7446" s="14">
        <v>0</v>
      </c>
      <c r="G7446" s="13">
        <v>63139243.9101</v>
      </c>
      <c r="H7446" s="14">
        <v>56888585041.487923</v>
      </c>
      <c r="I7446" s="14" t="e">
        <f>=Round(3001721.33970000,0)</f>
        <v>#VALUE!</v>
      </c>
      <c r="J7446" s="14" t="e">
        <f>=Round(0.00000000,0)</f>
        <v>#VALUE!</v>
      </c>
    </row>
    <row r="7447">
      <c r="A7447" s="11" t="s">
        <v>54</v>
      </c>
      <c r="B7447" s="12">
        <v>893.799</v>
      </c>
      <c r="C7447" s="12">
        <v>0</v>
      </c>
      <c r="D7447" s="13">
        <v>0</v>
      </c>
      <c r="E7447" s="12">
        <v>0</v>
      </c>
      <c r="F7447" s="14">
        <v>0</v>
      </c>
      <c r="G7447" s="13">
        <v>63139243.9101</v>
      </c>
      <c r="H7447" s="14">
        <v>56433793067.60347</v>
      </c>
      <c r="I7447" s="14" t="e">
        <f>=Round(2992090.87990000,0)</f>
        <v>#VALUE!</v>
      </c>
      <c r="J7447" s="14" t="e">
        <f>=Round(0.00000000,0)</f>
        <v>#VALUE!</v>
      </c>
    </row>
    <row r="7448">
      <c r="A7448" s="11" t="s">
        <v>55</v>
      </c>
      <c r="B7448" s="12">
        <v>888.216</v>
      </c>
      <c r="C7448" s="12">
        <v>0</v>
      </c>
      <c r="D7448" s="13">
        <v>0</v>
      </c>
      <c r="E7448" s="12">
        <v>0</v>
      </c>
      <c r="F7448" s="14">
        <v>0</v>
      </c>
      <c r="G7448" s="13">
        <v>63139243.9101</v>
      </c>
      <c r="H7448" s="14">
        <v>56081286668.853386</v>
      </c>
      <c r="I7448" s="14" t="e">
        <f>=Round(2968170.81020000,0)</f>
        <v>#VALUE!</v>
      </c>
      <c r="J7448" s="14" t="e">
        <f>=Round(0.00000000,0)</f>
        <v>#VALUE!</v>
      </c>
    </row>
    <row r="7449" ht="-1">
      <c r="A7449" s="15"/>
      <c r="B7449" s="16" t="s">
        <v>56</v>
      </c>
      <c r="C7449" s="15"/>
      <c r="D7449" s="15"/>
      <c r="E7449" s="15"/>
      <c r="F7449" s="15"/>
      <c r="G7449" s="15"/>
      <c r="H7449" s="15"/>
      <c r="I7449" s="17" t="e">
        <f>=Round(SUM(I7423:I7448),0)</f>
        <v>#VALUE!</v>
      </c>
      <c r="J7449" s="17" t="e">
        <f>=Round(SUM(J7423:J7448),0)</f>
        <v>#VALUE!</v>
      </c>
    </row>
    <row r="7450">
      <c r="A7450" s="1" t="s">
        <v>0</v>
      </c>
      <c r="B7450" s="1"/>
      <c r="C7450" s="1"/>
      <c r="D7450" s="1"/>
    </row>
    <row r="7451">
      <c r="A7451" s="0" t="s">
        <v>1</v>
      </c>
      <c r="C7451" s="0" t="s">
        <v>263</v>
      </c>
      <c r="H7451" s="2" t="s">
        <v>3</v>
      </c>
    </row>
    <row r="7452">
      <c r="A7452" s="0" t="s">
        <v>4</v>
      </c>
      <c r="C7452" s="0" t="s">
        <v>264</v>
      </c>
      <c r="H7452" s="3" t="s">
        <v>6</v>
      </c>
    </row>
    <row r="7453">
      <c r="A7453" s="0" t="s">
        <v>7</v>
      </c>
      <c r="C7453" s="4" t="s">
        <v>146</v>
      </c>
      <c r="H7453" s="2" t="s">
        <v>9</v>
      </c>
    </row>
    <row r="7454">
      <c r="A7454" s="0" t="s">
        <v>10</v>
      </c>
      <c r="C7454" s="4" t="s">
        <v>11</v>
      </c>
      <c r="H7454" s="2" t="s">
        <v>12</v>
      </c>
    </row>
    <row r="7455">
      <c r="A7455" s="0" t="s">
        <v>13</v>
      </c>
      <c r="C7455" s="0" t="s">
        <v>14</v>
      </c>
    </row>
    <row r="7456">
      <c r="A7456" s="0" t="s">
        <v>15</v>
      </c>
      <c r="C7456" s="0" t="s">
        <v>16</v>
      </c>
    </row>
    <row r="7457">
      <c r="A7457" s="0" t="s">
        <v>17</v>
      </c>
      <c r="C7457" s="0" t="s">
        <v>18</v>
      </c>
    </row>
    <row r="7460">
      <c r="A7460" s="5" t="s">
        <v>19</v>
      </c>
      <c r="B7460" s="5" t="s">
        <v>20</v>
      </c>
      <c r="C7460" s="7" t="s">
        <v>21</v>
      </c>
      <c r="D7460" s="9"/>
      <c r="E7460" s="7" t="s">
        <v>22</v>
      </c>
      <c r="F7460" s="9"/>
      <c r="G7460" s="5" t="s">
        <v>23</v>
      </c>
      <c r="H7460" s="5" t="s">
        <v>24</v>
      </c>
      <c r="I7460" s="5" t="s">
        <v>147</v>
      </c>
      <c r="J7460" s="5" t="s">
        <v>26</v>
      </c>
    </row>
    <row r="7461">
      <c r="A7461" s="6"/>
      <c r="B7461" s="6"/>
      <c r="C7461" s="8" t="s">
        <v>27</v>
      </c>
      <c r="D7461" s="8" t="s">
        <v>28</v>
      </c>
      <c r="E7461" s="8" t="s">
        <v>27</v>
      </c>
      <c r="F7461" s="8" t="s">
        <v>28</v>
      </c>
      <c r="G7461" s="6"/>
      <c r="H7461" s="6"/>
      <c r="I7461" s="10" t="s">
        <v>29</v>
      </c>
      <c r="J7461" s="6"/>
    </row>
    <row r="7462">
      <c r="A7462" s="11" t="s">
        <v>30</v>
      </c>
      <c r="B7462" s="12">
        <v>1142.6871</v>
      </c>
      <c r="C7462" s="12">
        <v>0</v>
      </c>
      <c r="D7462" s="13">
        <v>0</v>
      </c>
      <c r="E7462" s="12">
        <v>0</v>
      </c>
      <c r="F7462" s="14">
        <v>0</v>
      </c>
      <c r="G7462" s="13">
        <v>541989805.0874</v>
      </c>
      <c r="H7462" s="14">
        <v>619324758604.88635</v>
      </c>
      <c r="I7462" s="14" t="e">
        <f>=Round(9305481.53100000,0)</f>
        <v>#VALUE!</v>
      </c>
      <c r="J7462" s="14" t="e">
        <f>=Round(0.00000000,0)</f>
        <v>#VALUE!</v>
      </c>
    </row>
    <row r="7463">
      <c r="A7463" s="11" t="s">
        <v>31</v>
      </c>
      <c r="B7463" s="12">
        <v>1142.4575</v>
      </c>
      <c r="C7463" s="12">
        <v>0</v>
      </c>
      <c r="D7463" s="13">
        <v>0</v>
      </c>
      <c r="E7463" s="12">
        <v>0</v>
      </c>
      <c r="F7463" s="14">
        <v>0</v>
      </c>
      <c r="G7463" s="13">
        <v>541989805.0874</v>
      </c>
      <c r="H7463" s="14">
        <v>619200317745.63831</v>
      </c>
      <c r="I7463" s="14" t="e">
        <f>=Round(9306792.82060000,0)</f>
        <v>#VALUE!</v>
      </c>
      <c r="J7463" s="14" t="e">
        <f>=Round(0.00000000,0)</f>
        <v>#VALUE!</v>
      </c>
    </row>
    <row r="7464">
      <c r="A7464" s="11" t="s">
        <v>32</v>
      </c>
      <c r="B7464" s="12">
        <v>1142.5572</v>
      </c>
      <c r="C7464" s="12">
        <v>0</v>
      </c>
      <c r="D7464" s="13">
        <v>0</v>
      </c>
      <c r="E7464" s="12">
        <v>0</v>
      </c>
      <c r="F7464" s="14">
        <v>0</v>
      </c>
      <c r="G7464" s="13">
        <v>541989805.0874</v>
      </c>
      <c r="H7464" s="14">
        <v>619254354129.20544</v>
      </c>
      <c r="I7464" s="14" t="e">
        <f>=Round(9304922.80770000,0)</f>
        <v>#VALUE!</v>
      </c>
      <c r="J7464" s="14" t="e">
        <f>=Round(0.00000000,0)</f>
        <v>#VALUE!</v>
      </c>
    </row>
    <row r="7465">
      <c r="A7465" s="11" t="s">
        <v>33</v>
      </c>
      <c r="B7465" s="12">
        <v>1142.9489</v>
      </c>
      <c r="C7465" s="12">
        <v>0</v>
      </c>
      <c r="D7465" s="13">
        <v>0</v>
      </c>
      <c r="E7465" s="12">
        <v>0</v>
      </c>
      <c r="F7465" s="14">
        <v>0</v>
      </c>
      <c r="G7465" s="13">
        <v>541989805.0874</v>
      </c>
      <c r="H7465" s="14">
        <v>619466651535.85815</v>
      </c>
      <c r="I7465" s="14" t="e">
        <f>=Round(9305734.82980000,0)</f>
        <v>#VALUE!</v>
      </c>
      <c r="J7465" s="14" t="e">
        <f>=Round(0.00000000,0)</f>
        <v>#VALUE!</v>
      </c>
    </row>
    <row r="7466">
      <c r="A7466" s="11" t="s">
        <v>34</v>
      </c>
      <c r="B7466" s="12">
        <v>1146.0043</v>
      </c>
      <c r="C7466" s="12">
        <v>0</v>
      </c>
      <c r="D7466" s="13">
        <v>0</v>
      </c>
      <c r="E7466" s="12">
        <v>0</v>
      </c>
      <c r="F7466" s="14">
        <v>0</v>
      </c>
      <c r="G7466" s="13">
        <v>541989805.0874</v>
      </c>
      <c r="H7466" s="14">
        <v>621122647186.32227</v>
      </c>
      <c r="I7466" s="14" t="e">
        <f>=Round(9308925.09140000,0)</f>
        <v>#VALUE!</v>
      </c>
      <c r="J7466" s="14" t="e">
        <f>=Round(0.00000000,0)</f>
        <v>#VALUE!</v>
      </c>
    </row>
    <row r="7467">
      <c r="A7467" s="11" t="s">
        <v>35</v>
      </c>
      <c r="B7467" s="12">
        <v>1146.0043</v>
      </c>
      <c r="C7467" s="12">
        <v>0</v>
      </c>
      <c r="D7467" s="13">
        <v>0</v>
      </c>
      <c r="E7467" s="12">
        <v>0</v>
      </c>
      <c r="F7467" s="14">
        <v>0</v>
      </c>
      <c r="G7467" s="13">
        <v>541989805.0874</v>
      </c>
      <c r="H7467" s="14">
        <v>621122647186.32227</v>
      </c>
      <c r="I7467" s="14" t="e">
        <f>=Round(9333810.27190000,0)</f>
        <v>#VALUE!</v>
      </c>
      <c r="J7467" s="14" t="e">
        <f>=Round(0.00000000,0)</f>
        <v>#VALUE!</v>
      </c>
    </row>
    <row r="7468">
      <c r="A7468" s="11" t="s">
        <v>36</v>
      </c>
      <c r="B7468" s="12">
        <v>1146.0043</v>
      </c>
      <c r="C7468" s="12">
        <v>0</v>
      </c>
      <c r="D7468" s="13">
        <v>0</v>
      </c>
      <c r="E7468" s="12">
        <v>0</v>
      </c>
      <c r="F7468" s="14">
        <v>0</v>
      </c>
      <c r="G7468" s="13">
        <v>541989805.0874</v>
      </c>
      <c r="H7468" s="14">
        <v>621122647186.32227</v>
      </c>
      <c r="I7468" s="14" t="e">
        <f>=Round(9333810.27190000,0)</f>
        <v>#VALUE!</v>
      </c>
      <c r="J7468" s="14" t="e">
        <f>=Round(0.00000000,0)</f>
        <v>#VALUE!</v>
      </c>
    </row>
    <row r="7469">
      <c r="A7469" s="11" t="s">
        <v>37</v>
      </c>
      <c r="B7469" s="12">
        <v>1144.3948</v>
      </c>
      <c r="C7469" s="12">
        <v>0</v>
      </c>
      <c r="D7469" s="13">
        <v>0</v>
      </c>
      <c r="E7469" s="12">
        <v>0</v>
      </c>
      <c r="F7469" s="14">
        <v>0</v>
      </c>
      <c r="G7469" s="13">
        <v>541989805.0874</v>
      </c>
      <c r="H7469" s="14">
        <v>620250314595.034</v>
      </c>
      <c r="I7469" s="14" t="e">
        <f>=Round(9333810.27190000,0)</f>
        <v>#VALUE!</v>
      </c>
      <c r="J7469" s="14" t="e">
        <f>=Round(0.00000000,0)</f>
        <v>#VALUE!</v>
      </c>
    </row>
    <row r="7470">
      <c r="A7470" s="11" t="s">
        <v>38</v>
      </c>
      <c r="B7470" s="12">
        <v>1144.2338</v>
      </c>
      <c r="C7470" s="12">
        <v>0</v>
      </c>
      <c r="D7470" s="13">
        <v>0</v>
      </c>
      <c r="E7470" s="12">
        <v>0</v>
      </c>
      <c r="F7470" s="14">
        <v>0</v>
      </c>
      <c r="G7470" s="13">
        <v>541989805.0874</v>
      </c>
      <c r="H7470" s="14">
        <v>620163054236.41492</v>
      </c>
      <c r="I7470" s="14" t="e">
        <f>=Round(9320701.44880000,0)</f>
        <v>#VALUE!</v>
      </c>
      <c r="J7470" s="14" t="e">
        <f>=Round(0.00000000,0)</f>
        <v>#VALUE!</v>
      </c>
    </row>
    <row r="7471">
      <c r="A7471" s="11" t="s">
        <v>39</v>
      </c>
      <c r="B7471" s="12">
        <v>1144.336</v>
      </c>
      <c r="C7471" s="12">
        <v>0</v>
      </c>
      <c r="D7471" s="13">
        <v>0</v>
      </c>
      <c r="E7471" s="12">
        <v>0</v>
      </c>
      <c r="F7471" s="14">
        <v>0</v>
      </c>
      <c r="G7471" s="13">
        <v>541989805.0874</v>
      </c>
      <c r="H7471" s="14">
        <v>620218445594.495</v>
      </c>
      <c r="I7471" s="14" t="e">
        <f>=Round(9319390.15930000,0)</f>
        <v>#VALUE!</v>
      </c>
      <c r="J7471" s="14" t="e">
        <f>=Round(0.00000000,0)</f>
        <v>#VALUE!</v>
      </c>
    </row>
    <row r="7472">
      <c r="A7472" s="11" t="s">
        <v>40</v>
      </c>
      <c r="B7472" s="12">
        <v>1144.2004</v>
      </c>
      <c r="C7472" s="12">
        <v>0</v>
      </c>
      <c r="D7472" s="13">
        <v>0</v>
      </c>
      <c r="E7472" s="12">
        <v>0</v>
      </c>
      <c r="F7472" s="14">
        <v>0</v>
      </c>
      <c r="G7472" s="13">
        <v>541989805.0874</v>
      </c>
      <c r="H7472" s="14">
        <v>620144951776.925</v>
      </c>
      <c r="I7472" s="14" t="e">
        <f>=Round(9320222.54310000,0)</f>
        <v>#VALUE!</v>
      </c>
      <c r="J7472" s="14" t="e">
        <f>=Round(0.00000000,0)</f>
        <v>#VALUE!</v>
      </c>
    </row>
    <row r="7473">
      <c r="A7473" s="11" t="s">
        <v>41</v>
      </c>
      <c r="B7473" s="12">
        <v>1147.4577</v>
      </c>
      <c r="C7473" s="12">
        <v>0</v>
      </c>
      <c r="D7473" s="13">
        <v>0</v>
      </c>
      <c r="E7473" s="12">
        <v>0</v>
      </c>
      <c r="F7473" s="14">
        <v>0</v>
      </c>
      <c r="G7473" s="13">
        <v>541989805.0874</v>
      </c>
      <c r="H7473" s="14">
        <v>621910375169.03625</v>
      </c>
      <c r="I7473" s="14" t="e">
        <f>=Round(9319118.12780000,0)</f>
        <v>#VALUE!</v>
      </c>
      <c r="J7473" s="14" t="e">
        <f>=Round(0.00000000,0)</f>
        <v>#VALUE!</v>
      </c>
    </row>
    <row r="7474">
      <c r="A7474" s="11" t="s">
        <v>42</v>
      </c>
      <c r="B7474" s="12">
        <v>1147.4577</v>
      </c>
      <c r="C7474" s="12">
        <v>0</v>
      </c>
      <c r="D7474" s="13">
        <v>0</v>
      </c>
      <c r="E7474" s="12">
        <v>0</v>
      </c>
      <c r="F7474" s="14">
        <v>0</v>
      </c>
      <c r="G7474" s="13">
        <v>541989805.0874</v>
      </c>
      <c r="H7474" s="14">
        <v>621910375169.03625</v>
      </c>
      <c r="I7474" s="14" t="e">
        <f>=Round(9345647.71430000,0)</f>
        <v>#VALUE!</v>
      </c>
      <c r="J7474" s="14" t="e">
        <f>=Round(0.00000000,0)</f>
        <v>#VALUE!</v>
      </c>
    </row>
    <row r="7475">
      <c r="A7475" s="11" t="s">
        <v>43</v>
      </c>
      <c r="B7475" s="12">
        <v>1147.4577</v>
      </c>
      <c r="C7475" s="12">
        <v>0</v>
      </c>
      <c r="D7475" s="13">
        <v>0</v>
      </c>
      <c r="E7475" s="12">
        <v>0</v>
      </c>
      <c r="F7475" s="14">
        <v>0</v>
      </c>
      <c r="G7475" s="13">
        <v>541989805.0874</v>
      </c>
      <c r="H7475" s="14">
        <v>621910375169.03625</v>
      </c>
      <c r="I7475" s="14" t="e">
        <f>=Round(9345647.71430000,0)</f>
        <v>#VALUE!</v>
      </c>
      <c r="J7475" s="14" t="e">
        <f>=Round(0.00000000,0)</f>
        <v>#VALUE!</v>
      </c>
    </row>
    <row r="7476">
      <c r="A7476" s="11" t="s">
        <v>44</v>
      </c>
      <c r="B7476" s="12">
        <v>1148.0818</v>
      </c>
      <c r="C7476" s="12">
        <v>0</v>
      </c>
      <c r="D7476" s="13">
        <v>0</v>
      </c>
      <c r="E7476" s="12">
        <v>0</v>
      </c>
      <c r="F7476" s="14">
        <v>0</v>
      </c>
      <c r="G7476" s="13">
        <v>541989805.0874</v>
      </c>
      <c r="H7476" s="14">
        <v>622248631006.39124</v>
      </c>
      <c r="I7476" s="14" t="e">
        <f>=Round(9345647.71430000,0)</f>
        <v>#VALUE!</v>
      </c>
      <c r="J7476" s="14" t="e">
        <f>=Round(0.00000000,0)</f>
        <v>#VALUE!</v>
      </c>
    </row>
    <row r="7477">
      <c r="A7477" s="11" t="s">
        <v>45</v>
      </c>
      <c r="B7477" s="12">
        <v>1147.7725</v>
      </c>
      <c r="C7477" s="12">
        <v>0</v>
      </c>
      <c r="D7477" s="13">
        <v>0</v>
      </c>
      <c r="E7477" s="12">
        <v>0</v>
      </c>
      <c r="F7477" s="14">
        <v>0</v>
      </c>
      <c r="G7477" s="13">
        <v>541989805.0874</v>
      </c>
      <c r="H7477" s="14">
        <v>622080993559.67786</v>
      </c>
      <c r="I7477" s="14" t="e">
        <f>=Round(9350730.79380000,0)</f>
        <v>#VALUE!</v>
      </c>
      <c r="J7477" s="14" t="e">
        <f>=Round(0.00000000,0)</f>
        <v>#VALUE!</v>
      </c>
    </row>
    <row r="7478">
      <c r="A7478" s="11" t="s">
        <v>46</v>
      </c>
      <c r="B7478" s="12">
        <v>1148.6459</v>
      </c>
      <c r="C7478" s="12">
        <v>0</v>
      </c>
      <c r="D7478" s="13">
        <v>0</v>
      </c>
      <c r="E7478" s="12">
        <v>0</v>
      </c>
      <c r="F7478" s="14">
        <v>0</v>
      </c>
      <c r="G7478" s="13">
        <v>541989805.0874</v>
      </c>
      <c r="H7478" s="14">
        <v>622554367455.44116</v>
      </c>
      <c r="I7478" s="14" t="e">
        <f>=Round(9348211.65190000,0)</f>
        <v>#VALUE!</v>
      </c>
      <c r="J7478" s="14" t="e">
        <f>=Round(0.00000000,0)</f>
        <v>#VALUE!</v>
      </c>
    </row>
    <row r="7479">
      <c r="A7479" s="11" t="s">
        <v>47</v>
      </c>
      <c r="B7479" s="12">
        <v>1148.826</v>
      </c>
      <c r="C7479" s="12">
        <v>0</v>
      </c>
      <c r="D7479" s="13">
        <v>0</v>
      </c>
      <c r="E7479" s="12">
        <v>0</v>
      </c>
      <c r="F7479" s="14">
        <v>0</v>
      </c>
      <c r="G7479" s="13">
        <v>541989805.0874</v>
      </c>
      <c r="H7479" s="14">
        <v>622651979819.3374</v>
      </c>
      <c r="I7479" s="14" t="e">
        <f>=Round(9355325.19400000,0)</f>
        <v>#VALUE!</v>
      </c>
      <c r="J7479" s="14" t="e">
        <f>=Round(0.00000000,0)</f>
        <v>#VALUE!</v>
      </c>
    </row>
    <row r="7480">
      <c r="A7480" s="11" t="s">
        <v>48</v>
      </c>
      <c r="B7480" s="12">
        <v>1148.2079</v>
      </c>
      <c r="C7480" s="12">
        <v>0</v>
      </c>
      <c r="D7480" s="13">
        <v>0</v>
      </c>
      <c r="E7480" s="12">
        <v>0</v>
      </c>
      <c r="F7480" s="14">
        <v>0</v>
      </c>
      <c r="G7480" s="13">
        <v>541989805.0874</v>
      </c>
      <c r="H7480" s="14">
        <v>622316975920.813</v>
      </c>
      <c r="I7480" s="14" t="e">
        <f>=Round(9356792.04650000,0)</f>
        <v>#VALUE!</v>
      </c>
      <c r="J7480" s="14" t="e">
        <f>=Round(0.00000000,0)</f>
        <v>#VALUE!</v>
      </c>
    </row>
    <row r="7481">
      <c r="A7481" s="11" t="s">
        <v>49</v>
      </c>
      <c r="B7481" s="12">
        <v>1148.2079</v>
      </c>
      <c r="C7481" s="12">
        <v>0</v>
      </c>
      <c r="D7481" s="13">
        <v>0</v>
      </c>
      <c r="E7481" s="12">
        <v>0</v>
      </c>
      <c r="F7481" s="14">
        <v>0</v>
      </c>
      <c r="G7481" s="13">
        <v>541989805.0874</v>
      </c>
      <c r="H7481" s="14">
        <v>622316975920.813</v>
      </c>
      <c r="I7481" s="14" t="e">
        <f>=Round(9351757.83490000,0)</f>
        <v>#VALUE!</v>
      </c>
      <c r="J7481" s="14" t="e">
        <f>=Round(0.00000000,0)</f>
        <v>#VALUE!</v>
      </c>
    </row>
    <row r="7482">
      <c r="A7482" s="11" t="s">
        <v>50</v>
      </c>
      <c r="B7482" s="12">
        <v>1148.2079</v>
      </c>
      <c r="C7482" s="12">
        <v>0</v>
      </c>
      <c r="D7482" s="13">
        <v>0</v>
      </c>
      <c r="E7482" s="12">
        <v>0</v>
      </c>
      <c r="F7482" s="14">
        <v>0</v>
      </c>
      <c r="G7482" s="13">
        <v>541989805.0874</v>
      </c>
      <c r="H7482" s="14">
        <v>622316975920.813</v>
      </c>
      <c r="I7482" s="14" t="e">
        <f>=Round(9351757.83490000,0)</f>
        <v>#VALUE!</v>
      </c>
      <c r="J7482" s="14" t="e">
        <f>=Round(0.00000000,0)</f>
        <v>#VALUE!</v>
      </c>
    </row>
    <row r="7483">
      <c r="A7483" s="11" t="s">
        <v>51</v>
      </c>
      <c r="B7483" s="12">
        <v>1146.7554</v>
      </c>
      <c r="C7483" s="12">
        <v>0</v>
      </c>
      <c r="D7483" s="13">
        <v>0</v>
      </c>
      <c r="E7483" s="12">
        <v>0</v>
      </c>
      <c r="F7483" s="14">
        <v>0</v>
      </c>
      <c r="G7483" s="13">
        <v>541989805.0874</v>
      </c>
      <c r="H7483" s="14">
        <v>621529735728.92334</v>
      </c>
      <c r="I7483" s="14" t="e">
        <f>=Round(9351757.83490000,0)</f>
        <v>#VALUE!</v>
      </c>
      <c r="J7483" s="14" t="e">
        <f>=Round(0.00000000,0)</f>
        <v>#VALUE!</v>
      </c>
    </row>
    <row r="7484">
      <c r="A7484" s="11" t="s">
        <v>52</v>
      </c>
      <c r="B7484" s="12">
        <v>1148.4263</v>
      </c>
      <c r="C7484" s="12">
        <v>0</v>
      </c>
      <c r="D7484" s="13">
        <v>0</v>
      </c>
      <c r="E7484" s="12">
        <v>0</v>
      </c>
      <c r="F7484" s="14">
        <v>0</v>
      </c>
      <c r="G7484" s="13">
        <v>541989805.0874</v>
      </c>
      <c r="H7484" s="14">
        <v>622435346494.244</v>
      </c>
      <c r="I7484" s="14" t="e">
        <f>=Round(9339927.72270000,0)</f>
        <v>#VALUE!</v>
      </c>
      <c r="J7484" s="14" t="e">
        <f>=Round(0.00000000,0)</f>
        <v>#VALUE!</v>
      </c>
    </row>
    <row r="7485">
      <c r="A7485" s="11" t="s">
        <v>53</v>
      </c>
      <c r="B7485" s="12">
        <v>1148.6958</v>
      </c>
      <c r="C7485" s="12">
        <v>0</v>
      </c>
      <c r="D7485" s="13">
        <v>0</v>
      </c>
      <c r="E7485" s="12">
        <v>0</v>
      </c>
      <c r="F7485" s="14">
        <v>0</v>
      </c>
      <c r="G7485" s="13">
        <v>541989805.0874</v>
      </c>
      <c r="H7485" s="14">
        <v>622581412746.715</v>
      </c>
      <c r="I7485" s="14" t="e">
        <f>=Round(9353536.62760000,0)</f>
        <v>#VALUE!</v>
      </c>
      <c r="J7485" s="14" t="e">
        <f>=Round(0.00000000,0)</f>
        <v>#VALUE!</v>
      </c>
    </row>
    <row r="7486">
      <c r="A7486" s="11" t="s">
        <v>54</v>
      </c>
      <c r="B7486" s="12">
        <v>1146.9401</v>
      </c>
      <c r="C7486" s="12">
        <v>0</v>
      </c>
      <c r="D7486" s="13">
        <v>0</v>
      </c>
      <c r="E7486" s="12">
        <v>0</v>
      </c>
      <c r="F7486" s="14">
        <v>0</v>
      </c>
      <c r="G7486" s="13">
        <v>541989805.0874</v>
      </c>
      <c r="H7486" s="14">
        <v>621629841245.9231</v>
      </c>
      <c r="I7486" s="14" t="e">
        <f>=Round(9355731.61230000,0)</f>
        <v>#VALUE!</v>
      </c>
      <c r="J7486" s="14" t="e">
        <f>=Round(0.00000000,0)</f>
        <v>#VALUE!</v>
      </c>
    </row>
    <row r="7487">
      <c r="A7487" s="11" t="s">
        <v>55</v>
      </c>
      <c r="B7487" s="12">
        <v>1143.8691</v>
      </c>
      <c r="C7487" s="12">
        <v>0</v>
      </c>
      <c r="D7487" s="13">
        <v>0</v>
      </c>
      <c r="E7487" s="12">
        <v>0</v>
      </c>
      <c r="F7487" s="14">
        <v>0</v>
      </c>
      <c r="G7487" s="13">
        <v>541989805.0874</v>
      </c>
      <c r="H7487" s="14">
        <v>619965390554.49976</v>
      </c>
      <c r="I7487" s="14" t="e">
        <f>=Round(9341432.04060000,0)</f>
        <v>#VALUE!</v>
      </c>
      <c r="J7487" s="14" t="e">
        <f>=Round(0.00000000,0)</f>
        <v>#VALUE!</v>
      </c>
    </row>
    <row r="7488" ht="-1">
      <c r="A7488" s="15"/>
      <c r="B7488" s="16" t="s">
        <v>56</v>
      </c>
      <c r="C7488" s="15"/>
      <c r="D7488" s="15"/>
      <c r="E7488" s="15"/>
      <c r="F7488" s="15"/>
      <c r="G7488" s="15"/>
      <c r="H7488" s="15"/>
      <c r="I7488" s="17" t="e">
        <f>=Round(SUM(I7462:I7487),0)</f>
        <v>#VALUE!</v>
      </c>
      <c r="J7488" s="17" t="e">
        <f>=Round(SUM(J7462:J7487),0)</f>
        <v>#VALUE!</v>
      </c>
    </row>
    <row r="7489">
      <c r="A7489" s="1" t="s">
        <v>0</v>
      </c>
      <c r="B7489" s="1"/>
      <c r="C7489" s="1"/>
      <c r="D7489" s="1"/>
    </row>
    <row r="7490">
      <c r="A7490" s="0" t="s">
        <v>1</v>
      </c>
      <c r="C7490" s="0" t="s">
        <v>263</v>
      </c>
      <c r="H7490" s="2" t="s">
        <v>3</v>
      </c>
    </row>
    <row r="7491">
      <c r="A7491" s="0" t="s">
        <v>4</v>
      </c>
      <c r="C7491" s="0" t="s">
        <v>265</v>
      </c>
      <c r="H7491" s="3" t="s">
        <v>6</v>
      </c>
    </row>
    <row r="7492">
      <c r="A7492" s="0" t="s">
        <v>7</v>
      </c>
      <c r="C7492" s="4" t="s">
        <v>146</v>
      </c>
      <c r="H7492" s="2" t="s">
        <v>9</v>
      </c>
    </row>
    <row r="7493">
      <c r="A7493" s="0" t="s">
        <v>10</v>
      </c>
      <c r="C7493" s="4" t="s">
        <v>11</v>
      </c>
      <c r="H7493" s="2" t="s">
        <v>12</v>
      </c>
    </row>
    <row r="7494">
      <c r="A7494" s="0" t="s">
        <v>13</v>
      </c>
      <c r="C7494" s="0" t="s">
        <v>14</v>
      </c>
    </row>
    <row r="7495">
      <c r="A7495" s="0" t="s">
        <v>15</v>
      </c>
      <c r="C7495" s="0" t="s">
        <v>16</v>
      </c>
    </row>
    <row r="7496">
      <c r="A7496" s="0" t="s">
        <v>17</v>
      </c>
      <c r="C7496" s="0" t="s">
        <v>18</v>
      </c>
    </row>
    <row r="7499">
      <c r="A7499" s="5" t="s">
        <v>19</v>
      </c>
      <c r="B7499" s="5" t="s">
        <v>20</v>
      </c>
      <c r="C7499" s="7" t="s">
        <v>21</v>
      </c>
      <c r="D7499" s="9"/>
      <c r="E7499" s="7" t="s">
        <v>22</v>
      </c>
      <c r="F7499" s="9"/>
      <c r="G7499" s="5" t="s">
        <v>23</v>
      </c>
      <c r="H7499" s="5" t="s">
        <v>24</v>
      </c>
      <c r="I7499" s="5" t="s">
        <v>147</v>
      </c>
      <c r="J7499" s="5" t="s">
        <v>26</v>
      </c>
    </row>
    <row r="7500">
      <c r="A7500" s="6"/>
      <c r="B7500" s="6"/>
      <c r="C7500" s="8" t="s">
        <v>27</v>
      </c>
      <c r="D7500" s="8" t="s">
        <v>28</v>
      </c>
      <c r="E7500" s="8" t="s">
        <v>27</v>
      </c>
      <c r="F7500" s="8" t="s">
        <v>28</v>
      </c>
      <c r="G7500" s="6"/>
      <c r="H7500" s="6"/>
      <c r="I7500" s="10" t="s">
        <v>29</v>
      </c>
      <c r="J7500" s="6"/>
    </row>
    <row r="7501">
      <c r="A7501" s="11" t="s">
        <v>30</v>
      </c>
      <c r="B7501" s="12">
        <v>1142.6871</v>
      </c>
      <c r="C7501" s="12">
        <v>0</v>
      </c>
      <c r="D7501" s="13">
        <v>0</v>
      </c>
      <c r="E7501" s="12">
        <v>0</v>
      </c>
      <c r="F7501" s="14">
        <v>0</v>
      </c>
      <c r="G7501" s="13">
        <v>644814071.7119</v>
      </c>
      <c r="H7501" s="14">
        <v>736820721643.66309</v>
      </c>
      <c r="I7501" s="14" t="e">
        <f>=Round(11070882.47590000,0)</f>
        <v>#VALUE!</v>
      </c>
      <c r="J7501" s="14" t="e">
        <f>=Round(0.00000000,0)</f>
        <v>#VALUE!</v>
      </c>
    </row>
    <row r="7502">
      <c r="A7502" s="11" t="s">
        <v>31</v>
      </c>
      <c r="B7502" s="12">
        <v>1142.4575</v>
      </c>
      <c r="C7502" s="12">
        <v>0</v>
      </c>
      <c r="D7502" s="13">
        <v>0</v>
      </c>
      <c r="E7502" s="12">
        <v>0</v>
      </c>
      <c r="F7502" s="14">
        <v>0</v>
      </c>
      <c r="G7502" s="13">
        <v>644814071.7119</v>
      </c>
      <c r="H7502" s="14">
        <v>736672672332.798</v>
      </c>
      <c r="I7502" s="14" t="e">
        <f>=Round(11072442.53840000,0)</f>
        <v>#VALUE!</v>
      </c>
      <c r="J7502" s="14" t="e">
        <f>=Round(0.00000000,0)</f>
        <v>#VALUE!</v>
      </c>
    </row>
    <row r="7503">
      <c r="A7503" s="11" t="s">
        <v>32</v>
      </c>
      <c r="B7503" s="12">
        <v>1142.5572</v>
      </c>
      <c r="C7503" s="12">
        <v>0</v>
      </c>
      <c r="D7503" s="13">
        <v>0</v>
      </c>
      <c r="E7503" s="12">
        <v>0</v>
      </c>
      <c r="F7503" s="14">
        <v>0</v>
      </c>
      <c r="G7503" s="13">
        <v>644814071.7119</v>
      </c>
      <c r="H7503" s="14">
        <v>736736960295.74768</v>
      </c>
      <c r="I7503" s="14" t="e">
        <f>=Round(11070217.75360000,0)</f>
        <v>#VALUE!</v>
      </c>
      <c r="J7503" s="14" t="e">
        <f>=Round(0.00000000,0)</f>
        <v>#VALUE!</v>
      </c>
    </row>
    <row r="7504">
      <c r="A7504" s="11" t="s">
        <v>33</v>
      </c>
      <c r="B7504" s="12">
        <v>1142.9489</v>
      </c>
      <c r="C7504" s="12">
        <v>0</v>
      </c>
      <c r="D7504" s="13">
        <v>0</v>
      </c>
      <c r="E7504" s="12">
        <v>0</v>
      </c>
      <c r="F7504" s="14">
        <v>0</v>
      </c>
      <c r="G7504" s="13">
        <v>644814071.7119</v>
      </c>
      <c r="H7504" s="14">
        <v>736989533967.63721</v>
      </c>
      <c r="I7504" s="14" t="e">
        <f>=Round(11071183.82960000,0)</f>
        <v>#VALUE!</v>
      </c>
      <c r="J7504" s="14" t="e">
        <f>=Round(0.00000000,0)</f>
        <v>#VALUE!</v>
      </c>
    </row>
    <row r="7505">
      <c r="A7505" s="11" t="s">
        <v>34</v>
      </c>
      <c r="B7505" s="12">
        <v>1146.0043</v>
      </c>
      <c r="C7505" s="12">
        <v>0</v>
      </c>
      <c r="D7505" s="13">
        <v>0</v>
      </c>
      <c r="E7505" s="12">
        <v>0</v>
      </c>
      <c r="F7505" s="14">
        <v>0</v>
      </c>
      <c r="G7505" s="13">
        <v>644814071.7119</v>
      </c>
      <c r="H7505" s="14">
        <v>738959698882.3457</v>
      </c>
      <c r="I7505" s="14" t="e">
        <f>=Round(11074979.33560000,0)</f>
        <v>#VALUE!</v>
      </c>
      <c r="J7505" s="14" t="e">
        <f>=Round(0.00000000,0)</f>
        <v>#VALUE!</v>
      </c>
    </row>
    <row r="7506">
      <c r="A7506" s="11" t="s">
        <v>35</v>
      </c>
      <c r="B7506" s="12">
        <v>1146.0043</v>
      </c>
      <c r="C7506" s="12">
        <v>0</v>
      </c>
      <c r="D7506" s="13">
        <v>0</v>
      </c>
      <c r="E7506" s="12">
        <v>0</v>
      </c>
      <c r="F7506" s="14">
        <v>0</v>
      </c>
      <c r="G7506" s="13">
        <v>644814071.7119</v>
      </c>
      <c r="H7506" s="14">
        <v>738959698882.3457</v>
      </c>
      <c r="I7506" s="14" t="e">
        <f>=Round(11104585.63890000,0)</f>
        <v>#VALUE!</v>
      </c>
      <c r="J7506" s="14" t="e">
        <f>=Round(0.00000000,0)</f>
        <v>#VALUE!</v>
      </c>
    </row>
    <row r="7507">
      <c r="A7507" s="11" t="s">
        <v>36</v>
      </c>
      <c r="B7507" s="12">
        <v>1146.0043</v>
      </c>
      <c r="C7507" s="12">
        <v>0</v>
      </c>
      <c r="D7507" s="13">
        <v>0</v>
      </c>
      <c r="E7507" s="12">
        <v>0</v>
      </c>
      <c r="F7507" s="14">
        <v>0</v>
      </c>
      <c r="G7507" s="13">
        <v>644814071.7119</v>
      </c>
      <c r="H7507" s="14">
        <v>738959698882.3457</v>
      </c>
      <c r="I7507" s="14" t="e">
        <f>=Round(11104585.63890000,0)</f>
        <v>#VALUE!</v>
      </c>
      <c r="J7507" s="14" t="e">
        <f>=Round(0.00000000,0)</f>
        <v>#VALUE!</v>
      </c>
    </row>
    <row r="7508">
      <c r="A7508" s="11" t="s">
        <v>37</v>
      </c>
      <c r="B7508" s="12">
        <v>1144.3948</v>
      </c>
      <c r="C7508" s="12">
        <v>0</v>
      </c>
      <c r="D7508" s="13">
        <v>0</v>
      </c>
      <c r="E7508" s="12">
        <v>0</v>
      </c>
      <c r="F7508" s="14">
        <v>0</v>
      </c>
      <c r="G7508" s="13">
        <v>644814071.7119</v>
      </c>
      <c r="H7508" s="14">
        <v>737921870633.92554</v>
      </c>
      <c r="I7508" s="14" t="e">
        <f>=Round(11104585.63890000,0)</f>
        <v>#VALUE!</v>
      </c>
      <c r="J7508" s="14" t="e">
        <f>=Round(0.00000000,0)</f>
        <v>#VALUE!</v>
      </c>
    </row>
    <row r="7509">
      <c r="A7509" s="11" t="s">
        <v>38</v>
      </c>
      <c r="B7509" s="12">
        <v>1144.2338</v>
      </c>
      <c r="C7509" s="12">
        <v>0</v>
      </c>
      <c r="D7509" s="13">
        <v>0</v>
      </c>
      <c r="E7509" s="12">
        <v>0</v>
      </c>
      <c r="F7509" s="14">
        <v>0</v>
      </c>
      <c r="G7509" s="13">
        <v>644814071.7119</v>
      </c>
      <c r="H7509" s="14">
        <v>737818055568.37988</v>
      </c>
      <c r="I7509" s="14" t="e">
        <f>=Round(11088989.85930000,0)</f>
        <v>#VALUE!</v>
      </c>
      <c r="J7509" s="14" t="e">
        <f>=Round(0.00000000,0)</f>
        <v>#VALUE!</v>
      </c>
    </row>
    <row r="7510">
      <c r="A7510" s="11" t="s">
        <v>39</v>
      </c>
      <c r="B7510" s="12">
        <v>1144.336</v>
      </c>
      <c r="C7510" s="12">
        <v>0</v>
      </c>
      <c r="D7510" s="13">
        <v>0</v>
      </c>
      <c r="E7510" s="12">
        <v>0</v>
      </c>
      <c r="F7510" s="14">
        <v>0</v>
      </c>
      <c r="G7510" s="13">
        <v>644814071.7119</v>
      </c>
      <c r="H7510" s="14">
        <v>737883955566.50879</v>
      </c>
      <c r="I7510" s="14" t="e">
        <f>=Round(11087429.79680000,0)</f>
        <v>#VALUE!</v>
      </c>
      <c r="J7510" s="14" t="e">
        <f>=Round(0.00000000,0)</f>
        <v>#VALUE!</v>
      </c>
    </row>
    <row r="7511">
      <c r="A7511" s="11" t="s">
        <v>40</v>
      </c>
      <c r="B7511" s="12">
        <v>1144.2004</v>
      </c>
      <c r="C7511" s="12">
        <v>0</v>
      </c>
      <c r="D7511" s="13">
        <v>0</v>
      </c>
      <c r="E7511" s="12">
        <v>0</v>
      </c>
      <c r="F7511" s="14">
        <v>0</v>
      </c>
      <c r="G7511" s="13">
        <v>644814071.7119</v>
      </c>
      <c r="H7511" s="14">
        <v>737796518778.38464</v>
      </c>
      <c r="I7511" s="14" t="e">
        <f>=Round(11088420.09730000,0)</f>
        <v>#VALUE!</v>
      </c>
      <c r="J7511" s="14" t="e">
        <f>=Round(0.00000000,0)</f>
        <v>#VALUE!</v>
      </c>
    </row>
    <row r="7512">
      <c r="A7512" s="11" t="s">
        <v>41</v>
      </c>
      <c r="B7512" s="12">
        <v>1147.4577</v>
      </c>
      <c r="C7512" s="12">
        <v>0</v>
      </c>
      <c r="D7512" s="13">
        <v>0</v>
      </c>
      <c r="E7512" s="12">
        <v>0</v>
      </c>
      <c r="F7512" s="14">
        <v>0</v>
      </c>
      <c r="G7512" s="13">
        <v>644814071.7119</v>
      </c>
      <c r="H7512" s="14">
        <v>739896871654.17175</v>
      </c>
      <c r="I7512" s="14" t="e">
        <f>=Round(11087106.15650000,0)</f>
        <v>#VALUE!</v>
      </c>
      <c r="J7512" s="14" t="e">
        <f>=Round(0.00000000,0)</f>
        <v>#VALUE!</v>
      </c>
    </row>
    <row r="7513">
      <c r="A7513" s="11" t="s">
        <v>42</v>
      </c>
      <c r="B7513" s="12">
        <v>1147.4577</v>
      </c>
      <c r="C7513" s="12">
        <v>0</v>
      </c>
      <c r="D7513" s="13">
        <v>0</v>
      </c>
      <c r="E7513" s="12">
        <v>0</v>
      </c>
      <c r="F7513" s="14">
        <v>0</v>
      </c>
      <c r="G7513" s="13">
        <v>644814071.7119</v>
      </c>
      <c r="H7513" s="14">
        <v>739896871654.17175</v>
      </c>
      <c r="I7513" s="14" t="e">
        <f>=Round(11118668.83630000,0)</f>
        <v>#VALUE!</v>
      </c>
      <c r="J7513" s="14" t="e">
        <f>=Round(0.00000000,0)</f>
        <v>#VALUE!</v>
      </c>
    </row>
    <row r="7514">
      <c r="A7514" s="11" t="s">
        <v>43</v>
      </c>
      <c r="B7514" s="12">
        <v>1147.4577</v>
      </c>
      <c r="C7514" s="12">
        <v>0</v>
      </c>
      <c r="D7514" s="13">
        <v>0</v>
      </c>
      <c r="E7514" s="12">
        <v>0</v>
      </c>
      <c r="F7514" s="14">
        <v>0</v>
      </c>
      <c r="G7514" s="13">
        <v>644814071.7119</v>
      </c>
      <c r="H7514" s="14">
        <v>739896871654.17175</v>
      </c>
      <c r="I7514" s="14" t="e">
        <f>=Round(11118668.83630000,0)</f>
        <v>#VALUE!</v>
      </c>
      <c r="J7514" s="14" t="e">
        <f>=Round(0.00000000,0)</f>
        <v>#VALUE!</v>
      </c>
    </row>
    <row r="7515">
      <c r="A7515" s="11" t="s">
        <v>44</v>
      </c>
      <c r="B7515" s="12">
        <v>1148.0818</v>
      </c>
      <c r="C7515" s="12">
        <v>0</v>
      </c>
      <c r="D7515" s="13">
        <v>0</v>
      </c>
      <c r="E7515" s="12">
        <v>0</v>
      </c>
      <c r="F7515" s="14">
        <v>0</v>
      </c>
      <c r="G7515" s="13">
        <v>644814071.7119</v>
      </c>
      <c r="H7515" s="14">
        <v>740299300116.32727</v>
      </c>
      <c r="I7515" s="14" t="e">
        <f>=Round(11118668.83630000,0)</f>
        <v>#VALUE!</v>
      </c>
      <c r="J7515" s="14" t="e">
        <f>=Round(0.00000000,0)</f>
        <v>#VALUE!</v>
      </c>
    </row>
    <row r="7516">
      <c r="A7516" s="11" t="s">
        <v>45</v>
      </c>
      <c r="B7516" s="12">
        <v>1147.7725</v>
      </c>
      <c r="C7516" s="12">
        <v>0</v>
      </c>
      <c r="D7516" s="13">
        <v>0</v>
      </c>
      <c r="E7516" s="12">
        <v>0</v>
      </c>
      <c r="F7516" s="14">
        <v>0</v>
      </c>
      <c r="G7516" s="13">
        <v>644814071.7119</v>
      </c>
      <c r="H7516" s="14">
        <v>740099859123.94678</v>
      </c>
      <c r="I7516" s="14" t="e">
        <f>=Round(11124716.25860000,0)</f>
        <v>#VALUE!</v>
      </c>
      <c r="J7516" s="14" t="e">
        <f>=Round(0.00000000,0)</f>
        <v>#VALUE!</v>
      </c>
    </row>
    <row r="7517">
      <c r="A7517" s="11" t="s">
        <v>46</v>
      </c>
      <c r="B7517" s="12">
        <v>1148.6459</v>
      </c>
      <c r="C7517" s="12">
        <v>0</v>
      </c>
      <c r="D7517" s="13">
        <v>0</v>
      </c>
      <c r="E7517" s="12">
        <v>0</v>
      </c>
      <c r="F7517" s="14">
        <v>0</v>
      </c>
      <c r="G7517" s="13">
        <v>644814071.7119</v>
      </c>
      <c r="H7517" s="14">
        <v>740663039734.17993</v>
      </c>
      <c r="I7517" s="14" t="e">
        <f>=Round(11121719.19450000,0)</f>
        <v>#VALUE!</v>
      </c>
      <c r="J7517" s="14" t="e">
        <f>=Round(0.00000000,0)</f>
        <v>#VALUE!</v>
      </c>
    </row>
    <row r="7518">
      <c r="A7518" s="11" t="s">
        <v>47</v>
      </c>
      <c r="B7518" s="12">
        <v>1148.826</v>
      </c>
      <c r="C7518" s="12">
        <v>0</v>
      </c>
      <c r="D7518" s="13">
        <v>0</v>
      </c>
      <c r="E7518" s="12">
        <v>0</v>
      </c>
      <c r="F7518" s="14">
        <v>0</v>
      </c>
      <c r="G7518" s="13">
        <v>644814071.7119</v>
      </c>
      <c r="H7518" s="14">
        <v>740779170748.49524</v>
      </c>
      <c r="I7518" s="14" t="e">
        <f>=Round(11130182.29110000,0)</f>
        <v>#VALUE!</v>
      </c>
      <c r="J7518" s="14" t="e">
        <f>=Round(0.00000000,0)</f>
        <v>#VALUE!</v>
      </c>
    </row>
    <row r="7519">
      <c r="A7519" s="11" t="s">
        <v>48</v>
      </c>
      <c r="B7519" s="12">
        <v>1148.2079</v>
      </c>
      <c r="C7519" s="12">
        <v>0</v>
      </c>
      <c r="D7519" s="13">
        <v>0</v>
      </c>
      <c r="E7519" s="12">
        <v>0</v>
      </c>
      <c r="F7519" s="14">
        <v>0</v>
      </c>
      <c r="G7519" s="13">
        <v>644814071.7119</v>
      </c>
      <c r="H7519" s="14">
        <v>740380611170.77</v>
      </c>
      <c r="I7519" s="14" t="e">
        <f>=Round(11131927.42930000,0)</f>
        <v>#VALUE!</v>
      </c>
      <c r="J7519" s="14" t="e">
        <f>=Round(0.00000000,0)</f>
        <v>#VALUE!</v>
      </c>
    </row>
    <row r="7520">
      <c r="A7520" s="11" t="s">
        <v>49</v>
      </c>
      <c r="B7520" s="12">
        <v>1148.2079</v>
      </c>
      <c r="C7520" s="12">
        <v>0</v>
      </c>
      <c r="D7520" s="13">
        <v>0</v>
      </c>
      <c r="E7520" s="12">
        <v>0</v>
      </c>
      <c r="F7520" s="14">
        <v>0</v>
      </c>
      <c r="G7520" s="13">
        <v>644814071.7119</v>
      </c>
      <c r="H7520" s="14">
        <v>740380611170.77</v>
      </c>
      <c r="I7520" s="14" t="e">
        <f>=Round(11125938.14600000,0)</f>
        <v>#VALUE!</v>
      </c>
      <c r="J7520" s="14" t="e">
        <f>=Round(0.00000000,0)</f>
        <v>#VALUE!</v>
      </c>
    </row>
    <row r="7521">
      <c r="A7521" s="11" t="s">
        <v>50</v>
      </c>
      <c r="B7521" s="12">
        <v>1148.2079</v>
      </c>
      <c r="C7521" s="12">
        <v>0</v>
      </c>
      <c r="D7521" s="13">
        <v>0</v>
      </c>
      <c r="E7521" s="12">
        <v>0</v>
      </c>
      <c r="F7521" s="14">
        <v>0</v>
      </c>
      <c r="G7521" s="13">
        <v>644814071.7119</v>
      </c>
      <c r="H7521" s="14">
        <v>740380611170.77</v>
      </c>
      <c r="I7521" s="14" t="e">
        <f>=Round(11125938.14600000,0)</f>
        <v>#VALUE!</v>
      </c>
      <c r="J7521" s="14" t="e">
        <f>=Round(0.00000000,0)</f>
        <v>#VALUE!</v>
      </c>
    </row>
    <row r="7522">
      <c r="A7522" s="11" t="s">
        <v>51</v>
      </c>
      <c r="B7522" s="12">
        <v>1146.7554</v>
      </c>
      <c r="C7522" s="12">
        <v>0</v>
      </c>
      <c r="D7522" s="13">
        <v>0</v>
      </c>
      <c r="E7522" s="12">
        <v>0</v>
      </c>
      <c r="F7522" s="14">
        <v>0</v>
      </c>
      <c r="G7522" s="13">
        <v>644814071.7119</v>
      </c>
      <c r="H7522" s="14">
        <v>739444018731.60852</v>
      </c>
      <c r="I7522" s="14" t="e">
        <f>=Round(11125938.14600000,0)</f>
        <v>#VALUE!</v>
      </c>
      <c r="J7522" s="14" t="e">
        <f>=Round(0.00000000,0)</f>
        <v>#VALUE!</v>
      </c>
    </row>
    <row r="7523">
      <c r="A7523" s="11" t="s">
        <v>52</v>
      </c>
      <c r="B7523" s="12">
        <v>1148.4263</v>
      </c>
      <c r="C7523" s="12">
        <v>0</v>
      </c>
      <c r="D7523" s="13">
        <v>0</v>
      </c>
      <c r="E7523" s="12">
        <v>0</v>
      </c>
      <c r="F7523" s="14">
        <v>0</v>
      </c>
      <c r="G7523" s="13">
        <v>644814071.7119</v>
      </c>
      <c r="H7523" s="14">
        <v>740521438564.032</v>
      </c>
      <c r="I7523" s="14" t="e">
        <f>=Round(11111863.66950000,0)</f>
        <v>#VALUE!</v>
      </c>
      <c r="J7523" s="14" t="e">
        <f>=Round(0.00000000,0)</f>
        <v>#VALUE!</v>
      </c>
    </row>
    <row r="7524">
      <c r="A7524" s="11" t="s">
        <v>53</v>
      </c>
      <c r="B7524" s="12">
        <v>1148.6958</v>
      </c>
      <c r="C7524" s="12">
        <v>0</v>
      </c>
      <c r="D7524" s="13">
        <v>0</v>
      </c>
      <c r="E7524" s="12">
        <v>0</v>
      </c>
      <c r="F7524" s="14">
        <v>0</v>
      </c>
      <c r="G7524" s="13">
        <v>644814071.7119</v>
      </c>
      <c r="H7524" s="14">
        <v>740695215956.3584</v>
      </c>
      <c r="I7524" s="14" t="e">
        <f>=Round(11128054.40470000,0)</f>
        <v>#VALUE!</v>
      </c>
      <c r="J7524" s="14" t="e">
        <f>=Round(0.00000000,0)</f>
        <v>#VALUE!</v>
      </c>
    </row>
    <row r="7525">
      <c r="A7525" s="11" t="s">
        <v>54</v>
      </c>
      <c r="B7525" s="12">
        <v>1146.9401</v>
      </c>
      <c r="C7525" s="12">
        <v>0</v>
      </c>
      <c r="D7525" s="13">
        <v>0</v>
      </c>
      <c r="E7525" s="12">
        <v>0</v>
      </c>
      <c r="F7525" s="14">
        <v>0</v>
      </c>
      <c r="G7525" s="13">
        <v>644814071.7119</v>
      </c>
      <c r="H7525" s="14">
        <v>739563115890.65369</v>
      </c>
      <c r="I7525" s="14" t="e">
        <f>=Round(11130665.81360000,0)</f>
        <v>#VALUE!</v>
      </c>
      <c r="J7525" s="14" t="e">
        <f>=Round(0.00000000,0)</f>
        <v>#VALUE!</v>
      </c>
    </row>
    <row r="7526">
      <c r="A7526" s="11" t="s">
        <v>55</v>
      </c>
      <c r="B7526" s="12">
        <v>1143.8691</v>
      </c>
      <c r="C7526" s="12">
        <v>0</v>
      </c>
      <c r="D7526" s="13">
        <v>0</v>
      </c>
      <c r="E7526" s="12">
        <v>0</v>
      </c>
      <c r="F7526" s="14">
        <v>0</v>
      </c>
      <c r="G7526" s="13">
        <v>644814071.7119</v>
      </c>
      <c r="H7526" s="14">
        <v>737582891876.42651</v>
      </c>
      <c r="I7526" s="14" t="e">
        <f>=Round(11113653.38090000,0)</f>
        <v>#VALUE!</v>
      </c>
      <c r="J7526" s="14" t="e">
        <f>=Round(0.00000000,0)</f>
        <v>#VALUE!</v>
      </c>
    </row>
    <row r="7527" ht="-1">
      <c r="A7527" s="15"/>
      <c r="B7527" s="16" t="s">
        <v>56</v>
      </c>
      <c r="C7527" s="15"/>
      <c r="D7527" s="15"/>
      <c r="E7527" s="15"/>
      <c r="F7527" s="15"/>
      <c r="G7527" s="15"/>
      <c r="H7527" s="15"/>
      <c r="I7527" s="17" t="e">
        <f>=Round(SUM(I7501:I7526),0)</f>
        <v>#VALUE!</v>
      </c>
      <c r="J7527" s="17" t="e">
        <f>=Round(SUM(J7501:J7526),0)</f>
        <v>#VALUE!</v>
      </c>
    </row>
    <row r="7528">
      <c r="A7528" s="1" t="s">
        <v>0</v>
      </c>
      <c r="B7528" s="1"/>
      <c r="C7528" s="1"/>
      <c r="D7528" s="1"/>
    </row>
    <row r="7529">
      <c r="A7529" s="0" t="s">
        <v>1</v>
      </c>
      <c r="C7529" s="0" t="s">
        <v>266</v>
      </c>
      <c r="H7529" s="2" t="s">
        <v>3</v>
      </c>
    </row>
    <row r="7530">
      <c r="A7530" s="0" t="s">
        <v>4</v>
      </c>
      <c r="C7530" s="0" t="s">
        <v>267</v>
      </c>
      <c r="H7530" s="3" t="s">
        <v>6</v>
      </c>
    </row>
    <row r="7531">
      <c r="A7531" s="0" t="s">
        <v>7</v>
      </c>
      <c r="C7531" s="4" t="s">
        <v>219</v>
      </c>
      <c r="H7531" s="2" t="s">
        <v>9</v>
      </c>
    </row>
    <row r="7532">
      <c r="A7532" s="0" t="s">
        <v>10</v>
      </c>
      <c r="C7532" s="4" t="s">
        <v>11</v>
      </c>
      <c r="H7532" s="2" t="s">
        <v>12</v>
      </c>
    </row>
    <row r="7533">
      <c r="A7533" s="0" t="s">
        <v>13</v>
      </c>
      <c r="C7533" s="0" t="s">
        <v>14</v>
      </c>
    </row>
    <row r="7534">
      <c r="A7534" s="0" t="s">
        <v>15</v>
      </c>
      <c r="C7534" s="0" t="s">
        <v>16</v>
      </c>
    </row>
    <row r="7535">
      <c r="A7535" s="0" t="s">
        <v>17</v>
      </c>
      <c r="C7535" s="0" t="s">
        <v>18</v>
      </c>
    </row>
    <row r="7538">
      <c r="A7538" s="5" t="s">
        <v>19</v>
      </c>
      <c r="B7538" s="5" t="s">
        <v>20</v>
      </c>
      <c r="C7538" s="7" t="s">
        <v>21</v>
      </c>
      <c r="D7538" s="9"/>
      <c r="E7538" s="7" t="s">
        <v>22</v>
      </c>
      <c r="F7538" s="9"/>
      <c r="G7538" s="5" t="s">
        <v>23</v>
      </c>
      <c r="H7538" s="5" t="s">
        <v>24</v>
      </c>
      <c r="I7538" s="5" t="s">
        <v>220</v>
      </c>
      <c r="J7538" s="5" t="s">
        <v>26</v>
      </c>
    </row>
    <row r="7539">
      <c r="A7539" s="6"/>
      <c r="B7539" s="6"/>
      <c r="C7539" s="8" t="s">
        <v>27</v>
      </c>
      <c r="D7539" s="8" t="s">
        <v>28</v>
      </c>
      <c r="E7539" s="8" t="s">
        <v>27</v>
      </c>
      <c r="F7539" s="8" t="s">
        <v>28</v>
      </c>
      <c r="G7539" s="6"/>
      <c r="H7539" s="6"/>
      <c r="I7539" s="10" t="s">
        <v>29</v>
      </c>
      <c r="J7539" s="6"/>
    </row>
    <row r="7540">
      <c r="A7540" s="11" t="s">
        <v>30</v>
      </c>
      <c r="B7540" s="12">
        <v>1556.65</v>
      </c>
      <c r="C7540" s="12">
        <v>0</v>
      </c>
      <c r="D7540" s="13">
        <v>0</v>
      </c>
      <c r="E7540" s="12">
        <v>0</v>
      </c>
      <c r="F7540" s="14">
        <v>0</v>
      </c>
      <c r="G7540" s="13">
        <v>787.7793</v>
      </c>
      <c r="H7540" s="14">
        <v>1226296.647345</v>
      </c>
      <c r="I7540" s="14" t="e">
        <f>=Round(55.38100000,0)</f>
        <v>#VALUE!</v>
      </c>
      <c r="J7540" s="14" t="e">
        <f>=Round(0.00000000,0)</f>
        <v>#VALUE!</v>
      </c>
    </row>
    <row r="7541">
      <c r="A7541" s="11" t="s">
        <v>31</v>
      </c>
      <c r="B7541" s="12">
        <v>1562.712</v>
      </c>
      <c r="C7541" s="12">
        <v>0</v>
      </c>
      <c r="D7541" s="13">
        <v>0</v>
      </c>
      <c r="E7541" s="12">
        <v>0</v>
      </c>
      <c r="F7541" s="14">
        <v>0</v>
      </c>
      <c r="G7541" s="13">
        <v>787.7793</v>
      </c>
      <c r="H7541" s="14">
        <v>1231072.165462</v>
      </c>
      <c r="I7541" s="14" t="e">
        <f>=Round(55.28390000,0)</f>
        <v>#VALUE!</v>
      </c>
      <c r="J7541" s="14" t="e">
        <f>=Round(0.00000000,0)</f>
        <v>#VALUE!</v>
      </c>
    </row>
    <row r="7542">
      <c r="A7542" s="11" t="s">
        <v>32</v>
      </c>
      <c r="B7542" s="12">
        <v>1565.487</v>
      </c>
      <c r="C7542" s="12">
        <v>0</v>
      </c>
      <c r="D7542" s="13">
        <v>0</v>
      </c>
      <c r="E7542" s="12">
        <v>0</v>
      </c>
      <c r="F7542" s="14">
        <v>0</v>
      </c>
      <c r="G7542" s="13">
        <v>787.7793</v>
      </c>
      <c r="H7542" s="14">
        <v>1233258.253019</v>
      </c>
      <c r="I7542" s="14" t="e">
        <f>=Round(55.49920000,0)</f>
        <v>#VALUE!</v>
      </c>
      <c r="J7542" s="14" t="e">
        <f>=Round(0.00000000,0)</f>
        <v>#VALUE!</v>
      </c>
    </row>
    <row r="7543">
      <c r="A7543" s="11" t="s">
        <v>33</v>
      </c>
      <c r="B7543" s="12">
        <v>1567.432</v>
      </c>
      <c r="C7543" s="12">
        <v>0</v>
      </c>
      <c r="D7543" s="13">
        <v>0</v>
      </c>
      <c r="E7543" s="12">
        <v>0</v>
      </c>
      <c r="F7543" s="14">
        <v>0</v>
      </c>
      <c r="G7543" s="13">
        <v>787.7793</v>
      </c>
      <c r="H7543" s="14">
        <v>1234790.483758</v>
      </c>
      <c r="I7543" s="14" t="e">
        <f>=Round(55.59770000,0)</f>
        <v>#VALUE!</v>
      </c>
      <c r="J7543" s="14" t="e">
        <f>=Round(0.00000000,0)</f>
        <v>#VALUE!</v>
      </c>
    </row>
    <row r="7544">
      <c r="A7544" s="11" t="s">
        <v>34</v>
      </c>
      <c r="B7544" s="12">
        <v>1567.996</v>
      </c>
      <c r="C7544" s="12">
        <v>0</v>
      </c>
      <c r="D7544" s="13">
        <v>0</v>
      </c>
      <c r="E7544" s="12">
        <v>787.7793</v>
      </c>
      <c r="F7544" s="14">
        <v>1235234.79</v>
      </c>
      <c r="G7544" s="13">
        <v>787.7793</v>
      </c>
      <c r="H7544" s="14">
        <v>1235234.791283</v>
      </c>
      <c r="I7544" s="14" t="e">
        <f>=Round(55.66680000,0)</f>
        <v>#VALUE!</v>
      </c>
      <c r="J7544" s="14" t="e">
        <f>=Round(0.00000000,0)</f>
        <v>#VALUE!</v>
      </c>
    </row>
    <row r="7545">
      <c r="A7545" s="11" t="s">
        <v>35</v>
      </c>
      <c r="B7545" s="12">
        <v>1567.996</v>
      </c>
      <c r="C7545" s="12">
        <v>0</v>
      </c>
      <c r="D7545" s="13">
        <v>0</v>
      </c>
      <c r="E7545" s="12">
        <v>0</v>
      </c>
      <c r="F7545" s="14">
        <v>0</v>
      </c>
      <c r="G7545" s="13">
        <v>787.7793</v>
      </c>
      <c r="H7545" s="14">
        <v>1235234.791283</v>
      </c>
      <c r="I7545" s="14" t="e">
        <f>=Round(55.68680000,0)</f>
        <v>#VALUE!</v>
      </c>
      <c r="J7545" s="14" t="e">
        <f>=Round(0.00000000,0)</f>
        <v>#VALUE!</v>
      </c>
    </row>
    <row r="7546">
      <c r="A7546" s="11" t="s">
        <v>36</v>
      </c>
      <c r="B7546" s="12">
        <v>1567.996</v>
      </c>
      <c r="C7546" s="12">
        <v>0</v>
      </c>
      <c r="D7546" s="13">
        <v>0</v>
      </c>
      <c r="E7546" s="12">
        <v>0</v>
      </c>
      <c r="F7546" s="14">
        <v>0</v>
      </c>
      <c r="G7546" s="13">
        <v>787.7793</v>
      </c>
      <c r="H7546" s="14">
        <v>1235234.791283</v>
      </c>
      <c r="I7546" s="14" t="e">
        <f>=Round(55.68680000,0)</f>
        <v>#VALUE!</v>
      </c>
      <c r="J7546" s="14" t="e">
        <f>=Round(0.00000000,0)</f>
        <v>#VALUE!</v>
      </c>
    </row>
    <row r="7547">
      <c r="A7547" s="11" t="s">
        <v>37</v>
      </c>
      <c r="B7547" s="12">
        <v>1565.632</v>
      </c>
      <c r="C7547" s="12">
        <v>0</v>
      </c>
      <c r="D7547" s="13">
        <v>0</v>
      </c>
      <c r="E7547" s="12">
        <v>0</v>
      </c>
      <c r="F7547" s="14">
        <v>0</v>
      </c>
      <c r="G7547" s="13">
        <v>0</v>
      </c>
      <c r="H7547" s="14">
        <v>0</v>
      </c>
      <c r="I7547" s="14" t="e">
        <f>=Round(55.68680000,0)</f>
        <v>#VALUE!</v>
      </c>
      <c r="J7547" s="14" t="e">
        <f>=Round(0.00000000,0)</f>
        <v>#VALUE!</v>
      </c>
    </row>
    <row r="7548">
      <c r="A7548" s="11" t="s">
        <v>38</v>
      </c>
      <c r="B7548" s="12">
        <v>1565.077</v>
      </c>
      <c r="C7548" s="12">
        <v>0</v>
      </c>
      <c r="D7548" s="13">
        <v>0</v>
      </c>
      <c r="E7548" s="12">
        <v>0</v>
      </c>
      <c r="F7548" s="14">
        <v>0</v>
      </c>
      <c r="G7548" s="13">
        <v>0</v>
      </c>
      <c r="H7548" s="14">
        <v>0</v>
      </c>
      <c r="I7548" s="14" t="e">
        <f>=Round(0.00000000,0)</f>
        <v>#VALUE!</v>
      </c>
      <c r="J7548" s="14" t="e">
        <f>=Round(0.00000000,0)</f>
        <v>#VALUE!</v>
      </c>
    </row>
    <row r="7549">
      <c r="A7549" s="11" t="s">
        <v>39</v>
      </c>
      <c r="B7549" s="12">
        <v>1563.577</v>
      </c>
      <c r="C7549" s="12">
        <v>0</v>
      </c>
      <c r="D7549" s="13">
        <v>0</v>
      </c>
      <c r="E7549" s="12">
        <v>0</v>
      </c>
      <c r="F7549" s="14">
        <v>0</v>
      </c>
      <c r="G7549" s="13">
        <v>0</v>
      </c>
      <c r="H7549" s="14">
        <v>0</v>
      </c>
      <c r="I7549" s="14" t="e">
        <f>=Round(0.00000000,0)</f>
        <v>#VALUE!</v>
      </c>
      <c r="J7549" s="14" t="e">
        <f>=Round(0.00000000,0)</f>
        <v>#VALUE!</v>
      </c>
    </row>
    <row r="7550">
      <c r="A7550" s="11" t="s">
        <v>40</v>
      </c>
      <c r="B7550" s="12">
        <v>1561.649</v>
      </c>
      <c r="C7550" s="12">
        <v>0</v>
      </c>
      <c r="D7550" s="13">
        <v>0</v>
      </c>
      <c r="E7550" s="12">
        <v>0</v>
      </c>
      <c r="F7550" s="14">
        <v>0</v>
      </c>
      <c r="G7550" s="13">
        <v>0</v>
      </c>
      <c r="H7550" s="14">
        <v>0</v>
      </c>
      <c r="I7550" s="14" t="e">
        <f>=Round(0.00000000,0)</f>
        <v>#VALUE!</v>
      </c>
      <c r="J7550" s="14" t="e">
        <f>=Round(0.00000000,0)</f>
        <v>#VALUE!</v>
      </c>
    </row>
    <row r="7551">
      <c r="A7551" s="11" t="s">
        <v>41</v>
      </c>
      <c r="B7551" s="12">
        <v>1561.537</v>
      </c>
      <c r="C7551" s="12">
        <v>0</v>
      </c>
      <c r="D7551" s="13">
        <v>0</v>
      </c>
      <c r="E7551" s="12">
        <v>0</v>
      </c>
      <c r="F7551" s="14">
        <v>0</v>
      </c>
      <c r="G7551" s="13">
        <v>0</v>
      </c>
      <c r="H7551" s="14">
        <v>0</v>
      </c>
      <c r="I7551" s="14" t="e">
        <f>=Round(0.00000000,0)</f>
        <v>#VALUE!</v>
      </c>
      <c r="J7551" s="14" t="e">
        <f>=Round(0.00000000,0)</f>
        <v>#VALUE!</v>
      </c>
    </row>
    <row r="7552">
      <c r="A7552" s="11" t="s">
        <v>42</v>
      </c>
      <c r="B7552" s="12">
        <v>1561.537</v>
      </c>
      <c r="C7552" s="12">
        <v>0</v>
      </c>
      <c r="D7552" s="13">
        <v>0</v>
      </c>
      <c r="E7552" s="12">
        <v>0</v>
      </c>
      <c r="F7552" s="14">
        <v>0</v>
      </c>
      <c r="G7552" s="13">
        <v>0</v>
      </c>
      <c r="H7552" s="14">
        <v>0</v>
      </c>
      <c r="I7552" s="14" t="e">
        <f>=Round(0.00000000,0)</f>
        <v>#VALUE!</v>
      </c>
      <c r="J7552" s="14" t="e">
        <f>=Round(0.00000000,0)</f>
        <v>#VALUE!</v>
      </c>
    </row>
    <row r="7553">
      <c r="A7553" s="11" t="s">
        <v>43</v>
      </c>
      <c r="B7553" s="12">
        <v>1561.537</v>
      </c>
      <c r="C7553" s="12">
        <v>0</v>
      </c>
      <c r="D7553" s="13">
        <v>0</v>
      </c>
      <c r="E7553" s="12">
        <v>0</v>
      </c>
      <c r="F7553" s="14">
        <v>0</v>
      </c>
      <c r="G7553" s="13">
        <v>0</v>
      </c>
      <c r="H7553" s="14">
        <v>0</v>
      </c>
      <c r="I7553" s="14" t="e">
        <f>=Round(0.00000000,0)</f>
        <v>#VALUE!</v>
      </c>
      <c r="J7553" s="14" t="e">
        <f>=Round(0.00000000,0)</f>
        <v>#VALUE!</v>
      </c>
    </row>
    <row r="7554">
      <c r="A7554" s="11" t="s">
        <v>44</v>
      </c>
      <c r="B7554" s="12">
        <v>1562.991</v>
      </c>
      <c r="C7554" s="12">
        <v>0</v>
      </c>
      <c r="D7554" s="13">
        <v>0</v>
      </c>
      <c r="E7554" s="12">
        <v>0</v>
      </c>
      <c r="F7554" s="14">
        <v>0</v>
      </c>
      <c r="G7554" s="13">
        <v>0</v>
      </c>
      <c r="H7554" s="14">
        <v>0</v>
      </c>
      <c r="I7554" s="14" t="e">
        <f>=Round(0.00000000,0)</f>
        <v>#VALUE!</v>
      </c>
      <c r="J7554" s="14" t="e">
        <f>=Round(0.00000000,0)</f>
        <v>#VALUE!</v>
      </c>
    </row>
    <row r="7555">
      <c r="A7555" s="11" t="s">
        <v>45</v>
      </c>
      <c r="B7555" s="12">
        <v>1564.889</v>
      </c>
      <c r="C7555" s="12">
        <v>0</v>
      </c>
      <c r="D7555" s="13">
        <v>0</v>
      </c>
      <c r="E7555" s="12">
        <v>0</v>
      </c>
      <c r="F7555" s="14">
        <v>0</v>
      </c>
      <c r="G7555" s="13">
        <v>0</v>
      </c>
      <c r="H7555" s="14">
        <v>0</v>
      </c>
      <c r="I7555" s="14" t="e">
        <f>=Round(0.00000000,0)</f>
        <v>#VALUE!</v>
      </c>
      <c r="J7555" s="14" t="e">
        <f>=Round(0.00000000,0)</f>
        <v>#VALUE!</v>
      </c>
    </row>
    <row r="7556">
      <c r="A7556" s="11" t="s">
        <v>46</v>
      </c>
      <c r="B7556" s="12">
        <v>1567.789</v>
      </c>
      <c r="C7556" s="12">
        <v>0</v>
      </c>
      <c r="D7556" s="13">
        <v>0</v>
      </c>
      <c r="E7556" s="12">
        <v>0</v>
      </c>
      <c r="F7556" s="14">
        <v>0</v>
      </c>
      <c r="G7556" s="13">
        <v>0</v>
      </c>
      <c r="H7556" s="14">
        <v>0</v>
      </c>
      <c r="I7556" s="14" t="e">
        <f>=Round(0.00000000,0)</f>
        <v>#VALUE!</v>
      </c>
      <c r="J7556" s="14" t="e">
        <f>=Round(0.00000000,0)</f>
        <v>#VALUE!</v>
      </c>
    </row>
    <row r="7557">
      <c r="A7557" s="11" t="s">
        <v>47</v>
      </c>
      <c r="B7557" s="12">
        <v>1569.434</v>
      </c>
      <c r="C7557" s="12">
        <v>0</v>
      </c>
      <c r="D7557" s="13">
        <v>0</v>
      </c>
      <c r="E7557" s="12">
        <v>0</v>
      </c>
      <c r="F7557" s="14">
        <v>0</v>
      </c>
      <c r="G7557" s="13">
        <v>0</v>
      </c>
      <c r="H7557" s="14">
        <v>0</v>
      </c>
      <c r="I7557" s="14" t="e">
        <f>=Round(0.00000000,0)</f>
        <v>#VALUE!</v>
      </c>
      <c r="J7557" s="14" t="e">
        <f>=Round(0.00000000,0)</f>
        <v>#VALUE!</v>
      </c>
    </row>
    <row r="7558">
      <c r="A7558" s="11" t="s">
        <v>48</v>
      </c>
      <c r="B7558" s="12">
        <v>1566.292</v>
      </c>
      <c r="C7558" s="12">
        <v>0</v>
      </c>
      <c r="D7558" s="13">
        <v>0</v>
      </c>
      <c r="E7558" s="12">
        <v>0</v>
      </c>
      <c r="F7558" s="14">
        <v>0</v>
      </c>
      <c r="G7558" s="13">
        <v>0</v>
      </c>
      <c r="H7558" s="14">
        <v>0</v>
      </c>
      <c r="I7558" s="14" t="e">
        <f>=Round(0.00000000,0)</f>
        <v>#VALUE!</v>
      </c>
      <c r="J7558" s="14" t="e">
        <f>=Round(0.00000000,0)</f>
        <v>#VALUE!</v>
      </c>
    </row>
    <row r="7559">
      <c r="A7559" s="11" t="s">
        <v>49</v>
      </c>
      <c r="B7559" s="12">
        <v>1566.292</v>
      </c>
      <c r="C7559" s="12">
        <v>0</v>
      </c>
      <c r="D7559" s="13">
        <v>0</v>
      </c>
      <c r="E7559" s="12">
        <v>0</v>
      </c>
      <c r="F7559" s="14">
        <v>0</v>
      </c>
      <c r="G7559" s="13">
        <v>0</v>
      </c>
      <c r="H7559" s="14">
        <v>0</v>
      </c>
      <c r="I7559" s="14" t="e">
        <f>=Round(0.00000000,0)</f>
        <v>#VALUE!</v>
      </c>
      <c r="J7559" s="14" t="e">
        <f>=Round(0.00000000,0)</f>
        <v>#VALUE!</v>
      </c>
    </row>
    <row r="7560">
      <c r="A7560" s="11" t="s">
        <v>50</v>
      </c>
      <c r="B7560" s="12">
        <v>1566.292</v>
      </c>
      <c r="C7560" s="12">
        <v>0</v>
      </c>
      <c r="D7560" s="13">
        <v>0</v>
      </c>
      <c r="E7560" s="12">
        <v>0</v>
      </c>
      <c r="F7560" s="14">
        <v>0</v>
      </c>
      <c r="G7560" s="13">
        <v>0</v>
      </c>
      <c r="H7560" s="14">
        <v>0</v>
      </c>
      <c r="I7560" s="14" t="e">
        <f>=Round(0.00000000,0)</f>
        <v>#VALUE!</v>
      </c>
      <c r="J7560" s="14" t="e">
        <f>=Round(0.00000000,0)</f>
        <v>#VALUE!</v>
      </c>
    </row>
    <row r="7561">
      <c r="A7561" s="11" t="s">
        <v>51</v>
      </c>
      <c r="B7561" s="12">
        <v>1561.174</v>
      </c>
      <c r="C7561" s="12">
        <v>0</v>
      </c>
      <c r="D7561" s="13">
        <v>0</v>
      </c>
      <c r="E7561" s="12">
        <v>0</v>
      </c>
      <c r="F7561" s="14">
        <v>0</v>
      </c>
      <c r="G7561" s="13">
        <v>0</v>
      </c>
      <c r="H7561" s="14">
        <v>0</v>
      </c>
      <c r="I7561" s="14" t="e">
        <f>=Round(0.00000000,0)</f>
        <v>#VALUE!</v>
      </c>
      <c r="J7561" s="14" t="e">
        <f>=Round(0.00000000,0)</f>
        <v>#VALUE!</v>
      </c>
    </row>
    <row r="7562">
      <c r="A7562" s="11" t="s">
        <v>52</v>
      </c>
      <c r="B7562" s="12">
        <v>1561.652</v>
      </c>
      <c r="C7562" s="12">
        <v>0</v>
      </c>
      <c r="D7562" s="13">
        <v>0</v>
      </c>
      <c r="E7562" s="12">
        <v>0</v>
      </c>
      <c r="F7562" s="14">
        <v>0</v>
      </c>
      <c r="G7562" s="13">
        <v>0</v>
      </c>
      <c r="H7562" s="14">
        <v>0</v>
      </c>
      <c r="I7562" s="14" t="e">
        <f>=Round(0.00000000,0)</f>
        <v>#VALUE!</v>
      </c>
      <c r="J7562" s="14" t="e">
        <f>=Round(0.00000000,0)</f>
        <v>#VALUE!</v>
      </c>
    </row>
    <row r="7563">
      <c r="A7563" s="11" t="s">
        <v>53</v>
      </c>
      <c r="B7563" s="12">
        <v>1556.589</v>
      </c>
      <c r="C7563" s="12">
        <v>0</v>
      </c>
      <c r="D7563" s="13">
        <v>0</v>
      </c>
      <c r="E7563" s="12">
        <v>0</v>
      </c>
      <c r="F7563" s="14">
        <v>0</v>
      </c>
      <c r="G7563" s="13">
        <v>0</v>
      </c>
      <c r="H7563" s="14">
        <v>0</v>
      </c>
      <c r="I7563" s="14" t="e">
        <f>=Round(0.00000000,0)</f>
        <v>#VALUE!</v>
      </c>
      <c r="J7563" s="14" t="e">
        <f>=Round(0.00000000,0)</f>
        <v>#VALUE!</v>
      </c>
    </row>
    <row r="7564">
      <c r="A7564" s="11" t="s">
        <v>54</v>
      </c>
      <c r="B7564" s="12">
        <v>1547.342</v>
      </c>
      <c r="C7564" s="12">
        <v>0</v>
      </c>
      <c r="D7564" s="13">
        <v>0</v>
      </c>
      <c r="E7564" s="12">
        <v>0</v>
      </c>
      <c r="F7564" s="14">
        <v>0</v>
      </c>
      <c r="G7564" s="13">
        <v>0</v>
      </c>
      <c r="H7564" s="14">
        <v>0</v>
      </c>
      <c r="I7564" s="14" t="e">
        <f>=Round(0.00000000,0)</f>
        <v>#VALUE!</v>
      </c>
      <c r="J7564" s="14" t="e">
        <f>=Round(0.00000000,0)</f>
        <v>#VALUE!</v>
      </c>
    </row>
    <row r="7565">
      <c r="A7565" s="11" t="s">
        <v>55</v>
      </c>
      <c r="B7565" s="12">
        <v>1540.386</v>
      </c>
      <c r="C7565" s="12">
        <v>0</v>
      </c>
      <c r="D7565" s="13">
        <v>0</v>
      </c>
      <c r="E7565" s="12">
        <v>0</v>
      </c>
      <c r="F7565" s="14">
        <v>0</v>
      </c>
      <c r="G7565" s="13">
        <v>0</v>
      </c>
      <c r="H7565" s="14">
        <v>0</v>
      </c>
      <c r="I7565" s="14" t="e">
        <f>=Round(0.00000000,0)</f>
        <v>#VALUE!</v>
      </c>
      <c r="J7565" s="14" t="e">
        <f>=Round(0.00000000,0)</f>
        <v>#VALUE!</v>
      </c>
    </row>
    <row r="7566" ht="-1">
      <c r="A7566" s="15"/>
      <c r="B7566" s="16" t="s">
        <v>56</v>
      </c>
      <c r="C7566" s="15"/>
      <c r="D7566" s="15"/>
      <c r="E7566" s="15"/>
      <c r="F7566" s="15"/>
      <c r="G7566" s="15"/>
      <c r="H7566" s="15"/>
      <c r="I7566" s="17" t="e">
        <f>=Round(SUM(I7540:I7565),0)</f>
        <v>#VALUE!</v>
      </c>
      <c r="J7566" s="17" t="e">
        <f>=Round(SUM(J7540:J7565),0)</f>
        <v>#VALUE!</v>
      </c>
    </row>
    <row r="7567">
      <c r="A7567" s="1" t="s">
        <v>0</v>
      </c>
      <c r="B7567" s="1"/>
      <c r="C7567" s="1"/>
      <c r="D7567" s="1"/>
    </row>
    <row r="7568">
      <c r="A7568" s="0" t="s">
        <v>1</v>
      </c>
      <c r="C7568" s="0" t="s">
        <v>266</v>
      </c>
      <c r="H7568" s="2" t="s">
        <v>3</v>
      </c>
    </row>
    <row r="7569">
      <c r="A7569" s="0" t="s">
        <v>4</v>
      </c>
      <c r="C7569" s="0" t="s">
        <v>164</v>
      </c>
      <c r="H7569" s="3" t="s">
        <v>6</v>
      </c>
    </row>
    <row r="7570">
      <c r="A7570" s="0" t="s">
        <v>7</v>
      </c>
      <c r="C7570" s="4" t="s">
        <v>219</v>
      </c>
      <c r="H7570" s="2" t="s">
        <v>9</v>
      </c>
    </row>
    <row r="7571">
      <c r="A7571" s="0" t="s">
        <v>10</v>
      </c>
      <c r="C7571" s="4" t="s">
        <v>11</v>
      </c>
      <c r="H7571" s="2" t="s">
        <v>12</v>
      </c>
    </row>
    <row r="7572">
      <c r="A7572" s="0" t="s">
        <v>13</v>
      </c>
      <c r="C7572" s="0" t="s">
        <v>14</v>
      </c>
    </row>
    <row r="7573">
      <c r="A7573" s="0" t="s">
        <v>15</v>
      </c>
      <c r="C7573" s="0" t="s">
        <v>16</v>
      </c>
    </row>
    <row r="7574">
      <c r="A7574" s="0" t="s">
        <v>17</v>
      </c>
      <c r="C7574" s="0" t="s">
        <v>18</v>
      </c>
    </row>
    <row r="7577">
      <c r="A7577" s="5" t="s">
        <v>19</v>
      </c>
      <c r="B7577" s="5" t="s">
        <v>20</v>
      </c>
      <c r="C7577" s="7" t="s">
        <v>21</v>
      </c>
      <c r="D7577" s="9"/>
      <c r="E7577" s="7" t="s">
        <v>22</v>
      </c>
      <c r="F7577" s="9"/>
      <c r="G7577" s="5" t="s">
        <v>23</v>
      </c>
      <c r="H7577" s="5" t="s">
        <v>24</v>
      </c>
      <c r="I7577" s="5" t="s">
        <v>220</v>
      </c>
      <c r="J7577" s="5" t="s">
        <v>26</v>
      </c>
    </row>
    <row r="7578">
      <c r="A7578" s="6"/>
      <c r="B7578" s="6"/>
      <c r="C7578" s="8" t="s">
        <v>27</v>
      </c>
      <c r="D7578" s="8" t="s">
        <v>28</v>
      </c>
      <c r="E7578" s="8" t="s">
        <v>27</v>
      </c>
      <c r="F7578" s="8" t="s">
        <v>28</v>
      </c>
      <c r="G7578" s="6"/>
      <c r="H7578" s="6"/>
      <c r="I7578" s="10" t="s">
        <v>29</v>
      </c>
      <c r="J7578" s="6"/>
    </row>
    <row r="7579">
      <c r="A7579" s="11" t="s">
        <v>30</v>
      </c>
      <c r="B7579" s="12">
        <v>1556.65</v>
      </c>
      <c r="C7579" s="12">
        <v>0</v>
      </c>
      <c r="D7579" s="13">
        <v>0</v>
      </c>
      <c r="E7579" s="12">
        <v>0</v>
      </c>
      <c r="F7579" s="14">
        <v>0</v>
      </c>
      <c r="G7579" s="13">
        <v>32718232.1684</v>
      </c>
      <c r="H7579" s="14">
        <v>50930836104.939857</v>
      </c>
      <c r="I7579" s="14" t="e">
        <f>=Round(2300096.41460000,0)</f>
        <v>#VALUE!</v>
      </c>
      <c r="J7579" s="14" t="e">
        <f>=Round(0.00000000,0)</f>
        <v>#VALUE!</v>
      </c>
    </row>
    <row r="7580">
      <c r="A7580" s="11" t="s">
        <v>31</v>
      </c>
      <c r="B7580" s="12">
        <v>1562.712</v>
      </c>
      <c r="C7580" s="12">
        <v>0</v>
      </c>
      <c r="D7580" s="13">
        <v>0</v>
      </c>
      <c r="E7580" s="12">
        <v>0</v>
      </c>
      <c r="F7580" s="14">
        <v>0</v>
      </c>
      <c r="G7580" s="13">
        <v>32718232.1684</v>
      </c>
      <c r="H7580" s="14">
        <v>51129174028.3447</v>
      </c>
      <c r="I7580" s="14" t="e">
        <f>=Round(2296062.28340000,0)</f>
        <v>#VALUE!</v>
      </c>
      <c r="J7580" s="14" t="e">
        <f>=Round(0.00000000,0)</f>
        <v>#VALUE!</v>
      </c>
    </row>
    <row r="7581">
      <c r="A7581" s="11" t="s">
        <v>32</v>
      </c>
      <c r="B7581" s="12">
        <v>1565.487</v>
      </c>
      <c r="C7581" s="12">
        <v>0</v>
      </c>
      <c r="D7581" s="13">
        <v>0</v>
      </c>
      <c r="E7581" s="12">
        <v>0</v>
      </c>
      <c r="F7581" s="14">
        <v>0</v>
      </c>
      <c r="G7581" s="13">
        <v>32718232.1684</v>
      </c>
      <c r="H7581" s="14">
        <v>51219967122.612007</v>
      </c>
      <c r="I7581" s="14" t="e">
        <f>=Round(2305003.74720000,0)</f>
        <v>#VALUE!</v>
      </c>
      <c r="J7581" s="14" t="e">
        <f>=Round(0.00000000,0)</f>
        <v>#VALUE!</v>
      </c>
    </row>
    <row r="7582">
      <c r="A7582" s="11" t="s">
        <v>33</v>
      </c>
      <c r="B7582" s="12">
        <v>1567.432</v>
      </c>
      <c r="C7582" s="12">
        <v>0</v>
      </c>
      <c r="D7582" s="13">
        <v>0</v>
      </c>
      <c r="E7582" s="12">
        <v>0</v>
      </c>
      <c r="F7582" s="14">
        <v>0</v>
      </c>
      <c r="G7582" s="13">
        <v>32718232.1684</v>
      </c>
      <c r="H7582" s="14">
        <v>51283604084.17955</v>
      </c>
      <c r="I7582" s="14" t="e">
        <f>=Round(2309096.87850000,0)</f>
        <v>#VALUE!</v>
      </c>
      <c r="J7582" s="14" t="e">
        <f>=Round(0.00000000,0)</f>
        <v>#VALUE!</v>
      </c>
    </row>
    <row r="7583">
      <c r="A7583" s="11" t="s">
        <v>34</v>
      </c>
      <c r="B7583" s="12">
        <v>1567.996</v>
      </c>
      <c r="C7583" s="12">
        <v>0</v>
      </c>
      <c r="D7583" s="13">
        <v>0</v>
      </c>
      <c r="E7583" s="12">
        <v>0</v>
      </c>
      <c r="F7583" s="14">
        <v>0</v>
      </c>
      <c r="G7583" s="13">
        <v>32718232.1684</v>
      </c>
      <c r="H7583" s="14">
        <v>51302057167.122528</v>
      </c>
      <c r="I7583" s="14" t="e">
        <f>=Round(2311965.75790000,0)</f>
        <v>#VALUE!</v>
      </c>
      <c r="J7583" s="14" t="e">
        <f>=Round(0.00000000,0)</f>
        <v>#VALUE!</v>
      </c>
    </row>
    <row r="7584">
      <c r="A7584" s="11" t="s">
        <v>35</v>
      </c>
      <c r="B7584" s="12">
        <v>1567.996</v>
      </c>
      <c r="C7584" s="12">
        <v>0</v>
      </c>
      <c r="D7584" s="13">
        <v>0</v>
      </c>
      <c r="E7584" s="12">
        <v>0</v>
      </c>
      <c r="F7584" s="14">
        <v>0</v>
      </c>
      <c r="G7584" s="13">
        <v>32718232.1684</v>
      </c>
      <c r="H7584" s="14">
        <v>51302057167.122528</v>
      </c>
      <c r="I7584" s="14" t="e">
        <f>=Round(2312797.65920000,0)</f>
        <v>#VALUE!</v>
      </c>
      <c r="J7584" s="14" t="e">
        <f>=Round(0.00000000,0)</f>
        <v>#VALUE!</v>
      </c>
    </row>
    <row r="7585">
      <c r="A7585" s="11" t="s">
        <v>36</v>
      </c>
      <c r="B7585" s="12">
        <v>1567.996</v>
      </c>
      <c r="C7585" s="12">
        <v>0</v>
      </c>
      <c r="D7585" s="13">
        <v>0</v>
      </c>
      <c r="E7585" s="12">
        <v>0</v>
      </c>
      <c r="F7585" s="14">
        <v>0</v>
      </c>
      <c r="G7585" s="13">
        <v>32718232.1684</v>
      </c>
      <c r="H7585" s="14">
        <v>51302057167.122528</v>
      </c>
      <c r="I7585" s="14" t="e">
        <f>=Round(2312797.65920000,0)</f>
        <v>#VALUE!</v>
      </c>
      <c r="J7585" s="14" t="e">
        <f>=Round(0.00000000,0)</f>
        <v>#VALUE!</v>
      </c>
    </row>
    <row r="7586">
      <c r="A7586" s="11" t="s">
        <v>37</v>
      </c>
      <c r="B7586" s="12">
        <v>1565.632</v>
      </c>
      <c r="C7586" s="12">
        <v>0</v>
      </c>
      <c r="D7586" s="13">
        <v>0</v>
      </c>
      <c r="E7586" s="12">
        <v>0</v>
      </c>
      <c r="F7586" s="14">
        <v>0</v>
      </c>
      <c r="G7586" s="13">
        <v>32718232.1684</v>
      </c>
      <c r="H7586" s="14">
        <v>51224711266.276428</v>
      </c>
      <c r="I7586" s="14" t="e">
        <f>=Round(2312797.65920000,0)</f>
        <v>#VALUE!</v>
      </c>
      <c r="J7586" s="14" t="e">
        <f>=Round(0.00000000,0)</f>
        <v>#VALUE!</v>
      </c>
    </row>
    <row r="7587">
      <c r="A7587" s="11" t="s">
        <v>38</v>
      </c>
      <c r="B7587" s="12">
        <v>1565.077</v>
      </c>
      <c r="C7587" s="12">
        <v>0</v>
      </c>
      <c r="D7587" s="13">
        <v>0</v>
      </c>
      <c r="E7587" s="12">
        <v>0</v>
      </c>
      <c r="F7587" s="14">
        <v>0</v>
      </c>
      <c r="G7587" s="13">
        <v>32718232.1684</v>
      </c>
      <c r="H7587" s="14">
        <v>51206552647.422966</v>
      </c>
      <c r="I7587" s="14" t="e">
        <f>=Round(2309310.75380000,0)</f>
        <v>#VALUE!</v>
      </c>
      <c r="J7587" s="14" t="e">
        <f>=Round(0.00000000,0)</f>
        <v>#VALUE!</v>
      </c>
    </row>
    <row r="7588">
      <c r="A7588" s="11" t="s">
        <v>39</v>
      </c>
      <c r="B7588" s="12">
        <v>1563.577</v>
      </c>
      <c r="C7588" s="12">
        <v>0</v>
      </c>
      <c r="D7588" s="13">
        <v>0</v>
      </c>
      <c r="E7588" s="12">
        <v>0</v>
      </c>
      <c r="F7588" s="14">
        <v>0</v>
      </c>
      <c r="G7588" s="13">
        <v>32718232.1684</v>
      </c>
      <c r="H7588" s="14">
        <v>51157475299.170364</v>
      </c>
      <c r="I7588" s="14" t="e">
        <f>=Round(2308492.12750000,0)</f>
        <v>#VALUE!</v>
      </c>
      <c r="J7588" s="14" t="e">
        <f>=Round(0.00000000,0)</f>
        <v>#VALUE!</v>
      </c>
    </row>
    <row r="7589">
      <c r="A7589" s="11" t="s">
        <v>40</v>
      </c>
      <c r="B7589" s="12">
        <v>1561.649</v>
      </c>
      <c r="C7589" s="12">
        <v>0</v>
      </c>
      <c r="D7589" s="13">
        <v>0</v>
      </c>
      <c r="E7589" s="12">
        <v>0</v>
      </c>
      <c r="F7589" s="14">
        <v>0</v>
      </c>
      <c r="G7589" s="13">
        <v>32718232.1684</v>
      </c>
      <c r="H7589" s="14">
        <v>51094394547.5497</v>
      </c>
      <c r="I7589" s="14" t="e">
        <f>=Round(2306279.62410000,0)</f>
        <v>#VALUE!</v>
      </c>
      <c r="J7589" s="14" t="e">
        <f>=Round(0.00000000,0)</f>
        <v>#VALUE!</v>
      </c>
    </row>
    <row r="7590">
      <c r="A7590" s="11" t="s">
        <v>41</v>
      </c>
      <c r="B7590" s="12">
        <v>1561.537</v>
      </c>
      <c r="C7590" s="12">
        <v>0</v>
      </c>
      <c r="D7590" s="13">
        <v>0</v>
      </c>
      <c r="E7590" s="12">
        <v>0</v>
      </c>
      <c r="F7590" s="14">
        <v>0</v>
      </c>
      <c r="G7590" s="13">
        <v>32718232.1684</v>
      </c>
      <c r="H7590" s="14">
        <v>51090730105.546829</v>
      </c>
      <c r="I7590" s="14" t="e">
        <f>=Round(2303435.81980000,0)</f>
        <v>#VALUE!</v>
      </c>
      <c r="J7590" s="14" t="e">
        <f>=Round(0.00000000,0)</f>
        <v>#VALUE!</v>
      </c>
    </row>
    <row r="7591">
      <c r="A7591" s="11" t="s">
        <v>42</v>
      </c>
      <c r="B7591" s="12">
        <v>1561.537</v>
      </c>
      <c r="C7591" s="12">
        <v>0</v>
      </c>
      <c r="D7591" s="13">
        <v>0</v>
      </c>
      <c r="E7591" s="12">
        <v>0</v>
      </c>
      <c r="F7591" s="14">
        <v>0</v>
      </c>
      <c r="G7591" s="13">
        <v>32718232.1684</v>
      </c>
      <c r="H7591" s="14">
        <v>51090730105.546829</v>
      </c>
      <c r="I7591" s="14" t="e">
        <f>=Round(2303270.61950000,0)</f>
        <v>#VALUE!</v>
      </c>
      <c r="J7591" s="14" t="e">
        <f>=Round(0.00000000,0)</f>
        <v>#VALUE!</v>
      </c>
    </row>
    <row r="7592">
      <c r="A7592" s="11" t="s">
        <v>43</v>
      </c>
      <c r="B7592" s="12">
        <v>1561.537</v>
      </c>
      <c r="C7592" s="12">
        <v>0</v>
      </c>
      <c r="D7592" s="13">
        <v>0</v>
      </c>
      <c r="E7592" s="12">
        <v>0</v>
      </c>
      <c r="F7592" s="14">
        <v>0</v>
      </c>
      <c r="G7592" s="13">
        <v>32718232.1684</v>
      </c>
      <c r="H7592" s="14">
        <v>51090730105.546829</v>
      </c>
      <c r="I7592" s="14" t="e">
        <f>=Round(2303270.61950000,0)</f>
        <v>#VALUE!</v>
      </c>
      <c r="J7592" s="14" t="e">
        <f>=Round(0.00000000,0)</f>
        <v>#VALUE!</v>
      </c>
    </row>
    <row r="7593">
      <c r="A7593" s="11" t="s">
        <v>44</v>
      </c>
      <c r="B7593" s="12">
        <v>1562.991</v>
      </c>
      <c r="C7593" s="12">
        <v>0</v>
      </c>
      <c r="D7593" s="13">
        <v>0</v>
      </c>
      <c r="E7593" s="12">
        <v>0</v>
      </c>
      <c r="F7593" s="14">
        <v>0</v>
      </c>
      <c r="G7593" s="13">
        <v>32718232.1684</v>
      </c>
      <c r="H7593" s="14">
        <v>51138302415.119682</v>
      </c>
      <c r="I7593" s="14" t="e">
        <f>=Round(2303270.61950000,0)</f>
        <v>#VALUE!</v>
      </c>
      <c r="J7593" s="14" t="e">
        <f>=Round(0.00000000,0)</f>
        <v>#VALUE!</v>
      </c>
    </row>
    <row r="7594">
      <c r="A7594" s="11" t="s">
        <v>45</v>
      </c>
      <c r="B7594" s="12">
        <v>1564.889</v>
      </c>
      <c r="C7594" s="12">
        <v>0</v>
      </c>
      <c r="D7594" s="13">
        <v>0</v>
      </c>
      <c r="E7594" s="12">
        <v>0</v>
      </c>
      <c r="F7594" s="14">
        <v>0</v>
      </c>
      <c r="G7594" s="13">
        <v>32718232.1684</v>
      </c>
      <c r="H7594" s="14">
        <v>51200401619.775314</v>
      </c>
      <c r="I7594" s="14" t="e">
        <f>=Round(2305415.27280000,0)</f>
        <v>#VALUE!</v>
      </c>
      <c r="J7594" s="14" t="e">
        <f>=Round(0.00000000,0)</f>
        <v>#VALUE!</v>
      </c>
    </row>
    <row r="7595">
      <c r="A7595" s="11" t="s">
        <v>46</v>
      </c>
      <c r="B7595" s="12">
        <v>1567.789</v>
      </c>
      <c r="C7595" s="12">
        <v>0</v>
      </c>
      <c r="D7595" s="13">
        <v>0</v>
      </c>
      <c r="E7595" s="12">
        <v>0</v>
      </c>
      <c r="F7595" s="14">
        <v>0</v>
      </c>
      <c r="G7595" s="13">
        <v>32718232.1684</v>
      </c>
      <c r="H7595" s="14">
        <v>51295284493.063667</v>
      </c>
      <c r="I7595" s="14" t="e">
        <f>=Round(2308214.82710000,0)</f>
        <v>#VALUE!</v>
      </c>
      <c r="J7595" s="14" t="e">
        <f>=Round(0.00000000,0)</f>
        <v>#VALUE!</v>
      </c>
    </row>
    <row r="7596">
      <c r="A7596" s="11" t="s">
        <v>47</v>
      </c>
      <c r="B7596" s="12">
        <v>1569.434</v>
      </c>
      <c r="C7596" s="12">
        <v>0</v>
      </c>
      <c r="D7596" s="13">
        <v>0</v>
      </c>
      <c r="E7596" s="12">
        <v>0</v>
      </c>
      <c r="F7596" s="14">
        <v>0</v>
      </c>
      <c r="G7596" s="13">
        <v>32718232.1684</v>
      </c>
      <c r="H7596" s="14">
        <v>51349105984.98069</v>
      </c>
      <c r="I7596" s="14" t="e">
        <f>=Round(2312492.33370000,0)</f>
        <v>#VALUE!</v>
      </c>
      <c r="J7596" s="14" t="e">
        <f>=Round(0.00000000,0)</f>
        <v>#VALUE!</v>
      </c>
    </row>
    <row r="7597">
      <c r="A7597" s="11" t="s">
        <v>48</v>
      </c>
      <c r="B7597" s="12">
        <v>1566.292</v>
      </c>
      <c r="C7597" s="12">
        <v>0</v>
      </c>
      <c r="D7597" s="13">
        <v>0</v>
      </c>
      <c r="E7597" s="12">
        <v>0</v>
      </c>
      <c r="F7597" s="14">
        <v>0</v>
      </c>
      <c r="G7597" s="13">
        <v>32718232.1684</v>
      </c>
      <c r="H7597" s="14">
        <v>51246305299.507576</v>
      </c>
      <c r="I7597" s="14" t="e">
        <f>=Round(2314918.71240000,0)</f>
        <v>#VALUE!</v>
      </c>
      <c r="J7597" s="14" t="e">
        <f>=Round(0.00000000,0)</f>
        <v>#VALUE!</v>
      </c>
    </row>
    <row r="7598">
      <c r="A7598" s="11" t="s">
        <v>49</v>
      </c>
      <c r="B7598" s="12">
        <v>1566.292</v>
      </c>
      <c r="C7598" s="12">
        <v>0</v>
      </c>
      <c r="D7598" s="13">
        <v>0</v>
      </c>
      <c r="E7598" s="12">
        <v>0</v>
      </c>
      <c r="F7598" s="14">
        <v>0</v>
      </c>
      <c r="G7598" s="13">
        <v>32718232.1684</v>
      </c>
      <c r="H7598" s="14">
        <v>51246305299.507576</v>
      </c>
      <c r="I7598" s="14" t="e">
        <f>=Round(2310284.25530000,0)</f>
        <v>#VALUE!</v>
      </c>
      <c r="J7598" s="14" t="e">
        <f>=Round(0.00000000,0)</f>
        <v>#VALUE!</v>
      </c>
    </row>
    <row r="7599">
      <c r="A7599" s="11" t="s">
        <v>50</v>
      </c>
      <c r="B7599" s="12">
        <v>1566.292</v>
      </c>
      <c r="C7599" s="12">
        <v>0</v>
      </c>
      <c r="D7599" s="13">
        <v>0</v>
      </c>
      <c r="E7599" s="12">
        <v>0</v>
      </c>
      <c r="F7599" s="14">
        <v>0</v>
      </c>
      <c r="G7599" s="13">
        <v>32718232.1684</v>
      </c>
      <c r="H7599" s="14">
        <v>51246305299.507576</v>
      </c>
      <c r="I7599" s="14" t="e">
        <f>=Round(2310284.25530000,0)</f>
        <v>#VALUE!</v>
      </c>
      <c r="J7599" s="14" t="e">
        <f>=Round(0.00000000,0)</f>
        <v>#VALUE!</v>
      </c>
    </row>
    <row r="7600">
      <c r="A7600" s="11" t="s">
        <v>51</v>
      </c>
      <c r="B7600" s="12">
        <v>1561.174</v>
      </c>
      <c r="C7600" s="12">
        <v>0</v>
      </c>
      <c r="D7600" s="13">
        <v>0</v>
      </c>
      <c r="E7600" s="12">
        <v>0</v>
      </c>
      <c r="F7600" s="14">
        <v>0</v>
      </c>
      <c r="G7600" s="13">
        <v>32718232.1684</v>
      </c>
      <c r="H7600" s="14">
        <v>51078853387.269707</v>
      </c>
      <c r="I7600" s="14" t="e">
        <f>=Round(2310284.25530000,0)</f>
        <v>#VALUE!</v>
      </c>
      <c r="J7600" s="14" t="e">
        <f>=Round(0.00000000,0)</f>
        <v>#VALUE!</v>
      </c>
    </row>
    <row r="7601">
      <c r="A7601" s="11" t="s">
        <v>52</v>
      </c>
      <c r="B7601" s="12">
        <v>1561.652</v>
      </c>
      <c r="C7601" s="12">
        <v>0</v>
      </c>
      <c r="D7601" s="13">
        <v>0</v>
      </c>
      <c r="E7601" s="12">
        <v>0</v>
      </c>
      <c r="F7601" s="14">
        <v>0</v>
      </c>
      <c r="G7601" s="13">
        <v>32718232.1684</v>
      </c>
      <c r="H7601" s="14">
        <v>51094492702.2462</v>
      </c>
      <c r="I7601" s="14" t="e">
        <f>=Round(2302735.19370000,0)</f>
        <v>#VALUE!</v>
      </c>
      <c r="J7601" s="14" t="e">
        <f>=Round(0.00000000,0)</f>
        <v>#VALUE!</v>
      </c>
    </row>
    <row r="7602">
      <c r="A7602" s="11" t="s">
        <v>53</v>
      </c>
      <c r="B7602" s="12">
        <v>1556.589</v>
      </c>
      <c r="C7602" s="12">
        <v>0</v>
      </c>
      <c r="D7602" s="13">
        <v>0</v>
      </c>
      <c r="E7602" s="12">
        <v>0</v>
      </c>
      <c r="F7602" s="14">
        <v>0</v>
      </c>
      <c r="G7602" s="13">
        <v>32718232.1684</v>
      </c>
      <c r="H7602" s="14">
        <v>50928840292.77758</v>
      </c>
      <c r="I7602" s="14" t="e">
        <f>=Round(2303440.24480000,0)</f>
        <v>#VALUE!</v>
      </c>
      <c r="J7602" s="14" t="e">
        <f>=Round(0.00000000,0)</f>
        <v>#VALUE!</v>
      </c>
    </row>
    <row r="7603">
      <c r="A7603" s="11" t="s">
        <v>54</v>
      </c>
      <c r="B7603" s="12">
        <v>1547.342</v>
      </c>
      <c r="C7603" s="12">
        <v>0</v>
      </c>
      <c r="D7603" s="13">
        <v>0</v>
      </c>
      <c r="E7603" s="12">
        <v>0</v>
      </c>
      <c r="F7603" s="14">
        <v>0</v>
      </c>
      <c r="G7603" s="13">
        <v>32718232.1684</v>
      </c>
      <c r="H7603" s="14">
        <v>50626294799.916389</v>
      </c>
      <c r="I7603" s="14" t="e">
        <f>=Round(2295972.30830000,0)</f>
        <v>#VALUE!</v>
      </c>
      <c r="J7603" s="14" t="e">
        <f>=Round(0.00000000,0)</f>
        <v>#VALUE!</v>
      </c>
    </row>
    <row r="7604">
      <c r="A7604" s="11" t="s">
        <v>55</v>
      </c>
      <c r="B7604" s="12">
        <v>1540.386</v>
      </c>
      <c r="C7604" s="12">
        <v>0</v>
      </c>
      <c r="D7604" s="13">
        <v>0</v>
      </c>
      <c r="E7604" s="12">
        <v>0</v>
      </c>
      <c r="F7604" s="14">
        <v>0</v>
      </c>
      <c r="G7604" s="13">
        <v>32718232.1684</v>
      </c>
      <c r="H7604" s="14">
        <v>50398706776.953</v>
      </c>
      <c r="I7604" s="14" t="e">
        <f>=Round(2282332.96230000,0)</f>
        <v>#VALUE!</v>
      </c>
      <c r="J7604" s="14" t="e">
        <f>=Round(0.00000000,0)</f>
        <v>#VALUE!</v>
      </c>
    </row>
    <row r="7605" ht="-1">
      <c r="A7605" s="15"/>
      <c r="B7605" s="16" t="s">
        <v>56</v>
      </c>
      <c r="C7605" s="15"/>
      <c r="D7605" s="15"/>
      <c r="E7605" s="15"/>
      <c r="F7605" s="15"/>
      <c r="G7605" s="15"/>
      <c r="H7605" s="15"/>
      <c r="I7605" s="17" t="e">
        <f>=Round(SUM(I7579:I7604),0)</f>
        <v>#VALUE!</v>
      </c>
      <c r="J7605" s="17" t="e">
        <f>=Round(SUM(J7579:J7604),0)</f>
        <v>#VALUE!</v>
      </c>
    </row>
    <row r="7606">
      <c r="A7606" s="1" t="s">
        <v>0</v>
      </c>
      <c r="B7606" s="1"/>
      <c r="C7606" s="1"/>
      <c r="D7606" s="1"/>
    </row>
    <row r="7607">
      <c r="A7607" s="0" t="s">
        <v>1</v>
      </c>
      <c r="C7607" s="0" t="s">
        <v>266</v>
      </c>
      <c r="H7607" s="2" t="s">
        <v>3</v>
      </c>
    </row>
    <row r="7608">
      <c r="A7608" s="0" t="s">
        <v>4</v>
      </c>
      <c r="C7608" s="0" t="s">
        <v>165</v>
      </c>
      <c r="H7608" s="3" t="s">
        <v>6</v>
      </c>
    </row>
    <row r="7609">
      <c r="A7609" s="0" t="s">
        <v>7</v>
      </c>
      <c r="C7609" s="4" t="s">
        <v>219</v>
      </c>
      <c r="H7609" s="2" t="s">
        <v>9</v>
      </c>
    </row>
    <row r="7610">
      <c r="A7610" s="0" t="s">
        <v>10</v>
      </c>
      <c r="C7610" s="4" t="s">
        <v>11</v>
      </c>
      <c r="H7610" s="2" t="s">
        <v>12</v>
      </c>
    </row>
    <row r="7611">
      <c r="A7611" s="0" t="s">
        <v>13</v>
      </c>
      <c r="C7611" s="0" t="s">
        <v>14</v>
      </c>
    </row>
    <row r="7612">
      <c r="A7612" s="0" t="s">
        <v>15</v>
      </c>
      <c r="C7612" s="0" t="s">
        <v>16</v>
      </c>
    </row>
    <row r="7613">
      <c r="A7613" s="0" t="s">
        <v>17</v>
      </c>
      <c r="C7613" s="0" t="s">
        <v>18</v>
      </c>
    </row>
    <row r="7616">
      <c r="A7616" s="5" t="s">
        <v>19</v>
      </c>
      <c r="B7616" s="5" t="s">
        <v>20</v>
      </c>
      <c r="C7616" s="7" t="s">
        <v>21</v>
      </c>
      <c r="D7616" s="9"/>
      <c r="E7616" s="7" t="s">
        <v>22</v>
      </c>
      <c r="F7616" s="9"/>
      <c r="G7616" s="5" t="s">
        <v>23</v>
      </c>
      <c r="H7616" s="5" t="s">
        <v>24</v>
      </c>
      <c r="I7616" s="5" t="s">
        <v>220</v>
      </c>
      <c r="J7616" s="5" t="s">
        <v>26</v>
      </c>
    </row>
    <row r="7617">
      <c r="A7617" s="6"/>
      <c r="B7617" s="6"/>
      <c r="C7617" s="8" t="s">
        <v>27</v>
      </c>
      <c r="D7617" s="8" t="s">
        <v>28</v>
      </c>
      <c r="E7617" s="8" t="s">
        <v>27</v>
      </c>
      <c r="F7617" s="8" t="s">
        <v>28</v>
      </c>
      <c r="G7617" s="6"/>
      <c r="H7617" s="6"/>
      <c r="I7617" s="10" t="s">
        <v>29</v>
      </c>
      <c r="J7617" s="6"/>
    </row>
    <row r="7618">
      <c r="A7618" s="11" t="s">
        <v>30</v>
      </c>
      <c r="B7618" s="12">
        <v>1556.65</v>
      </c>
      <c r="C7618" s="12">
        <v>0</v>
      </c>
      <c r="D7618" s="13">
        <v>0</v>
      </c>
      <c r="E7618" s="12">
        <v>0</v>
      </c>
      <c r="F7618" s="14">
        <v>0</v>
      </c>
      <c r="G7618" s="13">
        <v>68429696.6228</v>
      </c>
      <c r="H7618" s="14">
        <v>106521087247.88162</v>
      </c>
      <c r="I7618" s="14" t="e">
        <f>=Round(4810617.48830000,0)</f>
        <v>#VALUE!</v>
      </c>
      <c r="J7618" s="14" t="e">
        <f>=Round(0.00000000,0)</f>
        <v>#VALUE!</v>
      </c>
    </row>
    <row r="7619">
      <c r="A7619" s="11" t="s">
        <v>31</v>
      </c>
      <c r="B7619" s="12">
        <v>1562.712</v>
      </c>
      <c r="C7619" s="12">
        <v>0</v>
      </c>
      <c r="D7619" s="13">
        <v>0</v>
      </c>
      <c r="E7619" s="12">
        <v>0</v>
      </c>
      <c r="F7619" s="14">
        <v>0</v>
      </c>
      <c r="G7619" s="13">
        <v>68429696.6228</v>
      </c>
      <c r="H7619" s="14">
        <v>106935908068.80904</v>
      </c>
      <c r="I7619" s="14" t="e">
        <f>=Round(4802180.16280000,0)</f>
        <v>#VALUE!</v>
      </c>
      <c r="J7619" s="14" t="e">
        <f>=Round(0.00000000,0)</f>
        <v>#VALUE!</v>
      </c>
    </row>
    <row r="7620">
      <c r="A7620" s="11" t="s">
        <v>32</v>
      </c>
      <c r="B7620" s="12">
        <v>1565.487</v>
      </c>
      <c r="C7620" s="12">
        <v>0</v>
      </c>
      <c r="D7620" s="13">
        <v>0</v>
      </c>
      <c r="E7620" s="12">
        <v>0</v>
      </c>
      <c r="F7620" s="14">
        <v>0</v>
      </c>
      <c r="G7620" s="13">
        <v>68429696.6228</v>
      </c>
      <c r="H7620" s="14">
        <v>107125800476.93732</v>
      </c>
      <c r="I7620" s="14" t="e">
        <f>=Round(4820881.10150000,0)</f>
        <v>#VALUE!</v>
      </c>
      <c r="J7620" s="14" t="e">
        <f>=Round(0.00000000,0)</f>
        <v>#VALUE!</v>
      </c>
    </row>
    <row r="7621">
      <c r="A7621" s="11" t="s">
        <v>33</v>
      </c>
      <c r="B7621" s="12">
        <v>1567.432</v>
      </c>
      <c r="C7621" s="12">
        <v>0</v>
      </c>
      <c r="D7621" s="13">
        <v>0</v>
      </c>
      <c r="E7621" s="12">
        <v>0</v>
      </c>
      <c r="F7621" s="14">
        <v>0</v>
      </c>
      <c r="G7621" s="13">
        <v>68429696.6228</v>
      </c>
      <c r="H7621" s="14">
        <v>107258896236.86865</v>
      </c>
      <c r="I7621" s="14" t="e">
        <f>=Round(4829441.82480000,0)</f>
        <v>#VALUE!</v>
      </c>
      <c r="J7621" s="14" t="e">
        <f>=Round(0.00000000,0)</f>
        <v>#VALUE!</v>
      </c>
    </row>
    <row r="7622">
      <c r="A7622" s="11" t="s">
        <v>34</v>
      </c>
      <c r="B7622" s="12">
        <v>1567.996</v>
      </c>
      <c r="C7622" s="12">
        <v>0</v>
      </c>
      <c r="D7622" s="13">
        <v>0</v>
      </c>
      <c r="E7622" s="12">
        <v>0</v>
      </c>
      <c r="F7622" s="14">
        <v>0</v>
      </c>
      <c r="G7622" s="13">
        <v>68429696.6228</v>
      </c>
      <c r="H7622" s="14">
        <v>107297490585.7639</v>
      </c>
      <c r="I7622" s="14" t="e">
        <f>=Round(4835442.04350000,0)</f>
        <v>#VALUE!</v>
      </c>
      <c r="J7622" s="14" t="e">
        <f>=Round(0.00000000,0)</f>
        <v>#VALUE!</v>
      </c>
    </row>
    <row r="7623">
      <c r="A7623" s="11" t="s">
        <v>35</v>
      </c>
      <c r="B7623" s="12">
        <v>1567.996</v>
      </c>
      <c r="C7623" s="12">
        <v>0</v>
      </c>
      <c r="D7623" s="13">
        <v>0</v>
      </c>
      <c r="E7623" s="12">
        <v>0</v>
      </c>
      <c r="F7623" s="14">
        <v>0</v>
      </c>
      <c r="G7623" s="13">
        <v>68429696.6228</v>
      </c>
      <c r="H7623" s="14">
        <v>107297490585.7639</v>
      </c>
      <c r="I7623" s="14" t="e">
        <f>=Round(4837181.95260000,0)</f>
        <v>#VALUE!</v>
      </c>
      <c r="J7623" s="14" t="e">
        <f>=Round(0.00000000,0)</f>
        <v>#VALUE!</v>
      </c>
    </row>
    <row r="7624">
      <c r="A7624" s="11" t="s">
        <v>36</v>
      </c>
      <c r="B7624" s="12">
        <v>1567.996</v>
      </c>
      <c r="C7624" s="12">
        <v>0</v>
      </c>
      <c r="D7624" s="13">
        <v>0</v>
      </c>
      <c r="E7624" s="12">
        <v>0</v>
      </c>
      <c r="F7624" s="14">
        <v>0</v>
      </c>
      <c r="G7624" s="13">
        <v>68429696.6228</v>
      </c>
      <c r="H7624" s="14">
        <v>107297490585.7639</v>
      </c>
      <c r="I7624" s="14" t="e">
        <f>=Round(4837181.95260000,0)</f>
        <v>#VALUE!</v>
      </c>
      <c r="J7624" s="14" t="e">
        <f>=Round(0.00000000,0)</f>
        <v>#VALUE!</v>
      </c>
    </row>
    <row r="7625">
      <c r="A7625" s="11" t="s">
        <v>37</v>
      </c>
      <c r="B7625" s="12">
        <v>1565.632</v>
      </c>
      <c r="C7625" s="12">
        <v>0</v>
      </c>
      <c r="D7625" s="13">
        <v>0</v>
      </c>
      <c r="E7625" s="12">
        <v>0</v>
      </c>
      <c r="F7625" s="14">
        <v>0</v>
      </c>
      <c r="G7625" s="13">
        <v>68429696.6228</v>
      </c>
      <c r="H7625" s="14">
        <v>107135722782.94762</v>
      </c>
      <c r="I7625" s="14" t="e">
        <f>=Round(4837181.95260000,0)</f>
        <v>#VALUE!</v>
      </c>
      <c r="J7625" s="14" t="e">
        <f>=Round(0.00000000,0)</f>
        <v>#VALUE!</v>
      </c>
    </row>
    <row r="7626">
      <c r="A7626" s="11" t="s">
        <v>38</v>
      </c>
      <c r="B7626" s="12">
        <v>1565.077</v>
      </c>
      <c r="C7626" s="12">
        <v>0</v>
      </c>
      <c r="D7626" s="13">
        <v>0</v>
      </c>
      <c r="E7626" s="12">
        <v>0</v>
      </c>
      <c r="F7626" s="14">
        <v>0</v>
      </c>
      <c r="G7626" s="13">
        <v>68429696.6228</v>
      </c>
      <c r="H7626" s="14">
        <v>107097744301.32195</v>
      </c>
      <c r="I7626" s="14" t="e">
        <f>=Round(4829889.14190000,0)</f>
        <v>#VALUE!</v>
      </c>
      <c r="J7626" s="14" t="e">
        <f>=Round(0.00000000,0)</f>
        <v>#VALUE!</v>
      </c>
    </row>
    <row r="7627">
      <c r="A7627" s="11" t="s">
        <v>39</v>
      </c>
      <c r="B7627" s="12">
        <v>1563.577</v>
      </c>
      <c r="C7627" s="12">
        <v>0</v>
      </c>
      <c r="D7627" s="13">
        <v>0</v>
      </c>
      <c r="E7627" s="12">
        <v>0</v>
      </c>
      <c r="F7627" s="14">
        <v>0</v>
      </c>
      <c r="G7627" s="13">
        <v>68429696.6228</v>
      </c>
      <c r="H7627" s="14">
        <v>106995099756.38776</v>
      </c>
      <c r="I7627" s="14" t="e">
        <f>=Round(4828176.99720000,0)</f>
        <v>#VALUE!</v>
      </c>
      <c r="J7627" s="14" t="e">
        <f>=Round(0.00000000,0)</f>
        <v>#VALUE!</v>
      </c>
    </row>
    <row r="7628">
      <c r="A7628" s="11" t="s">
        <v>40</v>
      </c>
      <c r="B7628" s="12">
        <v>1561.649</v>
      </c>
      <c r="C7628" s="12">
        <v>0</v>
      </c>
      <c r="D7628" s="13">
        <v>0</v>
      </c>
      <c r="E7628" s="12">
        <v>0</v>
      </c>
      <c r="F7628" s="14">
        <v>0</v>
      </c>
      <c r="G7628" s="13">
        <v>68429696.6228</v>
      </c>
      <c r="H7628" s="14">
        <v>106863167301.299</v>
      </c>
      <c r="I7628" s="14" t="e">
        <f>=Round(4823549.57920000,0)</f>
        <v>#VALUE!</v>
      </c>
      <c r="J7628" s="14" t="e">
        <f>=Round(0.00000000,0)</f>
        <v>#VALUE!</v>
      </c>
    </row>
    <row r="7629">
      <c r="A7629" s="11" t="s">
        <v>41</v>
      </c>
      <c r="B7629" s="12">
        <v>1561.537</v>
      </c>
      <c r="C7629" s="12">
        <v>0</v>
      </c>
      <c r="D7629" s="13">
        <v>0</v>
      </c>
      <c r="E7629" s="12">
        <v>0</v>
      </c>
      <c r="F7629" s="14">
        <v>0</v>
      </c>
      <c r="G7629" s="13">
        <v>68429696.6228</v>
      </c>
      <c r="H7629" s="14">
        <v>106855503175.27725</v>
      </c>
      <c r="I7629" s="14" t="e">
        <f>=Round(4817601.80460000,0)</f>
        <v>#VALUE!</v>
      </c>
      <c r="J7629" s="14" t="e">
        <f>=Round(0.00000000,0)</f>
        <v>#VALUE!</v>
      </c>
    </row>
    <row r="7630">
      <c r="A7630" s="11" t="s">
        <v>42</v>
      </c>
      <c r="B7630" s="12">
        <v>1561.537</v>
      </c>
      <c r="C7630" s="12">
        <v>0</v>
      </c>
      <c r="D7630" s="13">
        <v>0</v>
      </c>
      <c r="E7630" s="12">
        <v>0</v>
      </c>
      <c r="F7630" s="14">
        <v>0</v>
      </c>
      <c r="G7630" s="13">
        <v>68429696.6228</v>
      </c>
      <c r="H7630" s="14">
        <v>106855503175.27725</v>
      </c>
      <c r="I7630" s="14" t="e">
        <f>=Round(4817256.29070000,0)</f>
        <v>#VALUE!</v>
      </c>
      <c r="J7630" s="14" t="e">
        <f>=Round(0.00000000,0)</f>
        <v>#VALUE!</v>
      </c>
    </row>
    <row r="7631">
      <c r="A7631" s="11" t="s">
        <v>43</v>
      </c>
      <c r="B7631" s="12">
        <v>1561.537</v>
      </c>
      <c r="C7631" s="12">
        <v>0</v>
      </c>
      <c r="D7631" s="13">
        <v>0</v>
      </c>
      <c r="E7631" s="12">
        <v>0</v>
      </c>
      <c r="F7631" s="14">
        <v>0</v>
      </c>
      <c r="G7631" s="13">
        <v>68429696.6228</v>
      </c>
      <c r="H7631" s="14">
        <v>106855503175.27725</v>
      </c>
      <c r="I7631" s="14" t="e">
        <f>=Round(4817256.29070000,0)</f>
        <v>#VALUE!</v>
      </c>
      <c r="J7631" s="14" t="e">
        <f>=Round(0.00000000,0)</f>
        <v>#VALUE!</v>
      </c>
    </row>
    <row r="7632">
      <c r="A7632" s="11" t="s">
        <v>44</v>
      </c>
      <c r="B7632" s="12">
        <v>1562.991</v>
      </c>
      <c r="C7632" s="12">
        <v>0</v>
      </c>
      <c r="D7632" s="13">
        <v>0</v>
      </c>
      <c r="E7632" s="12">
        <v>0</v>
      </c>
      <c r="F7632" s="14">
        <v>0</v>
      </c>
      <c r="G7632" s="13">
        <v>68429696.6228</v>
      </c>
      <c r="H7632" s="14">
        <v>106954999954.16679</v>
      </c>
      <c r="I7632" s="14" t="e">
        <f>=Round(4817256.29070000,0)</f>
        <v>#VALUE!</v>
      </c>
      <c r="J7632" s="14" t="e">
        <f>=Round(0.00000000,0)</f>
        <v>#VALUE!</v>
      </c>
    </row>
    <row r="7633">
      <c r="A7633" s="11" t="s">
        <v>45</v>
      </c>
      <c r="B7633" s="12">
        <v>1564.889</v>
      </c>
      <c r="C7633" s="12">
        <v>0</v>
      </c>
      <c r="D7633" s="13">
        <v>0</v>
      </c>
      <c r="E7633" s="12">
        <v>0</v>
      </c>
      <c r="F7633" s="14">
        <v>0</v>
      </c>
      <c r="G7633" s="13">
        <v>68429696.6228</v>
      </c>
      <c r="H7633" s="14">
        <v>107084879518.35686</v>
      </c>
      <c r="I7633" s="14" t="e">
        <f>=Round(4821741.80120000,0)</f>
        <v>#VALUE!</v>
      </c>
      <c r="J7633" s="14" t="e">
        <f>=Round(0.00000000,0)</f>
        <v>#VALUE!</v>
      </c>
    </row>
    <row r="7634">
      <c r="A7634" s="11" t="s">
        <v>46</v>
      </c>
      <c r="B7634" s="12">
        <v>1567.789</v>
      </c>
      <c r="C7634" s="12">
        <v>0</v>
      </c>
      <c r="D7634" s="13">
        <v>0</v>
      </c>
      <c r="E7634" s="12">
        <v>0</v>
      </c>
      <c r="F7634" s="14">
        <v>0</v>
      </c>
      <c r="G7634" s="13">
        <v>68429696.6228</v>
      </c>
      <c r="H7634" s="14">
        <v>107283325638.56299</v>
      </c>
      <c r="I7634" s="14" t="e">
        <f>=Round(4827597.02750000,0)</f>
        <v>#VALUE!</v>
      </c>
      <c r="J7634" s="14" t="e">
        <f>=Round(0.00000000,0)</f>
        <v>#VALUE!</v>
      </c>
    </row>
    <row r="7635">
      <c r="A7635" s="11" t="s">
        <v>47</v>
      </c>
      <c r="B7635" s="12">
        <v>1569.434</v>
      </c>
      <c r="C7635" s="12">
        <v>0</v>
      </c>
      <c r="D7635" s="13">
        <v>0</v>
      </c>
      <c r="E7635" s="12">
        <v>0</v>
      </c>
      <c r="F7635" s="14">
        <v>0</v>
      </c>
      <c r="G7635" s="13">
        <v>68429696.6228</v>
      </c>
      <c r="H7635" s="14">
        <v>107395892489.50749</v>
      </c>
      <c r="I7635" s="14" t="e">
        <f>=Round(4836543.36900000,0)</f>
        <v>#VALUE!</v>
      </c>
      <c r="J7635" s="14" t="e">
        <f>=Round(0.00000000,0)</f>
        <v>#VALUE!</v>
      </c>
    </row>
    <row r="7636">
      <c r="A7636" s="11" t="s">
        <v>48</v>
      </c>
      <c r="B7636" s="12">
        <v>1566.292</v>
      </c>
      <c r="C7636" s="12">
        <v>0</v>
      </c>
      <c r="D7636" s="13">
        <v>0</v>
      </c>
      <c r="E7636" s="12">
        <v>0</v>
      </c>
      <c r="F7636" s="14">
        <v>0</v>
      </c>
      <c r="G7636" s="13">
        <v>68429696.6228</v>
      </c>
      <c r="H7636" s="14">
        <v>107180886382.71866</v>
      </c>
      <c r="I7636" s="14" t="e">
        <f>=Round(4841618.10400000,0)</f>
        <v>#VALUE!</v>
      </c>
      <c r="J7636" s="14" t="e">
        <f>=Round(0.00000000,0)</f>
        <v>#VALUE!</v>
      </c>
    </row>
    <row r="7637">
      <c r="A7637" s="11" t="s">
        <v>49</v>
      </c>
      <c r="B7637" s="12">
        <v>1566.292</v>
      </c>
      <c r="C7637" s="12">
        <v>0</v>
      </c>
      <c r="D7637" s="13">
        <v>0</v>
      </c>
      <c r="E7637" s="12">
        <v>0</v>
      </c>
      <c r="F7637" s="14">
        <v>0</v>
      </c>
      <c r="G7637" s="13">
        <v>68429696.6228</v>
      </c>
      <c r="H7637" s="14">
        <v>107180886382.71866</v>
      </c>
      <c r="I7637" s="14" t="e">
        <f>=Round(4831925.20580000,0)</f>
        <v>#VALUE!</v>
      </c>
      <c r="J7637" s="14" t="e">
        <f>=Round(0.00000000,0)</f>
        <v>#VALUE!</v>
      </c>
    </row>
    <row r="7638">
      <c r="A7638" s="11" t="s">
        <v>50</v>
      </c>
      <c r="B7638" s="12">
        <v>1566.292</v>
      </c>
      <c r="C7638" s="12">
        <v>0</v>
      </c>
      <c r="D7638" s="13">
        <v>0</v>
      </c>
      <c r="E7638" s="12">
        <v>0</v>
      </c>
      <c r="F7638" s="14">
        <v>0</v>
      </c>
      <c r="G7638" s="13">
        <v>68429696.6228</v>
      </c>
      <c r="H7638" s="14">
        <v>107180886382.71866</v>
      </c>
      <c r="I7638" s="14" t="e">
        <f>=Round(4831925.20580000,0)</f>
        <v>#VALUE!</v>
      </c>
      <c r="J7638" s="14" t="e">
        <f>=Round(0.00000000,0)</f>
        <v>#VALUE!</v>
      </c>
    </row>
    <row r="7639">
      <c r="A7639" s="11" t="s">
        <v>51</v>
      </c>
      <c r="B7639" s="12">
        <v>1561.174</v>
      </c>
      <c r="C7639" s="12">
        <v>0</v>
      </c>
      <c r="D7639" s="13">
        <v>0</v>
      </c>
      <c r="E7639" s="12">
        <v>0</v>
      </c>
      <c r="F7639" s="14">
        <v>0</v>
      </c>
      <c r="G7639" s="13">
        <v>68429696.6228</v>
      </c>
      <c r="H7639" s="14">
        <v>106830663195.40317</v>
      </c>
      <c r="I7639" s="14" t="e">
        <f>=Round(4831925.20580000,0)</f>
        <v>#VALUE!</v>
      </c>
      <c r="J7639" s="14" t="e">
        <f>=Round(0.00000000,0)</f>
        <v>#VALUE!</v>
      </c>
    </row>
    <row r="7640">
      <c r="A7640" s="11" t="s">
        <v>52</v>
      </c>
      <c r="B7640" s="12">
        <v>1561.652</v>
      </c>
      <c r="C7640" s="12">
        <v>0</v>
      </c>
      <c r="D7640" s="13">
        <v>0</v>
      </c>
      <c r="E7640" s="12">
        <v>0</v>
      </c>
      <c r="F7640" s="14">
        <v>0</v>
      </c>
      <c r="G7640" s="13">
        <v>68429696.6228</v>
      </c>
      <c r="H7640" s="14">
        <v>106863372590.38887</v>
      </c>
      <c r="I7640" s="14" t="e">
        <f>=Round(4816136.45550000,0)</f>
        <v>#VALUE!</v>
      </c>
      <c r="J7640" s="14" t="e">
        <f>=Round(0.00000000,0)</f>
        <v>#VALUE!</v>
      </c>
    </row>
    <row r="7641">
      <c r="A7641" s="11" t="s">
        <v>53</v>
      </c>
      <c r="B7641" s="12">
        <v>1556.589</v>
      </c>
      <c r="C7641" s="12">
        <v>0</v>
      </c>
      <c r="D7641" s="13">
        <v>0</v>
      </c>
      <c r="E7641" s="12">
        <v>0</v>
      </c>
      <c r="F7641" s="14">
        <v>0</v>
      </c>
      <c r="G7641" s="13">
        <v>68429696.6228</v>
      </c>
      <c r="H7641" s="14">
        <v>106516913036.38763</v>
      </c>
      <c r="I7641" s="14" t="e">
        <f>=Round(4817611.05940000,0)</f>
        <v>#VALUE!</v>
      </c>
      <c r="J7641" s="14" t="e">
        <f>=Round(0.00000000,0)</f>
        <v>#VALUE!</v>
      </c>
    </row>
    <row r="7642">
      <c r="A7642" s="11" t="s">
        <v>54</v>
      </c>
      <c r="B7642" s="12">
        <v>1547.342</v>
      </c>
      <c r="C7642" s="12">
        <v>0</v>
      </c>
      <c r="D7642" s="13">
        <v>0</v>
      </c>
      <c r="E7642" s="12">
        <v>0</v>
      </c>
      <c r="F7642" s="14">
        <v>0</v>
      </c>
      <c r="G7642" s="13">
        <v>68429696.6228</v>
      </c>
      <c r="H7642" s="14">
        <v>105884143631.7166</v>
      </c>
      <c r="I7642" s="14" t="e">
        <f>=Round(4801991.98110000,0)</f>
        <v>#VALUE!</v>
      </c>
      <c r="J7642" s="14" t="e">
        <f>=Round(0.00000000,0)</f>
        <v>#VALUE!</v>
      </c>
    </row>
    <row r="7643">
      <c r="A7643" s="11" t="s">
        <v>55</v>
      </c>
      <c r="B7643" s="12">
        <v>1540.386</v>
      </c>
      <c r="C7643" s="12">
        <v>0</v>
      </c>
      <c r="D7643" s="13">
        <v>0</v>
      </c>
      <c r="E7643" s="12">
        <v>0</v>
      </c>
      <c r="F7643" s="14">
        <v>0</v>
      </c>
      <c r="G7643" s="13">
        <v>68429696.6228</v>
      </c>
      <c r="H7643" s="14">
        <v>105408146662.00841</v>
      </c>
      <c r="I7643" s="14" t="e">
        <f>=Round(4773465.49160000,0)</f>
        <v>#VALUE!</v>
      </c>
      <c r="J7643" s="14" t="e">
        <f>=Round(0.00000000,0)</f>
        <v>#VALUE!</v>
      </c>
    </row>
    <row r="7644" ht="-1">
      <c r="A7644" s="15"/>
      <c r="B7644" s="16" t="s">
        <v>56</v>
      </c>
      <c r="C7644" s="15"/>
      <c r="D7644" s="15"/>
      <c r="E7644" s="15"/>
      <c r="F7644" s="15"/>
      <c r="G7644" s="15"/>
      <c r="H7644" s="15"/>
      <c r="I7644" s="17" t="e">
        <f>=Round(SUM(I7618:I7643),0)</f>
        <v>#VALUE!</v>
      </c>
      <c r="J7644" s="17" t="e">
        <f>=Round(SUM(J7618:J7643),0)</f>
        <v>#VALUE!</v>
      </c>
    </row>
    <row r="7645">
      <c r="A7645" s="1" t="s">
        <v>0</v>
      </c>
      <c r="B7645" s="1"/>
      <c r="C7645" s="1"/>
      <c r="D7645" s="1"/>
    </row>
    <row r="7646">
      <c r="A7646" s="0" t="s">
        <v>1</v>
      </c>
      <c r="C7646" s="0" t="s">
        <v>268</v>
      </c>
      <c r="H7646" s="2" t="s">
        <v>3</v>
      </c>
    </row>
    <row r="7647">
      <c r="A7647" s="0" t="s">
        <v>4</v>
      </c>
      <c r="C7647" s="0" t="s">
        <v>269</v>
      </c>
      <c r="H7647" s="3" t="s">
        <v>6</v>
      </c>
    </row>
    <row r="7648">
      <c r="A7648" s="0" t="s">
        <v>7</v>
      </c>
      <c r="C7648" s="4" t="s">
        <v>270</v>
      </c>
      <c r="H7648" s="2" t="s">
        <v>9</v>
      </c>
    </row>
    <row r="7649">
      <c r="A7649" s="0" t="s">
        <v>10</v>
      </c>
      <c r="C7649" s="4" t="s">
        <v>11</v>
      </c>
      <c r="H7649" s="2" t="s">
        <v>12</v>
      </c>
    </row>
    <row r="7650">
      <c r="A7650" s="0" t="s">
        <v>13</v>
      </c>
      <c r="C7650" s="0" t="s">
        <v>14</v>
      </c>
    </row>
    <row r="7651">
      <c r="A7651" s="0" t="s">
        <v>15</v>
      </c>
      <c r="C7651" s="0" t="s">
        <v>16</v>
      </c>
    </row>
    <row r="7652">
      <c r="A7652" s="0" t="s">
        <v>17</v>
      </c>
      <c r="C7652" s="0" t="s">
        <v>18</v>
      </c>
    </row>
    <row r="7655">
      <c r="A7655" s="5" t="s">
        <v>19</v>
      </c>
      <c r="B7655" s="5" t="s">
        <v>20</v>
      </c>
      <c r="C7655" s="7" t="s">
        <v>21</v>
      </c>
      <c r="D7655" s="9"/>
      <c r="E7655" s="7" t="s">
        <v>22</v>
      </c>
      <c r="F7655" s="9"/>
      <c r="G7655" s="5" t="s">
        <v>23</v>
      </c>
      <c r="H7655" s="5" t="s">
        <v>24</v>
      </c>
      <c r="I7655" s="5" t="s">
        <v>271</v>
      </c>
      <c r="J7655" s="5" t="s">
        <v>26</v>
      </c>
    </row>
    <row r="7656">
      <c r="A7656" s="6"/>
      <c r="B7656" s="6"/>
      <c r="C7656" s="8" t="s">
        <v>27</v>
      </c>
      <c r="D7656" s="8" t="s">
        <v>28</v>
      </c>
      <c r="E7656" s="8" t="s">
        <v>27</v>
      </c>
      <c r="F7656" s="8" t="s">
        <v>28</v>
      </c>
      <c r="G7656" s="6"/>
      <c r="H7656" s="6"/>
      <c r="I7656" s="10" t="s">
        <v>29</v>
      </c>
      <c r="J7656" s="6"/>
    </row>
    <row r="7657">
      <c r="A7657" s="11" t="s">
        <v>30</v>
      </c>
      <c r="B7657" s="12">
        <v>1200.393</v>
      </c>
      <c r="C7657" s="12">
        <v>0</v>
      </c>
      <c r="D7657" s="13">
        <v>0</v>
      </c>
      <c r="E7657" s="12">
        <v>0</v>
      </c>
      <c r="F7657" s="14">
        <v>0</v>
      </c>
      <c r="G7657" s="13">
        <v>344895281.58320004</v>
      </c>
      <c r="H7657" s="14">
        <v>414009881745.5022</v>
      </c>
      <c r="I7657" s="14" t="e">
        <f>=Round(936606.24900000,0)</f>
        <v>#VALUE!</v>
      </c>
      <c r="J7657" s="14" t="e">
        <f>=Round(0.00000000,0)</f>
        <v>#VALUE!</v>
      </c>
    </row>
    <row r="7658">
      <c r="A7658" s="11" t="s">
        <v>31</v>
      </c>
      <c r="B7658" s="12">
        <v>1202.286</v>
      </c>
      <c r="C7658" s="12">
        <v>0</v>
      </c>
      <c r="D7658" s="13">
        <v>0</v>
      </c>
      <c r="E7658" s="12">
        <v>0</v>
      </c>
      <c r="F7658" s="14">
        <v>0</v>
      </c>
      <c r="G7658" s="13">
        <v>344895281.58320004</v>
      </c>
      <c r="H7658" s="14">
        <v>414662768513.53918</v>
      </c>
      <c r="I7658" s="14" t="e">
        <f>=Round(933218.99570000,0)</f>
        <v>#VALUE!</v>
      </c>
      <c r="J7658" s="14" t="e">
        <f>=Round(0.00000000,0)</f>
        <v>#VALUE!</v>
      </c>
    </row>
    <row r="7659">
      <c r="A7659" s="11" t="s">
        <v>32</v>
      </c>
      <c r="B7659" s="12">
        <v>1203.733</v>
      </c>
      <c r="C7659" s="12">
        <v>0</v>
      </c>
      <c r="D7659" s="13">
        <v>0</v>
      </c>
      <c r="E7659" s="12">
        <v>0</v>
      </c>
      <c r="F7659" s="14">
        <v>0</v>
      </c>
      <c r="G7659" s="13">
        <v>344895281.58320004</v>
      </c>
      <c r="H7659" s="14">
        <v>415161831985.99005</v>
      </c>
      <c r="I7659" s="14" t="e">
        <f>=Round(934690.66670000,0)</f>
        <v>#VALUE!</v>
      </c>
      <c r="J7659" s="14" t="e">
        <f>=Round(0.00000000,0)</f>
        <v>#VALUE!</v>
      </c>
    </row>
    <row r="7660">
      <c r="A7660" s="11" t="s">
        <v>33</v>
      </c>
      <c r="B7660" s="12">
        <v>1205.494</v>
      </c>
      <c r="C7660" s="12">
        <v>0</v>
      </c>
      <c r="D7660" s="13">
        <v>0</v>
      </c>
      <c r="E7660" s="12">
        <v>0</v>
      </c>
      <c r="F7660" s="14">
        <v>0</v>
      </c>
      <c r="G7660" s="13">
        <v>344895281.58320004</v>
      </c>
      <c r="H7660" s="14">
        <v>415769192576.85809</v>
      </c>
      <c r="I7660" s="14" t="e">
        <f>=Round(935815.60490000,0)</f>
        <v>#VALUE!</v>
      </c>
      <c r="J7660" s="14" t="e">
        <f>=Round(0.00000000,0)</f>
        <v>#VALUE!</v>
      </c>
    </row>
    <row r="7661">
      <c r="A7661" s="11" t="s">
        <v>34</v>
      </c>
      <c r="B7661" s="12">
        <v>1208.444</v>
      </c>
      <c r="C7661" s="12">
        <v>0</v>
      </c>
      <c r="D7661" s="13">
        <v>0</v>
      </c>
      <c r="E7661" s="12">
        <v>0</v>
      </c>
      <c r="F7661" s="14">
        <v>0</v>
      </c>
      <c r="G7661" s="13">
        <v>344895281.58320004</v>
      </c>
      <c r="H7661" s="14">
        <v>416786633657.5285</v>
      </c>
      <c r="I7661" s="14" t="e">
        <f>=Round(937184.65540000,0)</f>
        <v>#VALUE!</v>
      </c>
      <c r="J7661" s="14" t="e">
        <f>=Round(0.00000000,0)</f>
        <v>#VALUE!</v>
      </c>
    </row>
    <row r="7662">
      <c r="A7662" s="11" t="s">
        <v>35</v>
      </c>
      <c r="B7662" s="12">
        <v>1208.444</v>
      </c>
      <c r="C7662" s="12">
        <v>0</v>
      </c>
      <c r="D7662" s="13">
        <v>0</v>
      </c>
      <c r="E7662" s="12">
        <v>0</v>
      </c>
      <c r="F7662" s="14">
        <v>0</v>
      </c>
      <c r="G7662" s="13">
        <v>344895281.58320004</v>
      </c>
      <c r="H7662" s="14">
        <v>416786633657.5285</v>
      </c>
      <c r="I7662" s="14" t="e">
        <f>=Round(939478.06770000,0)</f>
        <v>#VALUE!</v>
      </c>
      <c r="J7662" s="14" t="e">
        <f>=Round(0.00000000,0)</f>
        <v>#VALUE!</v>
      </c>
    </row>
    <row r="7663">
      <c r="A7663" s="11" t="s">
        <v>36</v>
      </c>
      <c r="B7663" s="12">
        <v>1208.444</v>
      </c>
      <c r="C7663" s="12">
        <v>0</v>
      </c>
      <c r="D7663" s="13">
        <v>0</v>
      </c>
      <c r="E7663" s="12">
        <v>0</v>
      </c>
      <c r="F7663" s="14">
        <v>0</v>
      </c>
      <c r="G7663" s="13">
        <v>344895281.58320004</v>
      </c>
      <c r="H7663" s="14">
        <v>416786633657.5285</v>
      </c>
      <c r="I7663" s="14" t="e">
        <f>=Round(939478.06770000,0)</f>
        <v>#VALUE!</v>
      </c>
      <c r="J7663" s="14" t="e">
        <f>=Round(0.00000000,0)</f>
        <v>#VALUE!</v>
      </c>
    </row>
    <row r="7664">
      <c r="A7664" s="11" t="s">
        <v>37</v>
      </c>
      <c r="B7664" s="12">
        <v>1204.04</v>
      </c>
      <c r="C7664" s="12">
        <v>0</v>
      </c>
      <c r="D7664" s="13">
        <v>0</v>
      </c>
      <c r="E7664" s="12">
        <v>0</v>
      </c>
      <c r="F7664" s="14">
        <v>0</v>
      </c>
      <c r="G7664" s="13">
        <v>344895281.58320004</v>
      </c>
      <c r="H7664" s="14">
        <v>415267714837.43616</v>
      </c>
      <c r="I7664" s="14" t="e">
        <f>=Round(939478.06770000,0)</f>
        <v>#VALUE!</v>
      </c>
      <c r="J7664" s="14" t="e">
        <f>=Round(0.00000000,0)</f>
        <v>#VALUE!</v>
      </c>
    </row>
    <row r="7665">
      <c r="A7665" s="11" t="s">
        <v>38</v>
      </c>
      <c r="B7665" s="12">
        <v>1204.803</v>
      </c>
      <c r="C7665" s="12">
        <v>0</v>
      </c>
      <c r="D7665" s="13">
        <v>0</v>
      </c>
      <c r="E7665" s="12">
        <v>0</v>
      </c>
      <c r="F7665" s="14">
        <v>0</v>
      </c>
      <c r="G7665" s="13">
        <v>344895281.58320004</v>
      </c>
      <c r="H7665" s="14">
        <v>415530869937.28412</v>
      </c>
      <c r="I7665" s="14" t="e">
        <f>=Round(936054.27520000,0)</f>
        <v>#VALUE!</v>
      </c>
      <c r="J7665" s="14" t="e">
        <f>=Round(0.00000000,0)</f>
        <v>#VALUE!</v>
      </c>
    </row>
    <row r="7666">
      <c r="A7666" s="11" t="s">
        <v>39</v>
      </c>
      <c r="B7666" s="12">
        <v>1204.565</v>
      </c>
      <c r="C7666" s="12">
        <v>0</v>
      </c>
      <c r="D7666" s="13">
        <v>0</v>
      </c>
      <c r="E7666" s="12">
        <v>39018234.7985</v>
      </c>
      <c r="F7666" s="14">
        <v>47000000000.06</v>
      </c>
      <c r="G7666" s="13">
        <v>344895281.58320004</v>
      </c>
      <c r="H7666" s="14">
        <v>415448784860.26733</v>
      </c>
      <c r="I7666" s="14" t="e">
        <f>=Round(936647.45270000,0)</f>
        <v>#VALUE!</v>
      </c>
      <c r="J7666" s="14" t="e">
        <f>=Round(0.00000000,0)</f>
        <v>#VALUE!</v>
      </c>
    </row>
    <row r="7667">
      <c r="A7667" s="11" t="s">
        <v>40</v>
      </c>
      <c r="B7667" s="12">
        <v>1202.599</v>
      </c>
      <c r="C7667" s="12">
        <v>0</v>
      </c>
      <c r="D7667" s="13">
        <v>0</v>
      </c>
      <c r="E7667" s="12">
        <v>0</v>
      </c>
      <c r="F7667" s="14">
        <v>0</v>
      </c>
      <c r="G7667" s="13">
        <v>305877046.7847</v>
      </c>
      <c r="H7667" s="14">
        <v>367847430586.2334</v>
      </c>
      <c r="I7667" s="14" t="e">
        <f>=Round(936462.42490000,0)</f>
        <v>#VALUE!</v>
      </c>
      <c r="J7667" s="14" t="e">
        <f>=Round(0.00000000,0)</f>
        <v>#VALUE!</v>
      </c>
    </row>
    <row r="7668">
      <c r="A7668" s="11" t="s">
        <v>41</v>
      </c>
      <c r="B7668" s="12">
        <v>1204.31</v>
      </c>
      <c r="C7668" s="12">
        <v>0</v>
      </c>
      <c r="D7668" s="13">
        <v>0</v>
      </c>
      <c r="E7668" s="12">
        <v>0</v>
      </c>
      <c r="F7668" s="14">
        <v>0</v>
      </c>
      <c r="G7668" s="13">
        <v>305877046.7847</v>
      </c>
      <c r="H7668" s="14">
        <v>368370786213.28204</v>
      </c>
      <c r="I7668" s="14" t="e">
        <f>=Round(829164.29030000,0)</f>
        <v>#VALUE!</v>
      </c>
      <c r="J7668" s="14" t="e">
        <f>=Round(0.00000000,0)</f>
        <v>#VALUE!</v>
      </c>
    </row>
    <row r="7669">
      <c r="A7669" s="11" t="s">
        <v>42</v>
      </c>
      <c r="B7669" s="12">
        <v>1204.31</v>
      </c>
      <c r="C7669" s="12">
        <v>0</v>
      </c>
      <c r="D7669" s="13">
        <v>0</v>
      </c>
      <c r="E7669" s="12">
        <v>0</v>
      </c>
      <c r="F7669" s="14">
        <v>0</v>
      </c>
      <c r="G7669" s="13">
        <v>305877046.7847</v>
      </c>
      <c r="H7669" s="14">
        <v>368370786213.28204</v>
      </c>
      <c r="I7669" s="14" t="e">
        <f>=Round(830343.98530000,0)</f>
        <v>#VALUE!</v>
      </c>
      <c r="J7669" s="14" t="e">
        <f>=Round(0.00000000,0)</f>
        <v>#VALUE!</v>
      </c>
    </row>
    <row r="7670">
      <c r="A7670" s="11" t="s">
        <v>43</v>
      </c>
      <c r="B7670" s="12">
        <v>1204.31</v>
      </c>
      <c r="C7670" s="12">
        <v>0</v>
      </c>
      <c r="D7670" s="13">
        <v>0</v>
      </c>
      <c r="E7670" s="12">
        <v>0</v>
      </c>
      <c r="F7670" s="14">
        <v>0</v>
      </c>
      <c r="G7670" s="13">
        <v>305877046.7847</v>
      </c>
      <c r="H7670" s="14">
        <v>368370786213.28204</v>
      </c>
      <c r="I7670" s="14" t="e">
        <f>=Round(830343.98530000,0)</f>
        <v>#VALUE!</v>
      </c>
      <c r="J7670" s="14" t="e">
        <f>=Round(0.00000000,0)</f>
        <v>#VALUE!</v>
      </c>
    </row>
    <row r="7671">
      <c r="A7671" s="11" t="s">
        <v>44</v>
      </c>
      <c r="B7671" s="12">
        <v>1206.025</v>
      </c>
      <c r="C7671" s="12">
        <v>0</v>
      </c>
      <c r="D7671" s="13">
        <v>0</v>
      </c>
      <c r="E7671" s="12">
        <v>0</v>
      </c>
      <c r="F7671" s="14">
        <v>0</v>
      </c>
      <c r="G7671" s="13">
        <v>305877046.7847</v>
      </c>
      <c r="H7671" s="14">
        <v>368895365348.51782</v>
      </c>
      <c r="I7671" s="14" t="e">
        <f>=Round(830343.98530000,0)</f>
        <v>#VALUE!</v>
      </c>
      <c r="J7671" s="14" t="e">
        <f>=Round(0.00000000,0)</f>
        <v>#VALUE!</v>
      </c>
    </row>
    <row r="7672">
      <c r="A7672" s="11" t="s">
        <v>45</v>
      </c>
      <c r="B7672" s="12">
        <v>1209.077</v>
      </c>
      <c r="C7672" s="12">
        <v>0</v>
      </c>
      <c r="D7672" s="13">
        <v>0</v>
      </c>
      <c r="E7672" s="12">
        <v>0</v>
      </c>
      <c r="F7672" s="14">
        <v>0</v>
      </c>
      <c r="G7672" s="13">
        <v>305877046.7847</v>
      </c>
      <c r="H7672" s="14">
        <v>369828902095.30469</v>
      </c>
      <c r="I7672" s="14" t="e">
        <f>=Round(831526.43830000,0)</f>
        <v>#VALUE!</v>
      </c>
      <c r="J7672" s="14" t="e">
        <f>=Round(0.00000000,0)</f>
        <v>#VALUE!</v>
      </c>
    </row>
    <row r="7673">
      <c r="A7673" s="11" t="s">
        <v>46</v>
      </c>
      <c r="B7673" s="12">
        <v>1215.174</v>
      </c>
      <c r="C7673" s="12">
        <v>0</v>
      </c>
      <c r="D7673" s="13">
        <v>0</v>
      </c>
      <c r="E7673" s="12">
        <v>0</v>
      </c>
      <c r="F7673" s="14">
        <v>0</v>
      </c>
      <c r="G7673" s="13">
        <v>305877046.7847</v>
      </c>
      <c r="H7673" s="14">
        <v>371693834449.551</v>
      </c>
      <c r="I7673" s="14" t="e">
        <f>=Round(833630.72190000,0)</f>
        <v>#VALUE!</v>
      </c>
      <c r="J7673" s="14" t="e">
        <f>=Round(0.00000000,0)</f>
        <v>#VALUE!</v>
      </c>
    </row>
    <row r="7674">
      <c r="A7674" s="11" t="s">
        <v>47</v>
      </c>
      <c r="B7674" s="12">
        <v>1217.599</v>
      </c>
      <c r="C7674" s="12">
        <v>0</v>
      </c>
      <c r="D7674" s="13">
        <v>0</v>
      </c>
      <c r="E7674" s="12">
        <v>0</v>
      </c>
      <c r="F7674" s="14">
        <v>0</v>
      </c>
      <c r="G7674" s="13">
        <v>305877046.7847</v>
      </c>
      <c r="H7674" s="14">
        <v>372435586288.00391</v>
      </c>
      <c r="I7674" s="14" t="e">
        <f>=Round(837834.46290000,0)</f>
        <v>#VALUE!</v>
      </c>
      <c r="J7674" s="14" t="e">
        <f>=Round(0.00000000,0)</f>
        <v>#VALUE!</v>
      </c>
    </row>
    <row r="7675">
      <c r="A7675" s="11" t="s">
        <v>48</v>
      </c>
      <c r="B7675" s="12">
        <v>1210.964</v>
      </c>
      <c r="C7675" s="12">
        <v>0</v>
      </c>
      <c r="D7675" s="13">
        <v>0</v>
      </c>
      <c r="E7675" s="12">
        <v>0</v>
      </c>
      <c r="F7675" s="14">
        <v>0</v>
      </c>
      <c r="G7675" s="13">
        <v>305877046.7847</v>
      </c>
      <c r="H7675" s="14">
        <v>370406092082.58746</v>
      </c>
      <c r="I7675" s="14" t="e">
        <f>=Round(839506.44450000,0)</f>
        <v>#VALUE!</v>
      </c>
      <c r="J7675" s="14" t="e">
        <f>=Round(0.00000000,0)</f>
        <v>#VALUE!</v>
      </c>
    </row>
    <row r="7676">
      <c r="A7676" s="11" t="s">
        <v>49</v>
      </c>
      <c r="B7676" s="12">
        <v>1210.964</v>
      </c>
      <c r="C7676" s="12">
        <v>0</v>
      </c>
      <c r="D7676" s="13">
        <v>0</v>
      </c>
      <c r="E7676" s="12">
        <v>0</v>
      </c>
      <c r="F7676" s="14">
        <v>0</v>
      </c>
      <c r="G7676" s="13">
        <v>305877046.7847</v>
      </c>
      <c r="H7676" s="14">
        <v>370406092082.58746</v>
      </c>
      <c r="I7676" s="14" t="e">
        <f>=Round(834931.76490000,0)</f>
        <v>#VALUE!</v>
      </c>
      <c r="J7676" s="14" t="e">
        <f>=Round(0.00000000,0)</f>
        <v>#VALUE!</v>
      </c>
    </row>
    <row r="7677">
      <c r="A7677" s="11" t="s">
        <v>50</v>
      </c>
      <c r="B7677" s="12">
        <v>1210.964</v>
      </c>
      <c r="C7677" s="12">
        <v>0</v>
      </c>
      <c r="D7677" s="13">
        <v>0</v>
      </c>
      <c r="E7677" s="12">
        <v>0</v>
      </c>
      <c r="F7677" s="14">
        <v>0</v>
      </c>
      <c r="G7677" s="13">
        <v>305877046.7847</v>
      </c>
      <c r="H7677" s="14">
        <v>370406092082.58746</v>
      </c>
      <c r="I7677" s="14" t="e">
        <f>=Round(834931.76490000,0)</f>
        <v>#VALUE!</v>
      </c>
      <c r="J7677" s="14" t="e">
        <f>=Round(0.00000000,0)</f>
        <v>#VALUE!</v>
      </c>
    </row>
    <row r="7678">
      <c r="A7678" s="11" t="s">
        <v>51</v>
      </c>
      <c r="B7678" s="12">
        <v>1207.071</v>
      </c>
      <c r="C7678" s="12">
        <v>0</v>
      </c>
      <c r="D7678" s="13">
        <v>0</v>
      </c>
      <c r="E7678" s="12">
        <v>0</v>
      </c>
      <c r="F7678" s="14">
        <v>0</v>
      </c>
      <c r="G7678" s="13">
        <v>305877046.7847</v>
      </c>
      <c r="H7678" s="14">
        <v>369215312739.45459</v>
      </c>
      <c r="I7678" s="14" t="e">
        <f>=Round(834931.76490000,0)</f>
        <v>#VALUE!</v>
      </c>
      <c r="J7678" s="14" t="e">
        <f>=Round(0.00000000,0)</f>
        <v>#VALUE!</v>
      </c>
    </row>
    <row r="7679">
      <c r="A7679" s="11" t="s">
        <v>52</v>
      </c>
      <c r="B7679" s="12">
        <v>1211.462</v>
      </c>
      <c r="C7679" s="12">
        <v>0</v>
      </c>
      <c r="D7679" s="13">
        <v>0</v>
      </c>
      <c r="E7679" s="12">
        <v>0</v>
      </c>
      <c r="F7679" s="14">
        <v>0</v>
      </c>
      <c r="G7679" s="13">
        <v>305877046.7847</v>
      </c>
      <c r="H7679" s="14">
        <v>370558418851.88623</v>
      </c>
      <c r="I7679" s="14" t="e">
        <f>=Round(832247.63120000,0)</f>
        <v>#VALUE!</v>
      </c>
      <c r="J7679" s="14" t="e">
        <f>=Round(0.00000000,0)</f>
        <v>#VALUE!</v>
      </c>
    </row>
    <row r="7680">
      <c r="A7680" s="11" t="s">
        <v>53</v>
      </c>
      <c r="B7680" s="12">
        <v>1203.293</v>
      </c>
      <c r="C7680" s="12">
        <v>0</v>
      </c>
      <c r="D7680" s="13">
        <v>0</v>
      </c>
      <c r="E7680" s="12">
        <v>0</v>
      </c>
      <c r="F7680" s="14">
        <v>0</v>
      </c>
      <c r="G7680" s="13">
        <v>305877046.7847</v>
      </c>
      <c r="H7680" s="14">
        <v>368059709256.702</v>
      </c>
      <c r="I7680" s="14" t="e">
        <f>=Round(835275.12450000,0)</f>
        <v>#VALUE!</v>
      </c>
      <c r="J7680" s="14" t="e">
        <f>=Round(0.00000000,0)</f>
        <v>#VALUE!</v>
      </c>
    </row>
    <row r="7681">
      <c r="A7681" s="11" t="s">
        <v>54</v>
      </c>
      <c r="B7681" s="12">
        <v>1194.392</v>
      </c>
      <c r="C7681" s="12">
        <v>0</v>
      </c>
      <c r="D7681" s="13">
        <v>0</v>
      </c>
      <c r="E7681" s="12">
        <v>0</v>
      </c>
      <c r="F7681" s="14">
        <v>0</v>
      </c>
      <c r="G7681" s="13">
        <v>305877046.7847</v>
      </c>
      <c r="H7681" s="14">
        <v>365337097663.27142</v>
      </c>
      <c r="I7681" s="14" t="e">
        <f>=Round(829642.78730000,0)</f>
        <v>#VALUE!</v>
      </c>
      <c r="J7681" s="14" t="e">
        <f>=Round(0.00000000,0)</f>
        <v>#VALUE!</v>
      </c>
    </row>
    <row r="7682">
      <c r="A7682" s="11" t="s">
        <v>55</v>
      </c>
      <c r="B7682" s="12">
        <v>1186.637</v>
      </c>
      <c r="C7682" s="12">
        <v>0</v>
      </c>
      <c r="D7682" s="13">
        <v>0</v>
      </c>
      <c r="E7682" s="12">
        <v>0</v>
      </c>
      <c r="F7682" s="14">
        <v>0</v>
      </c>
      <c r="G7682" s="13">
        <v>305877046.7847</v>
      </c>
      <c r="H7682" s="14">
        <v>362965021165.45605</v>
      </c>
      <c r="I7682" s="14" t="e">
        <f>=Round(823505.75290000,0)</f>
        <v>#VALUE!</v>
      </c>
      <c r="J7682" s="14" t="e">
        <f>=Round(0.00000000,0)</f>
        <v>#VALUE!</v>
      </c>
    </row>
    <row r="7683" ht="-1">
      <c r="A7683" s="15"/>
      <c r="B7683" s="16" t="s">
        <v>56</v>
      </c>
      <c r="C7683" s="15"/>
      <c r="D7683" s="15"/>
      <c r="E7683" s="15"/>
      <c r="F7683" s="15"/>
      <c r="G7683" s="15"/>
      <c r="H7683" s="15"/>
      <c r="I7683" s="17" t="e">
        <f>=Round(SUM(I7657:I7682),0)</f>
        <v>#VALUE!</v>
      </c>
      <c r="J7683" s="17" t="e">
        <f>=Round(SUM(J7657:J7682),0)</f>
        <v>#VALUE!</v>
      </c>
    </row>
    <row r="7684">
      <c r="A7684" s="1" t="s">
        <v>0</v>
      </c>
      <c r="B7684" s="1"/>
      <c r="C7684" s="1"/>
      <c r="D7684" s="1"/>
    </row>
    <row r="7685">
      <c r="A7685" s="0" t="s">
        <v>1</v>
      </c>
      <c r="C7685" s="0" t="s">
        <v>268</v>
      </c>
      <c r="H7685" s="2" t="s">
        <v>3</v>
      </c>
    </row>
    <row r="7686">
      <c r="A7686" s="0" t="s">
        <v>4</v>
      </c>
      <c r="C7686" s="0" t="s">
        <v>272</v>
      </c>
      <c r="H7686" s="3" t="s">
        <v>6</v>
      </c>
    </row>
    <row r="7687">
      <c r="A7687" s="0" t="s">
        <v>7</v>
      </c>
      <c r="C7687" s="4" t="s">
        <v>270</v>
      </c>
      <c r="H7687" s="2" t="s">
        <v>9</v>
      </c>
    </row>
    <row r="7688">
      <c r="A7688" s="0" t="s">
        <v>10</v>
      </c>
      <c r="C7688" s="4" t="s">
        <v>11</v>
      </c>
      <c r="H7688" s="2" t="s">
        <v>12</v>
      </c>
    </row>
    <row r="7689">
      <c r="A7689" s="0" t="s">
        <v>13</v>
      </c>
      <c r="C7689" s="0" t="s">
        <v>14</v>
      </c>
    </row>
    <row r="7690">
      <c r="A7690" s="0" t="s">
        <v>15</v>
      </c>
      <c r="C7690" s="0" t="s">
        <v>16</v>
      </c>
    </row>
    <row r="7691">
      <c r="A7691" s="0" t="s">
        <v>17</v>
      </c>
      <c r="C7691" s="0" t="s">
        <v>18</v>
      </c>
    </row>
    <row r="7694">
      <c r="A7694" s="5" t="s">
        <v>19</v>
      </c>
      <c r="B7694" s="5" t="s">
        <v>20</v>
      </c>
      <c r="C7694" s="7" t="s">
        <v>21</v>
      </c>
      <c r="D7694" s="9"/>
      <c r="E7694" s="7" t="s">
        <v>22</v>
      </c>
      <c r="F7694" s="9"/>
      <c r="G7694" s="5" t="s">
        <v>23</v>
      </c>
      <c r="H7694" s="5" t="s">
        <v>24</v>
      </c>
      <c r="I7694" s="5" t="s">
        <v>271</v>
      </c>
      <c r="J7694" s="5" t="s">
        <v>26</v>
      </c>
    </row>
    <row r="7695">
      <c r="A7695" s="6"/>
      <c r="B7695" s="6"/>
      <c r="C7695" s="8" t="s">
        <v>27</v>
      </c>
      <c r="D7695" s="8" t="s">
        <v>28</v>
      </c>
      <c r="E7695" s="8" t="s">
        <v>27</v>
      </c>
      <c r="F7695" s="8" t="s">
        <v>28</v>
      </c>
      <c r="G7695" s="6"/>
      <c r="H7695" s="6"/>
      <c r="I7695" s="10" t="s">
        <v>29</v>
      </c>
      <c r="J7695" s="6"/>
    </row>
    <row r="7696">
      <c r="A7696" s="11" t="s">
        <v>30</v>
      </c>
      <c r="B7696" s="12">
        <v>1200.393</v>
      </c>
      <c r="C7696" s="12">
        <v>0</v>
      </c>
      <c r="D7696" s="13">
        <v>0</v>
      </c>
      <c r="E7696" s="12">
        <v>0</v>
      </c>
      <c r="F7696" s="14">
        <v>0</v>
      </c>
      <c r="G7696" s="13">
        <v>6609008.5744</v>
      </c>
      <c r="H7696" s="14">
        <v>7933407629.6497393</v>
      </c>
      <c r="I7696" s="14" t="e">
        <f>=Round(17947.58890000,0)</f>
        <v>#VALUE!</v>
      </c>
      <c r="J7696" s="14" t="e">
        <f>=Round(0.00000000,0)</f>
        <v>#VALUE!</v>
      </c>
    </row>
    <row r="7697">
      <c r="A7697" s="11" t="s">
        <v>31</v>
      </c>
      <c r="B7697" s="12">
        <v>1202.286</v>
      </c>
      <c r="C7697" s="12">
        <v>0</v>
      </c>
      <c r="D7697" s="13">
        <v>0</v>
      </c>
      <c r="E7697" s="12">
        <v>0</v>
      </c>
      <c r="F7697" s="14">
        <v>0</v>
      </c>
      <c r="G7697" s="13">
        <v>6609008.5744</v>
      </c>
      <c r="H7697" s="14">
        <v>7945918482.8810778</v>
      </c>
      <c r="I7697" s="14" t="e">
        <f>=Round(17882.68110000,0)</f>
        <v>#VALUE!</v>
      </c>
      <c r="J7697" s="14" t="e">
        <f>=Round(0.00000000,0)</f>
        <v>#VALUE!</v>
      </c>
    </row>
    <row r="7698">
      <c r="A7698" s="11" t="s">
        <v>32</v>
      </c>
      <c r="B7698" s="12">
        <v>1203.733</v>
      </c>
      <c r="C7698" s="12">
        <v>0</v>
      </c>
      <c r="D7698" s="13">
        <v>0</v>
      </c>
      <c r="E7698" s="12">
        <v>0</v>
      </c>
      <c r="F7698" s="14">
        <v>0</v>
      </c>
      <c r="G7698" s="13">
        <v>6609008.5744</v>
      </c>
      <c r="H7698" s="14">
        <v>7955481718.2882347</v>
      </c>
      <c r="I7698" s="14" t="e">
        <f>=Round(17910.88180000,0)</f>
        <v>#VALUE!</v>
      </c>
      <c r="J7698" s="14" t="e">
        <f>=Round(0.00000000,0)</f>
        <v>#VALUE!</v>
      </c>
    </row>
    <row r="7699">
      <c r="A7699" s="11" t="s">
        <v>33</v>
      </c>
      <c r="B7699" s="12">
        <v>1205.494</v>
      </c>
      <c r="C7699" s="12">
        <v>0</v>
      </c>
      <c r="D7699" s="13">
        <v>0</v>
      </c>
      <c r="E7699" s="12">
        <v>0</v>
      </c>
      <c r="F7699" s="14">
        <v>0</v>
      </c>
      <c r="G7699" s="13">
        <v>6609008.5744</v>
      </c>
      <c r="H7699" s="14">
        <v>7967120182.3877544</v>
      </c>
      <c r="I7699" s="14" t="e">
        <f>=Round(17932.43830000,0)</f>
        <v>#VALUE!</v>
      </c>
      <c r="J7699" s="14" t="e">
        <f>=Round(0.00000000,0)</f>
        <v>#VALUE!</v>
      </c>
    </row>
    <row r="7700">
      <c r="A7700" s="11" t="s">
        <v>34</v>
      </c>
      <c r="B7700" s="12">
        <v>1208.444</v>
      </c>
      <c r="C7700" s="12">
        <v>0</v>
      </c>
      <c r="D7700" s="13">
        <v>0</v>
      </c>
      <c r="E7700" s="12">
        <v>0</v>
      </c>
      <c r="F7700" s="14">
        <v>0</v>
      </c>
      <c r="G7700" s="13">
        <v>6609008.5744</v>
      </c>
      <c r="H7700" s="14">
        <v>7986616757.6822338</v>
      </c>
      <c r="I7700" s="14" t="e">
        <f>=Round(17958.67250000,0)</f>
        <v>#VALUE!</v>
      </c>
      <c r="J7700" s="14" t="e">
        <f>=Round(0.00000000,0)</f>
        <v>#VALUE!</v>
      </c>
    </row>
    <row r="7701">
      <c r="A7701" s="11" t="s">
        <v>35</v>
      </c>
      <c r="B7701" s="12">
        <v>1208.444</v>
      </c>
      <c r="C7701" s="12">
        <v>0</v>
      </c>
      <c r="D7701" s="13">
        <v>0</v>
      </c>
      <c r="E7701" s="12">
        <v>0</v>
      </c>
      <c r="F7701" s="14">
        <v>0</v>
      </c>
      <c r="G7701" s="13">
        <v>6609008.5744</v>
      </c>
      <c r="H7701" s="14">
        <v>7986616757.6822338</v>
      </c>
      <c r="I7701" s="14" t="e">
        <f>=Round(18002.61970000,0)</f>
        <v>#VALUE!</v>
      </c>
      <c r="J7701" s="14" t="e">
        <f>=Round(0.00000000,0)</f>
        <v>#VALUE!</v>
      </c>
    </row>
    <row r="7702">
      <c r="A7702" s="11" t="s">
        <v>36</v>
      </c>
      <c r="B7702" s="12">
        <v>1208.444</v>
      </c>
      <c r="C7702" s="12">
        <v>0</v>
      </c>
      <c r="D7702" s="13">
        <v>0</v>
      </c>
      <c r="E7702" s="12">
        <v>0</v>
      </c>
      <c r="F7702" s="14">
        <v>0</v>
      </c>
      <c r="G7702" s="13">
        <v>6609008.5744</v>
      </c>
      <c r="H7702" s="14">
        <v>7986616757.6822338</v>
      </c>
      <c r="I7702" s="14" t="e">
        <f>=Round(18002.61970000,0)</f>
        <v>#VALUE!</v>
      </c>
      <c r="J7702" s="14" t="e">
        <f>=Round(0.00000000,0)</f>
        <v>#VALUE!</v>
      </c>
    </row>
    <row r="7703">
      <c r="A7703" s="11" t="s">
        <v>37</v>
      </c>
      <c r="B7703" s="12">
        <v>1204.04</v>
      </c>
      <c r="C7703" s="12">
        <v>0</v>
      </c>
      <c r="D7703" s="13">
        <v>0</v>
      </c>
      <c r="E7703" s="12">
        <v>0</v>
      </c>
      <c r="F7703" s="14">
        <v>0</v>
      </c>
      <c r="G7703" s="13">
        <v>6609008.5744</v>
      </c>
      <c r="H7703" s="14">
        <v>7957510683.9205761</v>
      </c>
      <c r="I7703" s="14" t="e">
        <f>=Round(18002.61970000,0)</f>
        <v>#VALUE!</v>
      </c>
      <c r="J7703" s="14" t="e">
        <f>=Round(0.00000000,0)</f>
        <v>#VALUE!</v>
      </c>
    </row>
    <row r="7704">
      <c r="A7704" s="11" t="s">
        <v>38</v>
      </c>
      <c r="B7704" s="12">
        <v>1204.803</v>
      </c>
      <c r="C7704" s="12">
        <v>0</v>
      </c>
      <c r="D7704" s="13">
        <v>0</v>
      </c>
      <c r="E7704" s="12">
        <v>0</v>
      </c>
      <c r="F7704" s="14">
        <v>0</v>
      </c>
      <c r="G7704" s="13">
        <v>6609008.5744</v>
      </c>
      <c r="H7704" s="14">
        <v>7962553357.4628429</v>
      </c>
      <c r="I7704" s="14" t="e">
        <f>=Round(17937.01180000,0)</f>
        <v>#VALUE!</v>
      </c>
      <c r="J7704" s="14" t="e">
        <f>=Round(0.00000000,0)</f>
        <v>#VALUE!</v>
      </c>
    </row>
    <row r="7705">
      <c r="A7705" s="11" t="s">
        <v>39</v>
      </c>
      <c r="B7705" s="12">
        <v>1204.565</v>
      </c>
      <c r="C7705" s="12">
        <v>0</v>
      </c>
      <c r="D7705" s="13">
        <v>0</v>
      </c>
      <c r="E7705" s="12">
        <v>0</v>
      </c>
      <c r="F7705" s="14">
        <v>0</v>
      </c>
      <c r="G7705" s="13">
        <v>6609008.5744</v>
      </c>
      <c r="H7705" s="14">
        <v>7960980413.4221363</v>
      </c>
      <c r="I7705" s="14" t="e">
        <f>=Round(17948.37850000,0)</f>
        <v>#VALUE!</v>
      </c>
      <c r="J7705" s="14" t="e">
        <f>=Round(0.00000000,0)</f>
        <v>#VALUE!</v>
      </c>
    </row>
    <row r="7706">
      <c r="A7706" s="11" t="s">
        <v>40</v>
      </c>
      <c r="B7706" s="12">
        <v>1202.599</v>
      </c>
      <c r="C7706" s="12">
        <v>0</v>
      </c>
      <c r="D7706" s="13">
        <v>0</v>
      </c>
      <c r="E7706" s="12">
        <v>0</v>
      </c>
      <c r="F7706" s="14">
        <v>0</v>
      </c>
      <c r="G7706" s="13">
        <v>6609008.5744</v>
      </c>
      <c r="H7706" s="14">
        <v>7947987102.5648661</v>
      </c>
      <c r="I7706" s="14" t="e">
        <f>=Round(17944.83290000,0)</f>
        <v>#VALUE!</v>
      </c>
      <c r="J7706" s="14" t="e">
        <f>=Round(0.00000000,0)</f>
        <v>#VALUE!</v>
      </c>
    </row>
    <row r="7707">
      <c r="A7707" s="11" t="s">
        <v>41</v>
      </c>
      <c r="B7707" s="12">
        <v>1204.31</v>
      </c>
      <c r="C7707" s="12">
        <v>0</v>
      </c>
      <c r="D7707" s="13">
        <v>0</v>
      </c>
      <c r="E7707" s="12">
        <v>0</v>
      </c>
      <c r="F7707" s="14">
        <v>0</v>
      </c>
      <c r="G7707" s="13">
        <v>6609008.5744</v>
      </c>
      <c r="H7707" s="14">
        <v>7959295116.2356644</v>
      </c>
      <c r="I7707" s="14" t="e">
        <f>=Round(17915.54470000,0)</f>
        <v>#VALUE!</v>
      </c>
      <c r="J7707" s="14" t="e">
        <f>=Round(0.00000000,0)</f>
        <v>#VALUE!</v>
      </c>
    </row>
    <row r="7708">
      <c r="A7708" s="11" t="s">
        <v>42</v>
      </c>
      <c r="B7708" s="12">
        <v>1204.31</v>
      </c>
      <c r="C7708" s="12">
        <v>0</v>
      </c>
      <c r="D7708" s="13">
        <v>0</v>
      </c>
      <c r="E7708" s="12">
        <v>0</v>
      </c>
      <c r="F7708" s="14">
        <v>0</v>
      </c>
      <c r="G7708" s="13">
        <v>6609008.5744</v>
      </c>
      <c r="H7708" s="14">
        <v>7959295116.2356644</v>
      </c>
      <c r="I7708" s="14" t="e">
        <f>=Round(17941.03410000,0)</f>
        <v>#VALUE!</v>
      </c>
      <c r="J7708" s="14" t="e">
        <f>=Round(0.00000000,0)</f>
        <v>#VALUE!</v>
      </c>
    </row>
    <row r="7709">
      <c r="A7709" s="11" t="s">
        <v>43</v>
      </c>
      <c r="B7709" s="12">
        <v>1204.31</v>
      </c>
      <c r="C7709" s="12">
        <v>0</v>
      </c>
      <c r="D7709" s="13">
        <v>0</v>
      </c>
      <c r="E7709" s="12">
        <v>0</v>
      </c>
      <c r="F7709" s="14">
        <v>0</v>
      </c>
      <c r="G7709" s="13">
        <v>6609008.5744</v>
      </c>
      <c r="H7709" s="14">
        <v>7959295116.2356644</v>
      </c>
      <c r="I7709" s="14" t="e">
        <f>=Round(17941.03410000,0)</f>
        <v>#VALUE!</v>
      </c>
      <c r="J7709" s="14" t="e">
        <f>=Round(0.00000000,0)</f>
        <v>#VALUE!</v>
      </c>
    </row>
    <row r="7710">
      <c r="A7710" s="11" t="s">
        <v>44</v>
      </c>
      <c r="B7710" s="12">
        <v>1206.025</v>
      </c>
      <c r="C7710" s="12">
        <v>0</v>
      </c>
      <c r="D7710" s="13">
        <v>0</v>
      </c>
      <c r="E7710" s="12">
        <v>0</v>
      </c>
      <c r="F7710" s="14">
        <v>0</v>
      </c>
      <c r="G7710" s="13">
        <v>6609008.5744</v>
      </c>
      <c r="H7710" s="14">
        <v>7970629565.94076</v>
      </c>
      <c r="I7710" s="14" t="e">
        <f>=Round(17941.03410000,0)</f>
        <v>#VALUE!</v>
      </c>
      <c r="J7710" s="14" t="e">
        <f>=Round(0.00000000,0)</f>
        <v>#VALUE!</v>
      </c>
    </row>
    <row r="7711">
      <c r="A7711" s="11" t="s">
        <v>45</v>
      </c>
      <c r="B7711" s="12">
        <v>1209.077</v>
      </c>
      <c r="C7711" s="12">
        <v>0</v>
      </c>
      <c r="D7711" s="13">
        <v>0</v>
      </c>
      <c r="E7711" s="12">
        <v>0</v>
      </c>
      <c r="F7711" s="14">
        <v>0</v>
      </c>
      <c r="G7711" s="13">
        <v>6609008.5744</v>
      </c>
      <c r="H7711" s="14">
        <v>7990800260.1098289</v>
      </c>
      <c r="I7711" s="14" t="e">
        <f>=Round(17966.58300000,0)</f>
        <v>#VALUE!</v>
      </c>
      <c r="J7711" s="14" t="e">
        <f>=Round(0.00000000,0)</f>
        <v>#VALUE!</v>
      </c>
    </row>
    <row r="7712">
      <c r="A7712" s="11" t="s">
        <v>46</v>
      </c>
      <c r="B7712" s="12">
        <v>1215.174</v>
      </c>
      <c r="C7712" s="12">
        <v>0</v>
      </c>
      <c r="D7712" s="13">
        <v>0</v>
      </c>
      <c r="E7712" s="12">
        <v>0</v>
      </c>
      <c r="F7712" s="14">
        <v>0</v>
      </c>
      <c r="G7712" s="13">
        <v>6609008.5744</v>
      </c>
      <c r="H7712" s="14">
        <v>8031095385.3879461</v>
      </c>
      <c r="I7712" s="14" t="e">
        <f>=Round(18012.04980000,0)</f>
        <v>#VALUE!</v>
      </c>
      <c r="J7712" s="14" t="e">
        <f>=Round(0.00000000,0)</f>
        <v>#VALUE!</v>
      </c>
    </row>
    <row r="7713">
      <c r="A7713" s="11" t="s">
        <v>47</v>
      </c>
      <c r="B7713" s="12">
        <v>1217.599</v>
      </c>
      <c r="C7713" s="12">
        <v>0</v>
      </c>
      <c r="D7713" s="13">
        <v>0</v>
      </c>
      <c r="E7713" s="12">
        <v>0</v>
      </c>
      <c r="F7713" s="14">
        <v>0</v>
      </c>
      <c r="G7713" s="13">
        <v>6609008.5744</v>
      </c>
      <c r="H7713" s="14">
        <v>8047122231.1808662</v>
      </c>
      <c r="I7713" s="14" t="e">
        <f>=Round(18102.87890000,0)</f>
        <v>#VALUE!</v>
      </c>
      <c r="J7713" s="14" t="e">
        <f>=Round(0.00000000,0)</f>
        <v>#VALUE!</v>
      </c>
    </row>
    <row r="7714">
      <c r="A7714" s="11" t="s">
        <v>48</v>
      </c>
      <c r="B7714" s="12">
        <v>1210.964</v>
      </c>
      <c r="C7714" s="12">
        <v>0</v>
      </c>
      <c r="D7714" s="13">
        <v>0</v>
      </c>
      <c r="E7714" s="12">
        <v>0</v>
      </c>
      <c r="F7714" s="14">
        <v>0</v>
      </c>
      <c r="G7714" s="13">
        <v>6609008.5744</v>
      </c>
      <c r="H7714" s="14">
        <v>8003271459.2897224</v>
      </c>
      <c r="I7714" s="14" t="e">
        <f>=Round(18139.00500000,0)</f>
        <v>#VALUE!</v>
      </c>
      <c r="J7714" s="14" t="e">
        <f>=Round(0.00000000,0)</f>
        <v>#VALUE!</v>
      </c>
    </row>
    <row r="7715">
      <c r="A7715" s="11" t="s">
        <v>49</v>
      </c>
      <c r="B7715" s="12">
        <v>1210.964</v>
      </c>
      <c r="C7715" s="12">
        <v>0</v>
      </c>
      <c r="D7715" s="13">
        <v>0</v>
      </c>
      <c r="E7715" s="12">
        <v>0</v>
      </c>
      <c r="F7715" s="14">
        <v>0</v>
      </c>
      <c r="G7715" s="13">
        <v>6609008.5744</v>
      </c>
      <c r="H7715" s="14">
        <v>8003271459.2897224</v>
      </c>
      <c r="I7715" s="14" t="e">
        <f>=Round(18040.16110000,0)</f>
        <v>#VALUE!</v>
      </c>
      <c r="J7715" s="14" t="e">
        <f>=Round(0.00000000,0)</f>
        <v>#VALUE!</v>
      </c>
    </row>
    <row r="7716">
      <c r="A7716" s="11" t="s">
        <v>50</v>
      </c>
      <c r="B7716" s="12">
        <v>1210.964</v>
      </c>
      <c r="C7716" s="12">
        <v>0</v>
      </c>
      <c r="D7716" s="13">
        <v>0</v>
      </c>
      <c r="E7716" s="12">
        <v>0</v>
      </c>
      <c r="F7716" s="14">
        <v>0</v>
      </c>
      <c r="G7716" s="13">
        <v>6609008.5744</v>
      </c>
      <c r="H7716" s="14">
        <v>8003271459.2897224</v>
      </c>
      <c r="I7716" s="14" t="e">
        <f>=Round(18040.16110000,0)</f>
        <v>#VALUE!</v>
      </c>
      <c r="J7716" s="14" t="e">
        <f>=Round(0.00000000,0)</f>
        <v>#VALUE!</v>
      </c>
    </row>
    <row r="7717">
      <c r="A7717" s="11" t="s">
        <v>51</v>
      </c>
      <c r="B7717" s="12">
        <v>1207.071</v>
      </c>
      <c r="C7717" s="12">
        <v>0</v>
      </c>
      <c r="D7717" s="13">
        <v>0</v>
      </c>
      <c r="E7717" s="12">
        <v>0</v>
      </c>
      <c r="F7717" s="14">
        <v>0</v>
      </c>
      <c r="G7717" s="13">
        <v>6609008.5744</v>
      </c>
      <c r="H7717" s="14">
        <v>7977542588.9095821</v>
      </c>
      <c r="I7717" s="14" t="e">
        <f>=Round(18040.16110000,0)</f>
        <v>#VALUE!</v>
      </c>
      <c r="J7717" s="14" t="e">
        <f>=Round(0.00000000,0)</f>
        <v>#VALUE!</v>
      </c>
    </row>
    <row r="7718">
      <c r="A7718" s="11" t="s">
        <v>52</v>
      </c>
      <c r="B7718" s="12">
        <v>1211.462</v>
      </c>
      <c r="C7718" s="12">
        <v>0</v>
      </c>
      <c r="D7718" s="13">
        <v>0</v>
      </c>
      <c r="E7718" s="12">
        <v>0</v>
      </c>
      <c r="F7718" s="14">
        <v>0</v>
      </c>
      <c r="G7718" s="13">
        <v>6609008.5744</v>
      </c>
      <c r="H7718" s="14">
        <v>8006562745.5597734</v>
      </c>
      <c r="I7718" s="14" t="e">
        <f>=Round(17982.16570000,0)</f>
        <v>#VALUE!</v>
      </c>
      <c r="J7718" s="14" t="e">
        <f>=Round(0.00000000,0)</f>
        <v>#VALUE!</v>
      </c>
    </row>
    <row r="7719">
      <c r="A7719" s="11" t="s">
        <v>53</v>
      </c>
      <c r="B7719" s="12">
        <v>1203.293</v>
      </c>
      <c r="C7719" s="12">
        <v>0</v>
      </c>
      <c r="D7719" s="13">
        <v>0</v>
      </c>
      <c r="E7719" s="12">
        <v>0</v>
      </c>
      <c r="F7719" s="14">
        <v>0</v>
      </c>
      <c r="G7719" s="13">
        <v>6609008.5744</v>
      </c>
      <c r="H7719" s="14">
        <v>7952573754.5154991</v>
      </c>
      <c r="I7719" s="14" t="e">
        <f>=Round(18047.58000000,0)</f>
        <v>#VALUE!</v>
      </c>
      <c r="J7719" s="14" t="e">
        <f>=Round(0.00000000,0)</f>
        <v>#VALUE!</v>
      </c>
    </row>
    <row r="7720">
      <c r="A7720" s="11" t="s">
        <v>54</v>
      </c>
      <c r="B7720" s="12">
        <v>1194.392</v>
      </c>
      <c r="C7720" s="12">
        <v>0</v>
      </c>
      <c r="D7720" s="13">
        <v>0</v>
      </c>
      <c r="E7720" s="12">
        <v>0</v>
      </c>
      <c r="F7720" s="14">
        <v>0</v>
      </c>
      <c r="G7720" s="13">
        <v>6609008.5744</v>
      </c>
      <c r="H7720" s="14">
        <v>7893746969.1947651</v>
      </c>
      <c r="I7720" s="14" t="e">
        <f>=Round(17925.88350000,0)</f>
        <v>#VALUE!</v>
      </c>
      <c r="J7720" s="14" t="e">
        <f>=Round(0.00000000,0)</f>
        <v>#VALUE!</v>
      </c>
    </row>
    <row r="7721">
      <c r="A7721" s="11" t="s">
        <v>55</v>
      </c>
      <c r="B7721" s="12">
        <v>1186.637</v>
      </c>
      <c r="C7721" s="12">
        <v>0</v>
      </c>
      <c r="D7721" s="13">
        <v>0</v>
      </c>
      <c r="E7721" s="12">
        <v>0</v>
      </c>
      <c r="F7721" s="14">
        <v>0</v>
      </c>
      <c r="G7721" s="13">
        <v>6609008.5744</v>
      </c>
      <c r="H7721" s="14">
        <v>7842494107.7002926</v>
      </c>
      <c r="I7721" s="14" t="e">
        <f>=Round(17793.28210000,0)</f>
        <v>#VALUE!</v>
      </c>
      <c r="J7721" s="14" t="e">
        <f>=Round(0.00000000,0)</f>
        <v>#VALUE!</v>
      </c>
    </row>
    <row r="7722" ht="-1">
      <c r="A7722" s="15"/>
      <c r="B7722" s="16" t="s">
        <v>56</v>
      </c>
      <c r="C7722" s="15"/>
      <c r="D7722" s="15"/>
      <c r="E7722" s="15"/>
      <c r="F7722" s="15"/>
      <c r="G7722" s="15"/>
      <c r="H7722" s="15"/>
      <c r="I7722" s="17" t="e">
        <f>=Round(SUM(I7696:I7721),0)</f>
        <v>#VALUE!</v>
      </c>
      <c r="J7722" s="17" t="e">
        <f>=Round(SUM(J7696:J7721),0)</f>
        <v>#VALUE!</v>
      </c>
    </row>
    <row r="7723">
      <c r="A7723" s="1" t="s">
        <v>0</v>
      </c>
      <c r="B7723" s="1"/>
      <c r="C7723" s="1"/>
      <c r="D7723" s="1"/>
    </row>
    <row r="7724">
      <c r="A7724" s="0" t="s">
        <v>1</v>
      </c>
      <c r="C7724" s="0" t="s">
        <v>268</v>
      </c>
      <c r="H7724" s="2" t="s">
        <v>3</v>
      </c>
    </row>
    <row r="7725">
      <c r="A7725" s="0" t="s">
        <v>4</v>
      </c>
      <c r="C7725" s="0" t="s">
        <v>273</v>
      </c>
      <c r="H7725" s="3" t="s">
        <v>6</v>
      </c>
    </row>
    <row r="7726">
      <c r="A7726" s="0" t="s">
        <v>7</v>
      </c>
      <c r="C7726" s="4" t="s">
        <v>270</v>
      </c>
      <c r="H7726" s="2" t="s">
        <v>9</v>
      </c>
    </row>
    <row r="7727">
      <c r="A7727" s="0" t="s">
        <v>10</v>
      </c>
      <c r="C7727" s="4" t="s">
        <v>11</v>
      </c>
      <c r="H7727" s="2" t="s">
        <v>12</v>
      </c>
    </row>
    <row r="7728">
      <c r="A7728" s="0" t="s">
        <v>13</v>
      </c>
      <c r="C7728" s="0" t="s">
        <v>14</v>
      </c>
    </row>
    <row r="7729">
      <c r="A7729" s="0" t="s">
        <v>15</v>
      </c>
      <c r="C7729" s="0" t="s">
        <v>16</v>
      </c>
    </row>
    <row r="7730">
      <c r="A7730" s="0" t="s">
        <v>17</v>
      </c>
      <c r="C7730" s="0" t="s">
        <v>18</v>
      </c>
    </row>
    <row r="7733">
      <c r="A7733" s="5" t="s">
        <v>19</v>
      </c>
      <c r="B7733" s="5" t="s">
        <v>20</v>
      </c>
      <c r="C7733" s="7" t="s">
        <v>21</v>
      </c>
      <c r="D7733" s="9"/>
      <c r="E7733" s="7" t="s">
        <v>22</v>
      </c>
      <c r="F7733" s="9"/>
      <c r="G7733" s="5" t="s">
        <v>23</v>
      </c>
      <c r="H7733" s="5" t="s">
        <v>24</v>
      </c>
      <c r="I7733" s="5" t="s">
        <v>271</v>
      </c>
      <c r="J7733" s="5" t="s">
        <v>26</v>
      </c>
    </row>
    <row r="7734">
      <c r="A7734" s="6"/>
      <c r="B7734" s="6"/>
      <c r="C7734" s="8" t="s">
        <v>27</v>
      </c>
      <c r="D7734" s="8" t="s">
        <v>28</v>
      </c>
      <c r="E7734" s="8" t="s">
        <v>27</v>
      </c>
      <c r="F7734" s="8" t="s">
        <v>28</v>
      </c>
      <c r="G7734" s="6"/>
      <c r="H7734" s="6"/>
      <c r="I7734" s="10" t="s">
        <v>29</v>
      </c>
      <c r="J7734" s="6"/>
    </row>
    <row r="7735">
      <c r="A7735" s="11" t="s">
        <v>30</v>
      </c>
      <c r="B7735" s="12">
        <v>1200.393</v>
      </c>
      <c r="C7735" s="12">
        <v>0</v>
      </c>
      <c r="D7735" s="13">
        <v>0</v>
      </c>
      <c r="E7735" s="12">
        <v>0</v>
      </c>
      <c r="F7735" s="14">
        <v>0</v>
      </c>
      <c r="G7735" s="13">
        <v>12391891.0769</v>
      </c>
      <c r="H7735" s="14">
        <v>14875139305.473223</v>
      </c>
      <c r="I7735" s="14" t="e">
        <f>=Round(33651.72920000,0)</f>
        <v>#VALUE!</v>
      </c>
      <c r="J7735" s="14" t="e">
        <f>=Round(0.00000000,0)</f>
        <v>#VALUE!</v>
      </c>
    </row>
    <row r="7736">
      <c r="A7736" s="11" t="s">
        <v>31</v>
      </c>
      <c r="B7736" s="12">
        <v>1202.286</v>
      </c>
      <c r="C7736" s="12">
        <v>0</v>
      </c>
      <c r="D7736" s="13">
        <v>0</v>
      </c>
      <c r="E7736" s="12">
        <v>0</v>
      </c>
      <c r="F7736" s="14">
        <v>0</v>
      </c>
      <c r="G7736" s="13">
        <v>12391891.0769</v>
      </c>
      <c r="H7736" s="14">
        <v>14898597155.281792</v>
      </c>
      <c r="I7736" s="14" t="e">
        <f>=Round(33530.02710000,0)</f>
        <v>#VALUE!</v>
      </c>
      <c r="J7736" s="14" t="e">
        <f>=Round(0.00000000,0)</f>
        <v>#VALUE!</v>
      </c>
    </row>
    <row r="7737">
      <c r="A7737" s="11" t="s">
        <v>32</v>
      </c>
      <c r="B7737" s="12">
        <v>1203.733</v>
      </c>
      <c r="C7737" s="12">
        <v>0</v>
      </c>
      <c r="D7737" s="13">
        <v>0</v>
      </c>
      <c r="E7737" s="12">
        <v>0</v>
      </c>
      <c r="F7737" s="14">
        <v>0</v>
      </c>
      <c r="G7737" s="13">
        <v>12391891.0769</v>
      </c>
      <c r="H7737" s="14">
        <v>14916528221.670069</v>
      </c>
      <c r="I7737" s="14" t="e">
        <f>=Round(33582.90340000,0)</f>
        <v>#VALUE!</v>
      </c>
      <c r="J7737" s="14" t="e">
        <f>=Round(0.00000000,0)</f>
        <v>#VALUE!</v>
      </c>
    </row>
    <row r="7738">
      <c r="A7738" s="11" t="s">
        <v>33</v>
      </c>
      <c r="B7738" s="12">
        <v>1205.494</v>
      </c>
      <c r="C7738" s="12">
        <v>0</v>
      </c>
      <c r="D7738" s="13">
        <v>0</v>
      </c>
      <c r="E7738" s="12">
        <v>0</v>
      </c>
      <c r="F7738" s="14">
        <v>0</v>
      </c>
      <c r="G7738" s="13">
        <v>12391891.0769</v>
      </c>
      <c r="H7738" s="14">
        <v>14938350341.856487</v>
      </c>
      <c r="I7738" s="14" t="e">
        <f>=Round(33623.32180000,0)</f>
        <v>#VALUE!</v>
      </c>
      <c r="J7738" s="14" t="e">
        <f>=Round(0.00000000,0)</f>
        <v>#VALUE!</v>
      </c>
    </row>
    <row r="7739">
      <c r="A7739" s="11" t="s">
        <v>34</v>
      </c>
      <c r="B7739" s="12">
        <v>1208.444</v>
      </c>
      <c r="C7739" s="12">
        <v>0</v>
      </c>
      <c r="D7739" s="13">
        <v>0</v>
      </c>
      <c r="E7739" s="12">
        <v>0</v>
      </c>
      <c r="F7739" s="14">
        <v>0</v>
      </c>
      <c r="G7739" s="13">
        <v>12391891.0769</v>
      </c>
      <c r="H7739" s="14">
        <v>14974906420.533344</v>
      </c>
      <c r="I7739" s="14" t="e">
        <f>=Round(33672.51100000,0)</f>
        <v>#VALUE!</v>
      </c>
      <c r="J7739" s="14" t="e">
        <f>=Round(0.00000000,0)</f>
        <v>#VALUE!</v>
      </c>
    </row>
    <row r="7740">
      <c r="A7740" s="11" t="s">
        <v>35</v>
      </c>
      <c r="B7740" s="12">
        <v>1208.444</v>
      </c>
      <c r="C7740" s="12">
        <v>0</v>
      </c>
      <c r="D7740" s="13">
        <v>0</v>
      </c>
      <c r="E7740" s="12">
        <v>0</v>
      </c>
      <c r="F7740" s="14">
        <v>0</v>
      </c>
      <c r="G7740" s="13">
        <v>12391891.0769</v>
      </c>
      <c r="H7740" s="14">
        <v>14974906420.533344</v>
      </c>
      <c r="I7740" s="14" t="e">
        <f>=Round(33754.91200000,0)</f>
        <v>#VALUE!</v>
      </c>
      <c r="J7740" s="14" t="e">
        <f>=Round(0.00000000,0)</f>
        <v>#VALUE!</v>
      </c>
    </row>
    <row r="7741">
      <c r="A7741" s="11" t="s">
        <v>36</v>
      </c>
      <c r="B7741" s="12">
        <v>1208.444</v>
      </c>
      <c r="C7741" s="12">
        <v>0</v>
      </c>
      <c r="D7741" s="13">
        <v>0</v>
      </c>
      <c r="E7741" s="12">
        <v>0</v>
      </c>
      <c r="F7741" s="14">
        <v>0</v>
      </c>
      <c r="G7741" s="13">
        <v>12391891.0769</v>
      </c>
      <c r="H7741" s="14">
        <v>14974906420.533344</v>
      </c>
      <c r="I7741" s="14" t="e">
        <f>=Round(33754.91200000,0)</f>
        <v>#VALUE!</v>
      </c>
      <c r="J7741" s="14" t="e">
        <f>=Round(0.00000000,0)</f>
        <v>#VALUE!</v>
      </c>
    </row>
    <row r="7742">
      <c r="A7742" s="11" t="s">
        <v>37</v>
      </c>
      <c r="B7742" s="12">
        <v>1204.04</v>
      </c>
      <c r="C7742" s="12">
        <v>0</v>
      </c>
      <c r="D7742" s="13">
        <v>0</v>
      </c>
      <c r="E7742" s="12">
        <v>0</v>
      </c>
      <c r="F7742" s="14">
        <v>0</v>
      </c>
      <c r="G7742" s="13">
        <v>12391891.0769</v>
      </c>
      <c r="H7742" s="14">
        <v>14920332532.230677</v>
      </c>
      <c r="I7742" s="14" t="e">
        <f>=Round(33754.91200000,0)</f>
        <v>#VALUE!</v>
      </c>
      <c r="J7742" s="14" t="e">
        <f>=Round(0.00000000,0)</f>
        <v>#VALUE!</v>
      </c>
    </row>
    <row r="7743">
      <c r="A7743" s="11" t="s">
        <v>38</v>
      </c>
      <c r="B7743" s="12">
        <v>1204.803</v>
      </c>
      <c r="C7743" s="12">
        <v>0</v>
      </c>
      <c r="D7743" s="13">
        <v>0</v>
      </c>
      <c r="E7743" s="12">
        <v>0</v>
      </c>
      <c r="F7743" s="14">
        <v>0</v>
      </c>
      <c r="G7743" s="13">
        <v>12391891.0769</v>
      </c>
      <c r="H7743" s="14">
        <v>14929787545.122353</v>
      </c>
      <c r="I7743" s="14" t="e">
        <f>=Round(33631.89710000,0)</f>
        <v>#VALUE!</v>
      </c>
      <c r="J7743" s="14" t="e">
        <f>=Round(0.00000000,0)</f>
        <v>#VALUE!</v>
      </c>
    </row>
    <row r="7744">
      <c r="A7744" s="11" t="s">
        <v>39</v>
      </c>
      <c r="B7744" s="12">
        <v>1204.565</v>
      </c>
      <c r="C7744" s="12">
        <v>0</v>
      </c>
      <c r="D7744" s="13">
        <v>0</v>
      </c>
      <c r="E7744" s="12">
        <v>0</v>
      </c>
      <c r="F7744" s="14">
        <v>0</v>
      </c>
      <c r="G7744" s="13">
        <v>12391891.0769</v>
      </c>
      <c r="H7744" s="14">
        <v>14926838275.046047</v>
      </c>
      <c r="I7744" s="14" t="e">
        <f>=Round(33653.20960000,0)</f>
        <v>#VALUE!</v>
      </c>
      <c r="J7744" s="14" t="e">
        <f>=Round(0.00000000,0)</f>
        <v>#VALUE!</v>
      </c>
    </row>
    <row r="7745">
      <c r="A7745" s="11" t="s">
        <v>40</v>
      </c>
      <c r="B7745" s="12">
        <v>1202.599</v>
      </c>
      <c r="C7745" s="12">
        <v>0</v>
      </c>
      <c r="D7745" s="13">
        <v>0</v>
      </c>
      <c r="E7745" s="12">
        <v>0</v>
      </c>
      <c r="F7745" s="14">
        <v>0</v>
      </c>
      <c r="G7745" s="13">
        <v>12391891.0769</v>
      </c>
      <c r="H7745" s="14">
        <v>14902475817.188864</v>
      </c>
      <c r="I7745" s="14" t="e">
        <f>=Round(33646.56170000,0)</f>
        <v>#VALUE!</v>
      </c>
      <c r="J7745" s="14" t="e">
        <f>=Round(0.00000000,0)</f>
        <v>#VALUE!</v>
      </c>
    </row>
    <row r="7746">
      <c r="A7746" s="11" t="s">
        <v>41</v>
      </c>
      <c r="B7746" s="12">
        <v>1204.31</v>
      </c>
      <c r="C7746" s="12">
        <v>0</v>
      </c>
      <c r="D7746" s="13">
        <v>0</v>
      </c>
      <c r="E7746" s="12">
        <v>0</v>
      </c>
      <c r="F7746" s="14">
        <v>0</v>
      </c>
      <c r="G7746" s="13">
        <v>12391891.0769</v>
      </c>
      <c r="H7746" s="14">
        <v>14923678342.82144</v>
      </c>
      <c r="I7746" s="14" t="e">
        <f>=Round(33591.64630000,0)</f>
        <v>#VALUE!</v>
      </c>
      <c r="J7746" s="14" t="e">
        <f>=Round(0.00000000,0)</f>
        <v>#VALUE!</v>
      </c>
    </row>
    <row r="7747">
      <c r="A7747" s="11" t="s">
        <v>42</v>
      </c>
      <c r="B7747" s="12">
        <v>1204.31</v>
      </c>
      <c r="C7747" s="12">
        <v>0</v>
      </c>
      <c r="D7747" s="13">
        <v>0</v>
      </c>
      <c r="E7747" s="12">
        <v>0</v>
      </c>
      <c r="F7747" s="14">
        <v>0</v>
      </c>
      <c r="G7747" s="13">
        <v>12391891.0769</v>
      </c>
      <c r="H7747" s="14">
        <v>14923678342.82144</v>
      </c>
      <c r="I7747" s="14" t="e">
        <f>=Round(33639.43890000,0)</f>
        <v>#VALUE!</v>
      </c>
      <c r="J7747" s="14" t="e">
        <f>=Round(0.00000000,0)</f>
        <v>#VALUE!</v>
      </c>
    </row>
    <row r="7748">
      <c r="A7748" s="11" t="s">
        <v>43</v>
      </c>
      <c r="B7748" s="12">
        <v>1204.31</v>
      </c>
      <c r="C7748" s="12">
        <v>0</v>
      </c>
      <c r="D7748" s="13">
        <v>0</v>
      </c>
      <c r="E7748" s="12">
        <v>0</v>
      </c>
      <c r="F7748" s="14">
        <v>0</v>
      </c>
      <c r="G7748" s="13">
        <v>12391891.0769</v>
      </c>
      <c r="H7748" s="14">
        <v>14923678342.82144</v>
      </c>
      <c r="I7748" s="14" t="e">
        <f>=Round(33639.43890000,0)</f>
        <v>#VALUE!</v>
      </c>
      <c r="J7748" s="14" t="e">
        <f>=Round(0.00000000,0)</f>
        <v>#VALUE!</v>
      </c>
    </row>
    <row r="7749">
      <c r="A7749" s="11" t="s">
        <v>44</v>
      </c>
      <c r="B7749" s="12">
        <v>1206.025</v>
      </c>
      <c r="C7749" s="12">
        <v>0</v>
      </c>
      <c r="D7749" s="13">
        <v>0</v>
      </c>
      <c r="E7749" s="12">
        <v>0</v>
      </c>
      <c r="F7749" s="14">
        <v>0</v>
      </c>
      <c r="G7749" s="13">
        <v>12391891.0769</v>
      </c>
      <c r="H7749" s="14">
        <v>14944930436.018324</v>
      </c>
      <c r="I7749" s="14" t="e">
        <f>=Round(33639.43890000,0)</f>
        <v>#VALUE!</v>
      </c>
      <c r="J7749" s="14" t="e">
        <f>=Round(0.00000000,0)</f>
        <v>#VALUE!</v>
      </c>
    </row>
    <row r="7750">
      <c r="A7750" s="11" t="s">
        <v>45</v>
      </c>
      <c r="B7750" s="12">
        <v>1209.077</v>
      </c>
      <c r="C7750" s="12">
        <v>0</v>
      </c>
      <c r="D7750" s="13">
        <v>0</v>
      </c>
      <c r="E7750" s="12">
        <v>0</v>
      </c>
      <c r="F7750" s="14">
        <v>0</v>
      </c>
      <c r="G7750" s="13">
        <v>12391891.0769</v>
      </c>
      <c r="H7750" s="14">
        <v>14982750487.58502</v>
      </c>
      <c r="I7750" s="14" t="e">
        <f>=Round(33687.34320000,0)</f>
        <v>#VALUE!</v>
      </c>
      <c r="J7750" s="14" t="e">
        <f>=Round(0.00000000,0)</f>
        <v>#VALUE!</v>
      </c>
    </row>
    <row r="7751">
      <c r="A7751" s="11" t="s">
        <v>46</v>
      </c>
      <c r="B7751" s="12">
        <v>1215.174</v>
      </c>
      <c r="C7751" s="12">
        <v>0</v>
      </c>
      <c r="D7751" s="13">
        <v>0</v>
      </c>
      <c r="E7751" s="12">
        <v>0</v>
      </c>
      <c r="F7751" s="14">
        <v>0</v>
      </c>
      <c r="G7751" s="13">
        <v>12391891.0769</v>
      </c>
      <c r="H7751" s="14">
        <v>15058303847.480881</v>
      </c>
      <c r="I7751" s="14" t="e">
        <f>=Round(33772.59330000,0)</f>
        <v>#VALUE!</v>
      </c>
      <c r="J7751" s="14" t="e">
        <f>=Round(0.00000000,0)</f>
        <v>#VALUE!</v>
      </c>
    </row>
    <row r="7752">
      <c r="A7752" s="11" t="s">
        <v>47</v>
      </c>
      <c r="B7752" s="12">
        <v>1217.599</v>
      </c>
      <c r="C7752" s="12">
        <v>0</v>
      </c>
      <c r="D7752" s="13">
        <v>0</v>
      </c>
      <c r="E7752" s="12">
        <v>0</v>
      </c>
      <c r="F7752" s="14">
        <v>0</v>
      </c>
      <c r="G7752" s="13">
        <v>12391891.0769</v>
      </c>
      <c r="H7752" s="14">
        <v>15088354183.342363</v>
      </c>
      <c r="I7752" s="14" t="e">
        <f>=Round(33942.89800000,0)</f>
        <v>#VALUE!</v>
      </c>
      <c r="J7752" s="14" t="e">
        <f>=Round(0.00000000,0)</f>
        <v>#VALUE!</v>
      </c>
    </row>
    <row r="7753">
      <c r="A7753" s="11" t="s">
        <v>48</v>
      </c>
      <c r="B7753" s="12">
        <v>1210.964</v>
      </c>
      <c r="C7753" s="12">
        <v>0</v>
      </c>
      <c r="D7753" s="13">
        <v>0</v>
      </c>
      <c r="E7753" s="12">
        <v>0</v>
      </c>
      <c r="F7753" s="14">
        <v>0</v>
      </c>
      <c r="G7753" s="13">
        <v>12391891.0769</v>
      </c>
      <c r="H7753" s="14">
        <v>15006133986.047133</v>
      </c>
      <c r="I7753" s="14" t="e">
        <f>=Round(34010.63440000,0)</f>
        <v>#VALUE!</v>
      </c>
      <c r="J7753" s="14" t="e">
        <f>=Round(0.00000000,0)</f>
        <v>#VALUE!</v>
      </c>
    </row>
    <row r="7754">
      <c r="A7754" s="11" t="s">
        <v>49</v>
      </c>
      <c r="B7754" s="12">
        <v>1210.964</v>
      </c>
      <c r="C7754" s="12">
        <v>0</v>
      </c>
      <c r="D7754" s="13">
        <v>0</v>
      </c>
      <c r="E7754" s="12">
        <v>0</v>
      </c>
      <c r="F7754" s="14">
        <v>0</v>
      </c>
      <c r="G7754" s="13">
        <v>12391891.0769</v>
      </c>
      <c r="H7754" s="14">
        <v>15006133986.047133</v>
      </c>
      <c r="I7754" s="14" t="e">
        <f>=Round(33825.30200000,0)</f>
        <v>#VALUE!</v>
      </c>
      <c r="J7754" s="14" t="e">
        <f>=Round(0.00000000,0)</f>
        <v>#VALUE!</v>
      </c>
    </row>
    <row r="7755">
      <c r="A7755" s="11" t="s">
        <v>50</v>
      </c>
      <c r="B7755" s="12">
        <v>1210.964</v>
      </c>
      <c r="C7755" s="12">
        <v>0</v>
      </c>
      <c r="D7755" s="13">
        <v>0</v>
      </c>
      <c r="E7755" s="12">
        <v>0</v>
      </c>
      <c r="F7755" s="14">
        <v>0</v>
      </c>
      <c r="G7755" s="13">
        <v>12391891.0769</v>
      </c>
      <c r="H7755" s="14">
        <v>15006133986.047133</v>
      </c>
      <c r="I7755" s="14" t="e">
        <f>=Round(33825.30200000,0)</f>
        <v>#VALUE!</v>
      </c>
      <c r="J7755" s="14" t="e">
        <f>=Round(0.00000000,0)</f>
        <v>#VALUE!</v>
      </c>
    </row>
    <row r="7756">
      <c r="A7756" s="11" t="s">
        <v>51</v>
      </c>
      <c r="B7756" s="12">
        <v>1207.071</v>
      </c>
      <c r="C7756" s="12">
        <v>0</v>
      </c>
      <c r="D7756" s="13">
        <v>0</v>
      </c>
      <c r="E7756" s="12">
        <v>0</v>
      </c>
      <c r="F7756" s="14">
        <v>0</v>
      </c>
      <c r="G7756" s="13">
        <v>12391891.0769</v>
      </c>
      <c r="H7756" s="14">
        <v>14957892354.084761</v>
      </c>
      <c r="I7756" s="14" t="e">
        <f>=Round(33825.30200000,0)</f>
        <v>#VALUE!</v>
      </c>
      <c r="J7756" s="14" t="e">
        <f>=Round(0.00000000,0)</f>
        <v>#VALUE!</v>
      </c>
    </row>
    <row r="7757">
      <c r="A7757" s="11" t="s">
        <v>52</v>
      </c>
      <c r="B7757" s="12">
        <v>1211.462</v>
      </c>
      <c r="C7757" s="12">
        <v>0</v>
      </c>
      <c r="D7757" s="13">
        <v>0</v>
      </c>
      <c r="E7757" s="12">
        <v>0</v>
      </c>
      <c r="F7757" s="14">
        <v>0</v>
      </c>
      <c r="G7757" s="13">
        <v>12391891.0769</v>
      </c>
      <c r="H7757" s="14">
        <v>15012305147.803429</v>
      </c>
      <c r="I7757" s="14" t="e">
        <f>=Round(33716.56060000,0)</f>
        <v>#VALUE!</v>
      </c>
      <c r="J7757" s="14" t="e">
        <f>=Round(0.00000000,0)</f>
        <v>#VALUE!</v>
      </c>
    </row>
    <row r="7758">
      <c r="A7758" s="11" t="s">
        <v>53</v>
      </c>
      <c r="B7758" s="12">
        <v>1203.293</v>
      </c>
      <c r="C7758" s="12">
        <v>0</v>
      </c>
      <c r="D7758" s="13">
        <v>0</v>
      </c>
      <c r="E7758" s="12">
        <v>0</v>
      </c>
      <c r="F7758" s="14">
        <v>0</v>
      </c>
      <c r="G7758" s="13">
        <v>12391891.0769</v>
      </c>
      <c r="H7758" s="14">
        <v>14911075789.596232</v>
      </c>
      <c r="I7758" s="14" t="e">
        <f>=Round(33839.21240000,0)</f>
        <v>#VALUE!</v>
      </c>
      <c r="J7758" s="14" t="e">
        <f>=Round(0.00000000,0)</f>
        <v>#VALUE!</v>
      </c>
    </row>
    <row r="7759">
      <c r="A7759" s="11" t="s">
        <v>54</v>
      </c>
      <c r="B7759" s="12">
        <v>1194.392</v>
      </c>
      <c r="C7759" s="12">
        <v>0</v>
      </c>
      <c r="D7759" s="13">
        <v>0</v>
      </c>
      <c r="E7759" s="12">
        <v>0</v>
      </c>
      <c r="F7759" s="14">
        <v>0</v>
      </c>
      <c r="G7759" s="13">
        <v>12391891.0769</v>
      </c>
      <c r="H7759" s="14">
        <v>14800775567.120745</v>
      </c>
      <c r="I7759" s="14" t="e">
        <f>=Round(33611.03150000,0)</f>
        <v>#VALUE!</v>
      </c>
      <c r="J7759" s="14" t="e">
        <f>=Round(0.00000000,0)</f>
        <v>#VALUE!</v>
      </c>
    </row>
    <row r="7760">
      <c r="A7760" s="11" t="s">
        <v>55</v>
      </c>
      <c r="B7760" s="12">
        <v>1186.637</v>
      </c>
      <c r="C7760" s="12">
        <v>0</v>
      </c>
      <c r="D7760" s="13">
        <v>0</v>
      </c>
      <c r="E7760" s="12">
        <v>0</v>
      </c>
      <c r="F7760" s="14">
        <v>0</v>
      </c>
      <c r="G7760" s="13">
        <v>12391891.0769</v>
      </c>
      <c r="H7760" s="14">
        <v>14704676451.819384</v>
      </c>
      <c r="I7760" s="14" t="e">
        <f>=Round(33362.40390000,0)</f>
        <v>#VALUE!</v>
      </c>
      <c r="J7760" s="14" t="e">
        <f>=Round(0.00000000,0)</f>
        <v>#VALUE!</v>
      </c>
    </row>
    <row r="7761" ht="-1">
      <c r="A7761" s="15"/>
      <c r="B7761" s="16" t="s">
        <v>56</v>
      </c>
      <c r="C7761" s="15"/>
      <c r="D7761" s="15"/>
      <c r="E7761" s="15"/>
      <c r="F7761" s="15"/>
      <c r="G7761" s="15"/>
      <c r="H7761" s="15"/>
      <c r="I7761" s="17" t="e">
        <f>=Round(SUM(I7735:I7760),0)</f>
        <v>#VALUE!</v>
      </c>
      <c r="J7761" s="17" t="e">
        <f>=Round(SUM(J7735:J7760),0)</f>
        <v>#VALUE!</v>
      </c>
    </row>
    <row r="7762">
      <c r="A7762" s="1" t="s">
        <v>0</v>
      </c>
      <c r="B7762" s="1"/>
      <c r="C7762" s="1"/>
      <c r="D7762" s="1"/>
    </row>
    <row r="7763">
      <c r="A7763" s="0" t="s">
        <v>1</v>
      </c>
      <c r="C7763" s="0" t="s">
        <v>274</v>
      </c>
      <c r="H7763" s="2" t="s">
        <v>3</v>
      </c>
    </row>
    <row r="7764">
      <c r="A7764" s="0" t="s">
        <v>4</v>
      </c>
      <c r="C7764" s="0" t="s">
        <v>158</v>
      </c>
      <c r="H7764" s="3" t="s">
        <v>6</v>
      </c>
    </row>
    <row r="7765">
      <c r="A7765" s="0" t="s">
        <v>7</v>
      </c>
      <c r="C7765" s="4" t="s">
        <v>146</v>
      </c>
      <c r="H7765" s="2" t="s">
        <v>9</v>
      </c>
    </row>
    <row r="7766">
      <c r="A7766" s="0" t="s">
        <v>10</v>
      </c>
      <c r="C7766" s="4" t="s">
        <v>11</v>
      </c>
      <c r="H7766" s="2" t="s">
        <v>12</v>
      </c>
    </row>
    <row r="7767">
      <c r="A7767" s="0" t="s">
        <v>13</v>
      </c>
      <c r="C7767" s="0" t="s">
        <v>14</v>
      </c>
    </row>
    <row r="7768">
      <c r="A7768" s="0" t="s">
        <v>15</v>
      </c>
      <c r="C7768" s="0" t="s">
        <v>16</v>
      </c>
    </row>
    <row r="7769">
      <c r="A7769" s="0" t="s">
        <v>17</v>
      </c>
      <c r="C7769" s="0" t="s">
        <v>18</v>
      </c>
    </row>
    <row r="7772">
      <c r="A7772" s="5" t="s">
        <v>19</v>
      </c>
      <c r="B7772" s="5" t="s">
        <v>20</v>
      </c>
      <c r="C7772" s="7" t="s">
        <v>21</v>
      </c>
      <c r="D7772" s="9"/>
      <c r="E7772" s="7" t="s">
        <v>22</v>
      </c>
      <c r="F7772" s="9"/>
      <c r="G7772" s="5" t="s">
        <v>23</v>
      </c>
      <c r="H7772" s="5" t="s">
        <v>24</v>
      </c>
      <c r="I7772" s="5" t="s">
        <v>147</v>
      </c>
      <c r="J7772" s="5" t="s">
        <v>26</v>
      </c>
    </row>
    <row r="7773">
      <c r="A7773" s="6"/>
      <c r="B7773" s="6"/>
      <c r="C7773" s="8" t="s">
        <v>27</v>
      </c>
      <c r="D7773" s="8" t="s">
        <v>28</v>
      </c>
      <c r="E7773" s="8" t="s">
        <v>27</v>
      </c>
      <c r="F7773" s="8" t="s">
        <v>28</v>
      </c>
      <c r="G7773" s="6"/>
      <c r="H7773" s="6"/>
      <c r="I7773" s="10" t="s">
        <v>29</v>
      </c>
      <c r="J7773" s="6"/>
    </row>
    <row r="7774">
      <c r="A7774" s="11" t="s">
        <v>30</v>
      </c>
      <c r="B7774" s="12">
        <v>1248.9282</v>
      </c>
      <c r="C7774" s="12">
        <v>0</v>
      </c>
      <c r="D7774" s="13">
        <v>0</v>
      </c>
      <c r="E7774" s="12">
        <v>0</v>
      </c>
      <c r="F7774" s="14">
        <v>0</v>
      </c>
      <c r="G7774" s="13">
        <v>945948.7363</v>
      </c>
      <c r="H7774" s="14">
        <v>1181422052.519434</v>
      </c>
      <c r="I7774" s="14" t="e">
        <f>=Round(17796.75570000,0)</f>
        <v>#VALUE!</v>
      </c>
      <c r="J7774" s="14" t="e">
        <f>=Round(0.00000000,0)</f>
        <v>#VALUE!</v>
      </c>
    </row>
    <row r="7775">
      <c r="A7775" s="11" t="s">
        <v>31</v>
      </c>
      <c r="B7775" s="12">
        <v>1256.528</v>
      </c>
      <c r="C7775" s="12">
        <v>0</v>
      </c>
      <c r="D7775" s="13">
        <v>0</v>
      </c>
      <c r="E7775" s="12">
        <v>0</v>
      </c>
      <c r="F7775" s="14">
        <v>0</v>
      </c>
      <c r="G7775" s="13">
        <v>945948.7363</v>
      </c>
      <c r="H7775" s="14">
        <v>1188611073.7255659</v>
      </c>
      <c r="I7775" s="14" t="e">
        <f>=Round(17753.61010000,0)</f>
        <v>#VALUE!</v>
      </c>
      <c r="J7775" s="14" t="e">
        <f>=Round(0.00000000,0)</f>
        <v>#VALUE!</v>
      </c>
    </row>
    <row r="7776">
      <c r="A7776" s="11" t="s">
        <v>32</v>
      </c>
      <c r="B7776" s="12">
        <v>1254.6375</v>
      </c>
      <c r="C7776" s="12">
        <v>0</v>
      </c>
      <c r="D7776" s="13">
        <v>0</v>
      </c>
      <c r="E7776" s="12">
        <v>0</v>
      </c>
      <c r="F7776" s="14">
        <v>0</v>
      </c>
      <c r="G7776" s="13">
        <v>945948.7363</v>
      </c>
      <c r="H7776" s="14">
        <v>1186822757.639591</v>
      </c>
      <c r="I7776" s="14" t="e">
        <f>=Round(17861.64180000,0)</f>
        <v>#VALUE!</v>
      </c>
      <c r="J7776" s="14" t="e">
        <f>=Round(0.00000000,0)</f>
        <v>#VALUE!</v>
      </c>
    </row>
    <row r="7777">
      <c r="A7777" s="11" t="s">
        <v>33</v>
      </c>
      <c r="B7777" s="12">
        <v>1260.0744</v>
      </c>
      <c r="C7777" s="12">
        <v>0</v>
      </c>
      <c r="D7777" s="13">
        <v>0</v>
      </c>
      <c r="E7777" s="12">
        <v>0</v>
      </c>
      <c r="F7777" s="14">
        <v>0</v>
      </c>
      <c r="G7777" s="13">
        <v>945948.7363</v>
      </c>
      <c r="H7777" s="14">
        <v>1191965786.3239811</v>
      </c>
      <c r="I7777" s="14" t="e">
        <f>=Round(17834.76820000,0)</f>
        <v>#VALUE!</v>
      </c>
      <c r="J7777" s="14" t="e">
        <f>=Round(0.00000000,0)</f>
        <v>#VALUE!</v>
      </c>
    </row>
    <row r="7778">
      <c r="A7778" s="11" t="s">
        <v>34</v>
      </c>
      <c r="B7778" s="12">
        <v>1262.5315</v>
      </c>
      <c r="C7778" s="12">
        <v>0</v>
      </c>
      <c r="D7778" s="13">
        <v>0</v>
      </c>
      <c r="E7778" s="12">
        <v>0</v>
      </c>
      <c r="F7778" s="14">
        <v>0</v>
      </c>
      <c r="G7778" s="13">
        <v>945948.7363</v>
      </c>
      <c r="H7778" s="14">
        <v>1194290076.963943</v>
      </c>
      <c r="I7778" s="14" t="e">
        <f>=Round(17912.05420000,0)</f>
        <v>#VALUE!</v>
      </c>
      <c r="J7778" s="14" t="e">
        <f>=Round(0.00000000,0)</f>
        <v>#VALUE!</v>
      </c>
    </row>
    <row r="7779">
      <c r="A7779" s="11" t="s">
        <v>35</v>
      </c>
      <c r="B7779" s="12">
        <v>1262.5315</v>
      </c>
      <c r="C7779" s="12">
        <v>0</v>
      </c>
      <c r="D7779" s="13">
        <v>0</v>
      </c>
      <c r="E7779" s="12">
        <v>0</v>
      </c>
      <c r="F7779" s="14">
        <v>0</v>
      </c>
      <c r="G7779" s="13">
        <v>945948.7363</v>
      </c>
      <c r="H7779" s="14">
        <v>1194290076.963943</v>
      </c>
      <c r="I7779" s="14" t="e">
        <f>=Round(17946.98200000,0)</f>
        <v>#VALUE!</v>
      </c>
      <c r="J7779" s="14" t="e">
        <f>=Round(0.00000000,0)</f>
        <v>#VALUE!</v>
      </c>
    </row>
    <row r="7780">
      <c r="A7780" s="11" t="s">
        <v>36</v>
      </c>
      <c r="B7780" s="12">
        <v>1262.5315</v>
      </c>
      <c r="C7780" s="12">
        <v>0</v>
      </c>
      <c r="D7780" s="13">
        <v>0</v>
      </c>
      <c r="E7780" s="12">
        <v>0</v>
      </c>
      <c r="F7780" s="14">
        <v>0</v>
      </c>
      <c r="G7780" s="13">
        <v>945948.7363</v>
      </c>
      <c r="H7780" s="14">
        <v>1194290076.963943</v>
      </c>
      <c r="I7780" s="14" t="e">
        <f>=Round(17946.98200000,0)</f>
        <v>#VALUE!</v>
      </c>
      <c r="J7780" s="14" t="e">
        <f>=Round(0.00000000,0)</f>
        <v>#VALUE!</v>
      </c>
    </row>
    <row r="7781">
      <c r="A7781" s="11" t="s">
        <v>37</v>
      </c>
      <c r="B7781" s="12">
        <v>1260.7554</v>
      </c>
      <c r="C7781" s="12">
        <v>0</v>
      </c>
      <c r="D7781" s="13">
        <v>0</v>
      </c>
      <c r="E7781" s="12">
        <v>0</v>
      </c>
      <c r="F7781" s="14">
        <v>0</v>
      </c>
      <c r="G7781" s="13">
        <v>945948.7363</v>
      </c>
      <c r="H7781" s="14">
        <v>1192609977.4134009</v>
      </c>
      <c r="I7781" s="14" t="e">
        <f>=Round(17946.98200000,0)</f>
        <v>#VALUE!</v>
      </c>
      <c r="J7781" s="14" t="e">
        <f>=Round(0.00000000,0)</f>
        <v>#VALUE!</v>
      </c>
    </row>
    <row r="7782">
      <c r="A7782" s="11" t="s">
        <v>38</v>
      </c>
      <c r="B7782" s="12">
        <v>1262.4788</v>
      </c>
      <c r="C7782" s="12">
        <v>0</v>
      </c>
      <c r="D7782" s="13">
        <v>0</v>
      </c>
      <c r="E7782" s="12">
        <v>0</v>
      </c>
      <c r="F7782" s="14">
        <v>0</v>
      </c>
      <c r="G7782" s="13">
        <v>945948.7363</v>
      </c>
      <c r="H7782" s="14">
        <v>1194240225.46554</v>
      </c>
      <c r="I7782" s="14" t="e">
        <f>=Round(17921.73460000,0)</f>
        <v>#VALUE!</v>
      </c>
      <c r="J7782" s="14" t="e">
        <f>=Round(0.00000000,0)</f>
        <v>#VALUE!</v>
      </c>
    </row>
    <row r="7783">
      <c r="A7783" s="11" t="s">
        <v>39</v>
      </c>
      <c r="B7783" s="12">
        <v>1266.2701</v>
      </c>
      <c r="C7783" s="12">
        <v>0</v>
      </c>
      <c r="D7783" s="13">
        <v>0</v>
      </c>
      <c r="E7783" s="12">
        <v>0</v>
      </c>
      <c r="F7783" s="14">
        <v>0</v>
      </c>
      <c r="G7783" s="13">
        <v>945948.7363</v>
      </c>
      <c r="H7783" s="14">
        <v>1197826600.9094751</v>
      </c>
      <c r="I7783" s="14" t="e">
        <f>=Round(17946.23290000,0)</f>
        <v>#VALUE!</v>
      </c>
      <c r="J7783" s="14" t="e">
        <f>=Round(0.00000000,0)</f>
        <v>#VALUE!</v>
      </c>
    </row>
    <row r="7784">
      <c r="A7784" s="11" t="s">
        <v>40</v>
      </c>
      <c r="B7784" s="12">
        <v>1266.9583</v>
      </c>
      <c r="C7784" s="12">
        <v>0</v>
      </c>
      <c r="D7784" s="13">
        <v>0</v>
      </c>
      <c r="E7784" s="12">
        <v>0</v>
      </c>
      <c r="F7784" s="14">
        <v>0</v>
      </c>
      <c r="G7784" s="13">
        <v>945948.7363</v>
      </c>
      <c r="H7784" s="14">
        <v>1198477602.8297961</v>
      </c>
      <c r="I7784" s="14" t="e">
        <f>=Round(18000.12650000,0)</f>
        <v>#VALUE!</v>
      </c>
      <c r="J7784" s="14" t="e">
        <f>=Round(0.00000000,0)</f>
        <v>#VALUE!</v>
      </c>
    </row>
    <row r="7785">
      <c r="A7785" s="11" t="s">
        <v>41</v>
      </c>
      <c r="B7785" s="12">
        <v>1266.1038</v>
      </c>
      <c r="C7785" s="12">
        <v>0</v>
      </c>
      <c r="D7785" s="13">
        <v>0</v>
      </c>
      <c r="E7785" s="12">
        <v>0</v>
      </c>
      <c r="F7785" s="14">
        <v>0</v>
      </c>
      <c r="G7785" s="13">
        <v>945948.7363</v>
      </c>
      <c r="H7785" s="14">
        <v>1197669289.6346281</v>
      </c>
      <c r="I7785" s="14" t="e">
        <f>=Round(18009.90930000,0)</f>
        <v>#VALUE!</v>
      </c>
      <c r="J7785" s="14" t="e">
        <f>=Round(0.00000000,0)</f>
        <v>#VALUE!</v>
      </c>
    </row>
    <row r="7786">
      <c r="A7786" s="11" t="s">
        <v>42</v>
      </c>
      <c r="B7786" s="12">
        <v>1266.1038</v>
      </c>
      <c r="C7786" s="12">
        <v>0</v>
      </c>
      <c r="D7786" s="13">
        <v>0</v>
      </c>
      <c r="E7786" s="12">
        <v>0</v>
      </c>
      <c r="F7786" s="14">
        <v>0</v>
      </c>
      <c r="G7786" s="13">
        <v>945948.7363</v>
      </c>
      <c r="H7786" s="14">
        <v>1197669289.6346281</v>
      </c>
      <c r="I7786" s="14" t="e">
        <f>=Round(17997.76250000,0)</f>
        <v>#VALUE!</v>
      </c>
      <c r="J7786" s="14" t="e">
        <f>=Round(0.00000000,0)</f>
        <v>#VALUE!</v>
      </c>
    </row>
    <row r="7787">
      <c r="A7787" s="11" t="s">
        <v>43</v>
      </c>
      <c r="B7787" s="12">
        <v>1266.1038</v>
      </c>
      <c r="C7787" s="12">
        <v>0</v>
      </c>
      <c r="D7787" s="13">
        <v>0</v>
      </c>
      <c r="E7787" s="12">
        <v>0</v>
      </c>
      <c r="F7787" s="14">
        <v>0</v>
      </c>
      <c r="G7787" s="13">
        <v>945948.7363</v>
      </c>
      <c r="H7787" s="14">
        <v>1197669289.6346281</v>
      </c>
      <c r="I7787" s="14" t="e">
        <f>=Round(17997.76250000,0)</f>
        <v>#VALUE!</v>
      </c>
      <c r="J7787" s="14" t="e">
        <f>=Round(0.00000000,0)</f>
        <v>#VALUE!</v>
      </c>
    </row>
    <row r="7788">
      <c r="A7788" s="11" t="s">
        <v>44</v>
      </c>
      <c r="B7788" s="12">
        <v>1267.4076</v>
      </c>
      <c r="C7788" s="12">
        <v>0</v>
      </c>
      <c r="D7788" s="13">
        <v>0</v>
      </c>
      <c r="E7788" s="12">
        <v>0</v>
      </c>
      <c r="F7788" s="14">
        <v>0</v>
      </c>
      <c r="G7788" s="13">
        <v>945948.7363</v>
      </c>
      <c r="H7788" s="14">
        <v>1198902617.5970161</v>
      </c>
      <c r="I7788" s="14" t="e">
        <f>=Round(17997.76250000,0)</f>
        <v>#VALUE!</v>
      </c>
      <c r="J7788" s="14" t="e">
        <f>=Round(0.00000000,0)</f>
        <v>#VALUE!</v>
      </c>
    </row>
    <row r="7789">
      <c r="A7789" s="11" t="s">
        <v>45</v>
      </c>
      <c r="B7789" s="12">
        <v>1270.0303</v>
      </c>
      <c r="C7789" s="12">
        <v>0</v>
      </c>
      <c r="D7789" s="13">
        <v>0</v>
      </c>
      <c r="E7789" s="12">
        <v>0</v>
      </c>
      <c r="F7789" s="14">
        <v>0</v>
      </c>
      <c r="G7789" s="13">
        <v>945948.7363</v>
      </c>
      <c r="H7789" s="14">
        <v>1201383557.34771</v>
      </c>
      <c r="I7789" s="14" t="e">
        <f>=Round(18016.29620000,0)</f>
        <v>#VALUE!</v>
      </c>
      <c r="J7789" s="14" t="e">
        <f>=Round(0.00000000,0)</f>
        <v>#VALUE!</v>
      </c>
    </row>
    <row r="7790">
      <c r="A7790" s="11" t="s">
        <v>46</v>
      </c>
      <c r="B7790" s="12">
        <v>1271.8189</v>
      </c>
      <c r="C7790" s="12">
        <v>0</v>
      </c>
      <c r="D7790" s="13">
        <v>0</v>
      </c>
      <c r="E7790" s="12">
        <v>0</v>
      </c>
      <c r="F7790" s="14">
        <v>0</v>
      </c>
      <c r="G7790" s="13">
        <v>945948.7363</v>
      </c>
      <c r="H7790" s="14">
        <v>1203075481.2574561</v>
      </c>
      <c r="I7790" s="14" t="e">
        <f>=Round(18053.57800000,0)</f>
        <v>#VALUE!</v>
      </c>
      <c r="J7790" s="14" t="e">
        <f>=Round(0.00000000,0)</f>
        <v>#VALUE!</v>
      </c>
    </row>
    <row r="7791">
      <c r="A7791" s="11" t="s">
        <v>47</v>
      </c>
      <c r="B7791" s="12">
        <v>1271.8524</v>
      </c>
      <c r="C7791" s="12">
        <v>0</v>
      </c>
      <c r="D7791" s="13">
        <v>0</v>
      </c>
      <c r="E7791" s="12">
        <v>0</v>
      </c>
      <c r="F7791" s="14">
        <v>0</v>
      </c>
      <c r="G7791" s="13">
        <v>945948.7363</v>
      </c>
      <c r="H7791" s="14">
        <v>1203107170.540122</v>
      </c>
      <c r="I7791" s="14" t="e">
        <f>=Round(18079.00310000,0)</f>
        <v>#VALUE!</v>
      </c>
      <c r="J7791" s="14" t="e">
        <f>=Round(0.00000000,0)</f>
        <v>#VALUE!</v>
      </c>
    </row>
    <row r="7792">
      <c r="A7792" s="11" t="s">
        <v>48</v>
      </c>
      <c r="B7792" s="12">
        <v>1271.4146</v>
      </c>
      <c r="C7792" s="12">
        <v>0</v>
      </c>
      <c r="D7792" s="13">
        <v>0</v>
      </c>
      <c r="E7792" s="12">
        <v>0</v>
      </c>
      <c r="F7792" s="14">
        <v>0</v>
      </c>
      <c r="G7792" s="13">
        <v>945948.7363</v>
      </c>
      <c r="H7792" s="14">
        <v>1202693034.18337</v>
      </c>
      <c r="I7792" s="14" t="e">
        <f>=Round(18079.47930000,0)</f>
        <v>#VALUE!</v>
      </c>
      <c r="J7792" s="14" t="e">
        <f>=Round(0.00000000,0)</f>
        <v>#VALUE!</v>
      </c>
    </row>
    <row r="7793">
      <c r="A7793" s="11" t="s">
        <v>49</v>
      </c>
      <c r="B7793" s="12">
        <v>1271.4146</v>
      </c>
      <c r="C7793" s="12">
        <v>0</v>
      </c>
      <c r="D7793" s="13">
        <v>0</v>
      </c>
      <c r="E7793" s="12">
        <v>0</v>
      </c>
      <c r="F7793" s="14">
        <v>0</v>
      </c>
      <c r="G7793" s="13">
        <v>945948.7363</v>
      </c>
      <c r="H7793" s="14">
        <v>1202693034.18337</v>
      </c>
      <c r="I7793" s="14" t="e">
        <f>=Round(18073.25600000,0)</f>
        <v>#VALUE!</v>
      </c>
      <c r="J7793" s="14" t="e">
        <f>=Round(0.00000000,0)</f>
        <v>#VALUE!</v>
      </c>
    </row>
    <row r="7794">
      <c r="A7794" s="11" t="s">
        <v>50</v>
      </c>
      <c r="B7794" s="12">
        <v>1271.4146</v>
      </c>
      <c r="C7794" s="12">
        <v>0</v>
      </c>
      <c r="D7794" s="13">
        <v>0</v>
      </c>
      <c r="E7794" s="12">
        <v>0</v>
      </c>
      <c r="F7794" s="14">
        <v>0</v>
      </c>
      <c r="G7794" s="13">
        <v>945948.7363</v>
      </c>
      <c r="H7794" s="14">
        <v>1202693034.18337</v>
      </c>
      <c r="I7794" s="14" t="e">
        <f>=Round(18073.25600000,0)</f>
        <v>#VALUE!</v>
      </c>
      <c r="J7794" s="14" t="e">
        <f>=Round(0.00000000,0)</f>
        <v>#VALUE!</v>
      </c>
    </row>
    <row r="7795">
      <c r="A7795" s="11" t="s">
        <v>51</v>
      </c>
      <c r="B7795" s="12">
        <v>1268.7515</v>
      </c>
      <c r="C7795" s="12">
        <v>0</v>
      </c>
      <c r="D7795" s="13">
        <v>0</v>
      </c>
      <c r="E7795" s="12">
        <v>0</v>
      </c>
      <c r="F7795" s="14">
        <v>0</v>
      </c>
      <c r="G7795" s="13">
        <v>945948.7363</v>
      </c>
      <c r="H7795" s="14">
        <v>1200173878.103729</v>
      </c>
      <c r="I7795" s="14" t="e">
        <f>=Round(18073.25600000,0)</f>
        <v>#VALUE!</v>
      </c>
      <c r="J7795" s="14" t="e">
        <f>=Round(0.00000000,0)</f>
        <v>#VALUE!</v>
      </c>
    </row>
    <row r="7796">
      <c r="A7796" s="11" t="s">
        <v>52</v>
      </c>
      <c r="B7796" s="12">
        <v>1268.7071</v>
      </c>
      <c r="C7796" s="12">
        <v>0</v>
      </c>
      <c r="D7796" s="13">
        <v>0</v>
      </c>
      <c r="E7796" s="12">
        <v>0</v>
      </c>
      <c r="F7796" s="14">
        <v>0</v>
      </c>
      <c r="G7796" s="13">
        <v>945948.7363</v>
      </c>
      <c r="H7796" s="14">
        <v>1200131877.9798379</v>
      </c>
      <c r="I7796" s="14" t="e">
        <f>=Round(18035.39980000,0)</f>
        <v>#VALUE!</v>
      </c>
      <c r="J7796" s="14" t="e">
        <f>=Round(0.00000000,0)</f>
        <v>#VALUE!</v>
      </c>
    </row>
    <row r="7797">
      <c r="A7797" s="11" t="s">
        <v>53</v>
      </c>
      <c r="B7797" s="12">
        <v>1263.6206</v>
      </c>
      <c r="C7797" s="12">
        <v>0</v>
      </c>
      <c r="D7797" s="13">
        <v>0</v>
      </c>
      <c r="E7797" s="12">
        <v>0</v>
      </c>
      <c r="F7797" s="14">
        <v>0</v>
      </c>
      <c r="G7797" s="13">
        <v>945948.7363</v>
      </c>
      <c r="H7797" s="14">
        <v>1195320309.7326479</v>
      </c>
      <c r="I7797" s="14" t="e">
        <f>=Round(18034.76870000,0)</f>
        <v>#VALUE!</v>
      </c>
      <c r="J7797" s="14" t="e">
        <f>=Round(0.00000000,0)</f>
        <v>#VALUE!</v>
      </c>
    </row>
    <row r="7798">
      <c r="A7798" s="11" t="s">
        <v>54</v>
      </c>
      <c r="B7798" s="12">
        <v>1248.7736</v>
      </c>
      <c r="C7798" s="12">
        <v>0</v>
      </c>
      <c r="D7798" s="13">
        <v>0</v>
      </c>
      <c r="E7798" s="12">
        <v>0</v>
      </c>
      <c r="F7798" s="14">
        <v>0</v>
      </c>
      <c r="G7798" s="13">
        <v>945948.7363</v>
      </c>
      <c r="H7798" s="14">
        <v>1181275808.8448019</v>
      </c>
      <c r="I7798" s="14" t="e">
        <f>=Round(17962.46370000,0)</f>
        <v>#VALUE!</v>
      </c>
      <c r="J7798" s="14" t="e">
        <f>=Round(0.00000000,0)</f>
        <v>#VALUE!</v>
      </c>
    </row>
    <row r="7799">
      <c r="A7799" s="11" t="s">
        <v>55</v>
      </c>
      <c r="B7799" s="12">
        <v>1235.2708</v>
      </c>
      <c r="C7799" s="12">
        <v>0</v>
      </c>
      <c r="D7799" s="13">
        <v>0</v>
      </c>
      <c r="E7799" s="12">
        <v>0</v>
      </c>
      <c r="F7799" s="14">
        <v>0</v>
      </c>
      <c r="G7799" s="13">
        <v>945948.7363</v>
      </c>
      <c r="H7799" s="14">
        <v>1168502852.24829</v>
      </c>
      <c r="I7799" s="14" t="e">
        <f>=Round(17751.41240000,0)</f>
        <v>#VALUE!</v>
      </c>
      <c r="J7799" s="14" t="e">
        <f>=Round(0.00000000,0)</f>
        <v>#VALUE!</v>
      </c>
    </row>
    <row r="7800" ht="-1">
      <c r="A7800" s="15"/>
      <c r="B7800" s="16" t="s">
        <v>56</v>
      </c>
      <c r="C7800" s="15"/>
      <c r="D7800" s="15"/>
      <c r="E7800" s="15"/>
      <c r="F7800" s="15"/>
      <c r="G7800" s="15"/>
      <c r="H7800" s="15"/>
      <c r="I7800" s="17" t="e">
        <f>=Round(SUM(I7774:I7799),0)</f>
        <v>#VALUE!</v>
      </c>
      <c r="J7800" s="17" t="e">
        <f>=Round(SUM(J7774:J7799),0)</f>
        <v>#VALUE!</v>
      </c>
    </row>
    <row r="7801">
      <c r="A7801" s="1" t="s">
        <v>0</v>
      </c>
      <c r="B7801" s="1"/>
      <c r="C7801" s="1"/>
      <c r="D7801" s="1"/>
    </row>
    <row r="7802">
      <c r="A7802" s="0" t="s">
        <v>1</v>
      </c>
      <c r="C7802" s="0" t="s">
        <v>274</v>
      </c>
      <c r="H7802" s="2" t="s">
        <v>3</v>
      </c>
    </row>
    <row r="7803">
      <c r="A7803" s="0" t="s">
        <v>4</v>
      </c>
      <c r="C7803" s="0" t="s">
        <v>275</v>
      </c>
      <c r="H7803" s="3" t="s">
        <v>6</v>
      </c>
    </row>
    <row r="7804">
      <c r="A7804" s="0" t="s">
        <v>7</v>
      </c>
      <c r="C7804" s="4" t="s">
        <v>146</v>
      </c>
      <c r="H7804" s="2" t="s">
        <v>9</v>
      </c>
    </row>
    <row r="7805">
      <c r="A7805" s="0" t="s">
        <v>10</v>
      </c>
      <c r="C7805" s="4" t="s">
        <v>11</v>
      </c>
      <c r="H7805" s="2" t="s">
        <v>12</v>
      </c>
    </row>
    <row r="7806">
      <c r="A7806" s="0" t="s">
        <v>13</v>
      </c>
      <c r="C7806" s="0" t="s">
        <v>14</v>
      </c>
    </row>
    <row r="7807">
      <c r="A7807" s="0" t="s">
        <v>15</v>
      </c>
      <c r="C7807" s="0" t="s">
        <v>16</v>
      </c>
    </row>
    <row r="7808">
      <c r="A7808" s="0" t="s">
        <v>17</v>
      </c>
      <c r="C7808" s="0" t="s">
        <v>18</v>
      </c>
    </row>
    <row r="7811">
      <c r="A7811" s="5" t="s">
        <v>19</v>
      </c>
      <c r="B7811" s="5" t="s">
        <v>20</v>
      </c>
      <c r="C7811" s="7" t="s">
        <v>21</v>
      </c>
      <c r="D7811" s="9"/>
      <c r="E7811" s="7" t="s">
        <v>22</v>
      </c>
      <c r="F7811" s="9"/>
      <c r="G7811" s="5" t="s">
        <v>23</v>
      </c>
      <c r="H7811" s="5" t="s">
        <v>24</v>
      </c>
      <c r="I7811" s="5" t="s">
        <v>147</v>
      </c>
      <c r="J7811" s="5" t="s">
        <v>26</v>
      </c>
    </row>
    <row r="7812">
      <c r="A7812" s="6"/>
      <c r="B7812" s="6"/>
      <c r="C7812" s="8" t="s">
        <v>27</v>
      </c>
      <c r="D7812" s="8" t="s">
        <v>28</v>
      </c>
      <c r="E7812" s="8" t="s">
        <v>27</v>
      </c>
      <c r="F7812" s="8" t="s">
        <v>28</v>
      </c>
      <c r="G7812" s="6"/>
      <c r="H7812" s="6"/>
      <c r="I7812" s="10" t="s">
        <v>29</v>
      </c>
      <c r="J7812" s="6"/>
    </row>
    <row r="7813">
      <c r="A7813" s="11" t="s">
        <v>30</v>
      </c>
      <c r="B7813" s="12">
        <v>1248.9282</v>
      </c>
      <c r="C7813" s="12">
        <v>0</v>
      </c>
      <c r="D7813" s="13">
        <v>0</v>
      </c>
      <c r="E7813" s="12">
        <v>0</v>
      </c>
      <c r="F7813" s="14">
        <v>0</v>
      </c>
      <c r="G7813" s="13">
        <v>169609428.6844</v>
      </c>
      <c r="H7813" s="14">
        <v>211829998469.83606</v>
      </c>
      <c r="I7813" s="14" t="e">
        <f>=Round(3190973.72550000,0)</f>
        <v>#VALUE!</v>
      </c>
      <c r="J7813" s="14" t="e">
        <f>=Round(0.00000000,0)</f>
        <v>#VALUE!</v>
      </c>
    </row>
    <row r="7814">
      <c r="A7814" s="11" t="s">
        <v>31</v>
      </c>
      <c r="B7814" s="12">
        <v>1256.528</v>
      </c>
      <c r="C7814" s="12">
        <v>0</v>
      </c>
      <c r="D7814" s="13">
        <v>0</v>
      </c>
      <c r="E7814" s="12">
        <v>0</v>
      </c>
      <c r="F7814" s="14">
        <v>0</v>
      </c>
      <c r="G7814" s="13">
        <v>169609428.6844</v>
      </c>
      <c r="H7814" s="14">
        <v>213118996205.95178</v>
      </c>
      <c r="I7814" s="14" t="e">
        <f>=Round(3183237.68190000,0)</f>
        <v>#VALUE!</v>
      </c>
      <c r="J7814" s="14" t="e">
        <f>=Round(0.00000000,0)</f>
        <v>#VALUE!</v>
      </c>
    </row>
    <row r="7815">
      <c r="A7815" s="11" t="s">
        <v>32</v>
      </c>
      <c r="B7815" s="12">
        <v>1254.6375</v>
      </c>
      <c r="C7815" s="12">
        <v>0</v>
      </c>
      <c r="D7815" s="13">
        <v>0</v>
      </c>
      <c r="E7815" s="12">
        <v>0</v>
      </c>
      <c r="F7815" s="14">
        <v>0</v>
      </c>
      <c r="G7815" s="13">
        <v>169609428.6844</v>
      </c>
      <c r="H7815" s="14">
        <v>212798349581.0239</v>
      </c>
      <c r="I7815" s="14" t="e">
        <f>=Round(3202607.86650000,0)</f>
        <v>#VALUE!</v>
      </c>
      <c r="J7815" s="14" t="e">
        <f>=Round(0.00000000,0)</f>
        <v>#VALUE!</v>
      </c>
    </row>
    <row r="7816">
      <c r="A7816" s="11" t="s">
        <v>33</v>
      </c>
      <c r="B7816" s="12">
        <v>1260.0744</v>
      </c>
      <c r="C7816" s="12">
        <v>0</v>
      </c>
      <c r="D7816" s="13">
        <v>0</v>
      </c>
      <c r="E7816" s="12">
        <v>0</v>
      </c>
      <c r="F7816" s="14">
        <v>0</v>
      </c>
      <c r="G7816" s="13">
        <v>169609428.6844</v>
      </c>
      <c r="H7816" s="14">
        <v>213720499083.8381</v>
      </c>
      <c r="I7816" s="14" t="e">
        <f>=Round(3197789.40630000,0)</f>
        <v>#VALUE!</v>
      </c>
      <c r="J7816" s="14" t="e">
        <f>=Round(0.00000000,0)</f>
        <v>#VALUE!</v>
      </c>
    </row>
    <row r="7817">
      <c r="A7817" s="11" t="s">
        <v>34</v>
      </c>
      <c r="B7817" s="12">
        <v>1262.5315</v>
      </c>
      <c r="C7817" s="12">
        <v>0</v>
      </c>
      <c r="D7817" s="13">
        <v>0</v>
      </c>
      <c r="E7817" s="12">
        <v>0</v>
      </c>
      <c r="F7817" s="14">
        <v>0</v>
      </c>
      <c r="G7817" s="13">
        <v>169609428.6844</v>
      </c>
      <c r="H7817" s="14">
        <v>214137246411.05856</v>
      </c>
      <c r="I7817" s="14" t="e">
        <f>=Round(3211646.84420000,0)</f>
        <v>#VALUE!</v>
      </c>
      <c r="J7817" s="14" t="e">
        <f>=Round(0.00000000,0)</f>
        <v>#VALUE!</v>
      </c>
    </row>
    <row r="7818">
      <c r="A7818" s="11" t="s">
        <v>35</v>
      </c>
      <c r="B7818" s="12">
        <v>1262.5315</v>
      </c>
      <c r="C7818" s="12">
        <v>0</v>
      </c>
      <c r="D7818" s="13">
        <v>0</v>
      </c>
      <c r="E7818" s="12">
        <v>0</v>
      </c>
      <c r="F7818" s="14">
        <v>0</v>
      </c>
      <c r="G7818" s="13">
        <v>169609428.6844</v>
      </c>
      <c r="H7818" s="14">
        <v>214137246411.05856</v>
      </c>
      <c r="I7818" s="14" t="e">
        <f>=Round(3217909.44060000,0)</f>
        <v>#VALUE!</v>
      </c>
      <c r="J7818" s="14" t="e">
        <f>=Round(0.00000000,0)</f>
        <v>#VALUE!</v>
      </c>
    </row>
    <row r="7819">
      <c r="A7819" s="11" t="s">
        <v>36</v>
      </c>
      <c r="B7819" s="12">
        <v>1262.5315</v>
      </c>
      <c r="C7819" s="12">
        <v>0</v>
      </c>
      <c r="D7819" s="13">
        <v>0</v>
      </c>
      <c r="E7819" s="12">
        <v>0</v>
      </c>
      <c r="F7819" s="14">
        <v>0</v>
      </c>
      <c r="G7819" s="13">
        <v>169609428.6844</v>
      </c>
      <c r="H7819" s="14">
        <v>214137246411.05856</v>
      </c>
      <c r="I7819" s="14" t="e">
        <f>=Round(3217909.44060000,0)</f>
        <v>#VALUE!</v>
      </c>
      <c r="J7819" s="14" t="e">
        <f>=Round(0.00000000,0)</f>
        <v>#VALUE!</v>
      </c>
    </row>
    <row r="7820">
      <c r="A7820" s="11" t="s">
        <v>37</v>
      </c>
      <c r="B7820" s="12">
        <v>1260.7554</v>
      </c>
      <c r="C7820" s="12">
        <v>0</v>
      </c>
      <c r="D7820" s="13">
        <v>0</v>
      </c>
      <c r="E7820" s="12">
        <v>0</v>
      </c>
      <c r="F7820" s="14">
        <v>0</v>
      </c>
      <c r="G7820" s="13">
        <v>169609428.6844</v>
      </c>
      <c r="H7820" s="14">
        <v>213836003104.77219</v>
      </c>
      <c r="I7820" s="14" t="e">
        <f>=Round(3217909.44060000,0)</f>
        <v>#VALUE!</v>
      </c>
      <c r="J7820" s="14" t="e">
        <f>=Round(0.00000000,0)</f>
        <v>#VALUE!</v>
      </c>
    </row>
    <row r="7821">
      <c r="A7821" s="11" t="s">
        <v>38</v>
      </c>
      <c r="B7821" s="12">
        <v>1262.4788</v>
      </c>
      <c r="C7821" s="12">
        <v>0</v>
      </c>
      <c r="D7821" s="13">
        <v>0</v>
      </c>
      <c r="E7821" s="12">
        <v>0</v>
      </c>
      <c r="F7821" s="14">
        <v>0</v>
      </c>
      <c r="G7821" s="13">
        <v>169609428.6844</v>
      </c>
      <c r="H7821" s="14">
        <v>214128307994.16687</v>
      </c>
      <c r="I7821" s="14" t="e">
        <f>=Round(3213382.56030000,0)</f>
        <v>#VALUE!</v>
      </c>
      <c r="J7821" s="14" t="e">
        <f>=Round(0.00000000,0)</f>
        <v>#VALUE!</v>
      </c>
    </row>
    <row r="7822">
      <c r="A7822" s="11" t="s">
        <v>39</v>
      </c>
      <c r="B7822" s="12">
        <v>1266.2701</v>
      </c>
      <c r="C7822" s="12">
        <v>0</v>
      </c>
      <c r="D7822" s="13">
        <v>0</v>
      </c>
      <c r="E7822" s="12">
        <v>0</v>
      </c>
      <c r="F7822" s="14">
        <v>0</v>
      </c>
      <c r="G7822" s="13">
        <v>169609428.6844</v>
      </c>
      <c r="H7822" s="14">
        <v>214771348221.13806</v>
      </c>
      <c r="I7822" s="14" t="e">
        <f>=Round(3217775.12010000,0)</f>
        <v>#VALUE!</v>
      </c>
      <c r="J7822" s="14" t="e">
        <f>=Round(0.00000000,0)</f>
        <v>#VALUE!</v>
      </c>
    </row>
    <row r="7823">
      <c r="A7823" s="11" t="s">
        <v>40</v>
      </c>
      <c r="B7823" s="12">
        <v>1266.9583</v>
      </c>
      <c r="C7823" s="12">
        <v>0</v>
      </c>
      <c r="D7823" s="13">
        <v>0</v>
      </c>
      <c r="E7823" s="12">
        <v>0</v>
      </c>
      <c r="F7823" s="14">
        <v>0</v>
      </c>
      <c r="G7823" s="13">
        <v>169609428.6844</v>
      </c>
      <c r="H7823" s="14">
        <v>214888073429.95865</v>
      </c>
      <c r="I7823" s="14" t="e">
        <f>=Round(3227438.29290000,0)</f>
        <v>#VALUE!</v>
      </c>
      <c r="J7823" s="14" t="e">
        <f>=Round(0.00000000,0)</f>
        <v>#VALUE!</v>
      </c>
    </row>
    <row r="7824">
      <c r="A7824" s="11" t="s">
        <v>41</v>
      </c>
      <c r="B7824" s="12">
        <v>1266.1038</v>
      </c>
      <c r="C7824" s="12">
        <v>0</v>
      </c>
      <c r="D7824" s="13">
        <v>0</v>
      </c>
      <c r="E7824" s="12">
        <v>0</v>
      </c>
      <c r="F7824" s="14">
        <v>0</v>
      </c>
      <c r="G7824" s="13">
        <v>169609428.6844</v>
      </c>
      <c r="H7824" s="14">
        <v>214743142173.14783</v>
      </c>
      <c r="I7824" s="14" t="e">
        <f>=Round(3229192.36030000,0)</f>
        <v>#VALUE!</v>
      </c>
      <c r="J7824" s="14" t="e">
        <f>=Round(0.00000000,0)</f>
        <v>#VALUE!</v>
      </c>
    </row>
    <row r="7825">
      <c r="A7825" s="11" t="s">
        <v>42</v>
      </c>
      <c r="B7825" s="12">
        <v>1266.1038</v>
      </c>
      <c r="C7825" s="12">
        <v>0</v>
      </c>
      <c r="D7825" s="13">
        <v>0</v>
      </c>
      <c r="E7825" s="12">
        <v>0</v>
      </c>
      <c r="F7825" s="14">
        <v>0</v>
      </c>
      <c r="G7825" s="13">
        <v>169609428.6844</v>
      </c>
      <c r="H7825" s="14">
        <v>214743142173.14783</v>
      </c>
      <c r="I7825" s="14" t="e">
        <f>=Round(3227014.43160000,0)</f>
        <v>#VALUE!</v>
      </c>
      <c r="J7825" s="14" t="e">
        <f>=Round(0.00000000,0)</f>
        <v>#VALUE!</v>
      </c>
    </row>
    <row r="7826">
      <c r="A7826" s="11" t="s">
        <v>43</v>
      </c>
      <c r="B7826" s="12">
        <v>1266.1038</v>
      </c>
      <c r="C7826" s="12">
        <v>0</v>
      </c>
      <c r="D7826" s="13">
        <v>0</v>
      </c>
      <c r="E7826" s="12">
        <v>0</v>
      </c>
      <c r="F7826" s="14">
        <v>0</v>
      </c>
      <c r="G7826" s="13">
        <v>169609428.6844</v>
      </c>
      <c r="H7826" s="14">
        <v>214743142173.14783</v>
      </c>
      <c r="I7826" s="14" t="e">
        <f>=Round(3227014.43160000,0)</f>
        <v>#VALUE!</v>
      </c>
      <c r="J7826" s="14" t="e">
        <f>=Round(0.00000000,0)</f>
        <v>#VALUE!</v>
      </c>
    </row>
    <row r="7827">
      <c r="A7827" s="11" t="s">
        <v>44</v>
      </c>
      <c r="B7827" s="12">
        <v>1267.4076</v>
      </c>
      <c r="C7827" s="12">
        <v>0</v>
      </c>
      <c r="D7827" s="13">
        <v>0</v>
      </c>
      <c r="E7827" s="12">
        <v>0</v>
      </c>
      <c r="F7827" s="14">
        <v>0</v>
      </c>
      <c r="G7827" s="13">
        <v>169609428.6844</v>
      </c>
      <c r="H7827" s="14">
        <v>214964278946.26657</v>
      </c>
      <c r="I7827" s="14" t="e">
        <f>=Round(3227014.43160000,0)</f>
        <v>#VALUE!</v>
      </c>
      <c r="J7827" s="14" t="e">
        <f>=Round(0.00000000,0)</f>
        <v>#VALUE!</v>
      </c>
    </row>
    <row r="7828">
      <c r="A7828" s="11" t="s">
        <v>45</v>
      </c>
      <c r="B7828" s="12">
        <v>1270.0303</v>
      </c>
      <c r="C7828" s="12">
        <v>0</v>
      </c>
      <c r="D7828" s="13">
        <v>0</v>
      </c>
      <c r="E7828" s="12">
        <v>0</v>
      </c>
      <c r="F7828" s="14">
        <v>0</v>
      </c>
      <c r="G7828" s="13">
        <v>169609428.6844</v>
      </c>
      <c r="H7828" s="14">
        <v>215409113594.87717</v>
      </c>
      <c r="I7828" s="14" t="e">
        <f>=Round(3230337.52510000,0)</f>
        <v>#VALUE!</v>
      </c>
      <c r="J7828" s="14" t="e">
        <f>=Round(0.00000000,0)</f>
        <v>#VALUE!</v>
      </c>
    </row>
    <row r="7829">
      <c r="A7829" s="11" t="s">
        <v>46</v>
      </c>
      <c r="B7829" s="12">
        <v>1271.8189</v>
      </c>
      <c r="C7829" s="12">
        <v>0</v>
      </c>
      <c r="D7829" s="13">
        <v>0</v>
      </c>
      <c r="E7829" s="12">
        <v>0</v>
      </c>
      <c r="F7829" s="14">
        <v>0</v>
      </c>
      <c r="G7829" s="13">
        <v>169609428.6844</v>
      </c>
      <c r="H7829" s="14">
        <v>215712477019.02203</v>
      </c>
      <c r="I7829" s="14" t="e">
        <f>=Round(3237022.19880000,0)</f>
        <v>#VALUE!</v>
      </c>
      <c r="J7829" s="14" t="e">
        <f>=Round(0.00000000,0)</f>
        <v>#VALUE!</v>
      </c>
    </row>
    <row r="7830">
      <c r="A7830" s="11" t="s">
        <v>47</v>
      </c>
      <c r="B7830" s="12">
        <v>1271.8524</v>
      </c>
      <c r="C7830" s="12">
        <v>0</v>
      </c>
      <c r="D7830" s="13">
        <v>0</v>
      </c>
      <c r="E7830" s="12">
        <v>0</v>
      </c>
      <c r="F7830" s="14">
        <v>0</v>
      </c>
      <c r="G7830" s="13">
        <v>169609428.6844</v>
      </c>
      <c r="H7830" s="14">
        <v>215718158934.88297</v>
      </c>
      <c r="I7830" s="14" t="e">
        <f>=Round(3241580.93880000,0)</f>
        <v>#VALUE!</v>
      </c>
      <c r="J7830" s="14" t="e">
        <f>=Round(0.00000000,0)</f>
        <v>#VALUE!</v>
      </c>
    </row>
    <row r="7831">
      <c r="A7831" s="11" t="s">
        <v>48</v>
      </c>
      <c r="B7831" s="12">
        <v>1271.4146</v>
      </c>
      <c r="C7831" s="12">
        <v>0</v>
      </c>
      <c r="D7831" s="13">
        <v>0</v>
      </c>
      <c r="E7831" s="12">
        <v>0</v>
      </c>
      <c r="F7831" s="14">
        <v>0</v>
      </c>
      <c r="G7831" s="13">
        <v>169609428.6844</v>
      </c>
      <c r="H7831" s="14">
        <v>215643903927.00497</v>
      </c>
      <c r="I7831" s="14" t="e">
        <f>=Round(3241666.32280000,0)</f>
        <v>#VALUE!</v>
      </c>
      <c r="J7831" s="14" t="e">
        <f>=Round(0.00000000,0)</f>
        <v>#VALUE!</v>
      </c>
    </row>
    <row r="7832">
      <c r="A7832" s="11" t="s">
        <v>49</v>
      </c>
      <c r="B7832" s="12">
        <v>1271.4146</v>
      </c>
      <c r="C7832" s="12">
        <v>0</v>
      </c>
      <c r="D7832" s="13">
        <v>0</v>
      </c>
      <c r="E7832" s="12">
        <v>0</v>
      </c>
      <c r="F7832" s="14">
        <v>0</v>
      </c>
      <c r="G7832" s="13">
        <v>169609428.6844</v>
      </c>
      <c r="H7832" s="14">
        <v>215643903927.00497</v>
      </c>
      <c r="I7832" s="14" t="e">
        <f>=Round(3240550.46880000,0)</f>
        <v>#VALUE!</v>
      </c>
      <c r="J7832" s="14" t="e">
        <f>=Round(0.00000000,0)</f>
        <v>#VALUE!</v>
      </c>
    </row>
    <row r="7833">
      <c r="A7833" s="11" t="s">
        <v>50</v>
      </c>
      <c r="B7833" s="12">
        <v>1271.4146</v>
      </c>
      <c r="C7833" s="12">
        <v>0</v>
      </c>
      <c r="D7833" s="13">
        <v>0</v>
      </c>
      <c r="E7833" s="12">
        <v>0</v>
      </c>
      <c r="F7833" s="14">
        <v>0</v>
      </c>
      <c r="G7833" s="13">
        <v>169609428.6844</v>
      </c>
      <c r="H7833" s="14">
        <v>215643903927.00497</v>
      </c>
      <c r="I7833" s="14" t="e">
        <f>=Round(3240550.46880000,0)</f>
        <v>#VALUE!</v>
      </c>
      <c r="J7833" s="14" t="e">
        <f>=Round(0.00000000,0)</f>
        <v>#VALUE!</v>
      </c>
    </row>
    <row r="7834">
      <c r="A7834" s="11" t="s">
        <v>51</v>
      </c>
      <c r="B7834" s="12">
        <v>1268.7515</v>
      </c>
      <c r="C7834" s="12">
        <v>0</v>
      </c>
      <c r="D7834" s="13">
        <v>0</v>
      </c>
      <c r="E7834" s="12">
        <v>0</v>
      </c>
      <c r="F7834" s="14">
        <v>0</v>
      </c>
      <c r="G7834" s="13">
        <v>169609428.6844</v>
      </c>
      <c r="H7834" s="14">
        <v>215192217057.47553</v>
      </c>
      <c r="I7834" s="14" t="e">
        <f>=Round(3240550.46880000,0)</f>
        <v>#VALUE!</v>
      </c>
      <c r="J7834" s="14" t="e">
        <f>=Round(0.00000000,0)</f>
        <v>#VALUE!</v>
      </c>
    </row>
    <row r="7835">
      <c r="A7835" s="11" t="s">
        <v>52</v>
      </c>
      <c r="B7835" s="12">
        <v>1268.7071</v>
      </c>
      <c r="C7835" s="12">
        <v>0</v>
      </c>
      <c r="D7835" s="13">
        <v>0</v>
      </c>
      <c r="E7835" s="12">
        <v>0</v>
      </c>
      <c r="F7835" s="14">
        <v>0</v>
      </c>
      <c r="G7835" s="13">
        <v>169609428.6844</v>
      </c>
      <c r="H7835" s="14">
        <v>215184686398.84195</v>
      </c>
      <c r="I7835" s="14" t="e">
        <f>=Round(3233762.82460000,0)</f>
        <v>#VALUE!</v>
      </c>
      <c r="J7835" s="14" t="e">
        <f>=Round(0.00000000,0)</f>
        <v>#VALUE!</v>
      </c>
    </row>
    <row r="7836">
      <c r="A7836" s="11" t="s">
        <v>53</v>
      </c>
      <c r="B7836" s="12">
        <v>1263.6206</v>
      </c>
      <c r="C7836" s="12">
        <v>0</v>
      </c>
      <c r="D7836" s="13">
        <v>0</v>
      </c>
      <c r="E7836" s="12">
        <v>0</v>
      </c>
      <c r="F7836" s="14">
        <v>0</v>
      </c>
      <c r="G7836" s="13">
        <v>169609428.6844</v>
      </c>
      <c r="H7836" s="14">
        <v>214321968039.83875</v>
      </c>
      <c r="I7836" s="14" t="e">
        <f>=Round(3233649.65900000,0)</f>
        <v>#VALUE!</v>
      </c>
      <c r="J7836" s="14" t="e">
        <f>=Round(0.00000000,0)</f>
        <v>#VALUE!</v>
      </c>
    </row>
    <row r="7837">
      <c r="A7837" s="11" t="s">
        <v>54</v>
      </c>
      <c r="B7837" s="12">
        <v>1248.7736</v>
      </c>
      <c r="C7837" s="12">
        <v>0</v>
      </c>
      <c r="D7837" s="13">
        <v>0</v>
      </c>
      <c r="E7837" s="12">
        <v>0</v>
      </c>
      <c r="F7837" s="14">
        <v>0</v>
      </c>
      <c r="G7837" s="13">
        <v>169609428.6844</v>
      </c>
      <c r="H7837" s="14">
        <v>211803776852.16144</v>
      </c>
      <c r="I7837" s="14" t="e">
        <f>=Round(3220685.31210000,0)</f>
        <v>#VALUE!</v>
      </c>
      <c r="J7837" s="14" t="e">
        <f>=Round(0.00000000,0)</f>
        <v>#VALUE!</v>
      </c>
    </row>
    <row r="7838">
      <c r="A7838" s="11" t="s">
        <v>55</v>
      </c>
      <c r="B7838" s="12">
        <v>1235.2708</v>
      </c>
      <c r="C7838" s="12">
        <v>0</v>
      </c>
      <c r="D7838" s="13">
        <v>0</v>
      </c>
      <c r="E7838" s="12">
        <v>0</v>
      </c>
      <c r="F7838" s="14">
        <v>0</v>
      </c>
      <c r="G7838" s="13">
        <v>169609428.6844</v>
      </c>
      <c r="H7838" s="14">
        <v>209513574658.52173</v>
      </c>
      <c r="I7838" s="14" t="e">
        <f>=Round(3182843.64120000,0)</f>
        <v>#VALUE!</v>
      </c>
      <c r="J7838" s="14" t="e">
        <f>=Round(0.00000000,0)</f>
        <v>#VALUE!</v>
      </c>
    </row>
    <row r="7839" ht="-1">
      <c r="A7839" s="15"/>
      <c r="B7839" s="16" t="s">
        <v>56</v>
      </c>
      <c r="C7839" s="15"/>
      <c r="D7839" s="15"/>
      <c r="E7839" s="15"/>
      <c r="F7839" s="15"/>
      <c r="G7839" s="15"/>
      <c r="H7839" s="15"/>
      <c r="I7839" s="17" t="e">
        <f>=Round(SUM(I7813:I7838),0)</f>
        <v>#VALUE!</v>
      </c>
      <c r="J7839" s="17" t="e">
        <f>=Round(SUM(J7813:J7838),0)</f>
        <v>#VALUE!</v>
      </c>
    </row>
    <row r="7840">
      <c r="A7840" s="1" t="s">
        <v>0</v>
      </c>
      <c r="B7840" s="1"/>
      <c r="C7840" s="1"/>
      <c r="D7840" s="1"/>
    </row>
    <row r="7841">
      <c r="A7841" s="0" t="s">
        <v>1</v>
      </c>
      <c r="C7841" s="0" t="s">
        <v>274</v>
      </c>
      <c r="H7841" s="2" t="s">
        <v>3</v>
      </c>
    </row>
    <row r="7842">
      <c r="A7842" s="0" t="s">
        <v>4</v>
      </c>
      <c r="C7842" s="0" t="s">
        <v>276</v>
      </c>
      <c r="H7842" s="3" t="s">
        <v>6</v>
      </c>
    </row>
    <row r="7843">
      <c r="A7843" s="0" t="s">
        <v>7</v>
      </c>
      <c r="C7843" s="4" t="s">
        <v>146</v>
      </c>
      <c r="H7843" s="2" t="s">
        <v>9</v>
      </c>
    </row>
    <row r="7844">
      <c r="A7844" s="0" t="s">
        <v>10</v>
      </c>
      <c r="C7844" s="4" t="s">
        <v>11</v>
      </c>
      <c r="H7844" s="2" t="s">
        <v>12</v>
      </c>
    </row>
    <row r="7845">
      <c r="A7845" s="0" t="s">
        <v>13</v>
      </c>
      <c r="C7845" s="0" t="s">
        <v>14</v>
      </c>
    </row>
    <row r="7846">
      <c r="A7846" s="0" t="s">
        <v>15</v>
      </c>
      <c r="C7846" s="0" t="s">
        <v>16</v>
      </c>
    </row>
    <row r="7847">
      <c r="A7847" s="0" t="s">
        <v>17</v>
      </c>
      <c r="C7847" s="0" t="s">
        <v>18</v>
      </c>
    </row>
    <row r="7850">
      <c r="A7850" s="5" t="s">
        <v>19</v>
      </c>
      <c r="B7850" s="5" t="s">
        <v>20</v>
      </c>
      <c r="C7850" s="7" t="s">
        <v>21</v>
      </c>
      <c r="D7850" s="9"/>
      <c r="E7850" s="7" t="s">
        <v>22</v>
      </c>
      <c r="F7850" s="9"/>
      <c r="G7850" s="5" t="s">
        <v>23</v>
      </c>
      <c r="H7850" s="5" t="s">
        <v>24</v>
      </c>
      <c r="I7850" s="5" t="s">
        <v>147</v>
      </c>
      <c r="J7850" s="5" t="s">
        <v>26</v>
      </c>
    </row>
    <row r="7851">
      <c r="A7851" s="6"/>
      <c r="B7851" s="6"/>
      <c r="C7851" s="8" t="s">
        <v>27</v>
      </c>
      <c r="D7851" s="8" t="s">
        <v>28</v>
      </c>
      <c r="E7851" s="8" t="s">
        <v>27</v>
      </c>
      <c r="F7851" s="8" t="s">
        <v>28</v>
      </c>
      <c r="G7851" s="6"/>
      <c r="H7851" s="6"/>
      <c r="I7851" s="10" t="s">
        <v>29</v>
      </c>
      <c r="J7851" s="6"/>
    </row>
    <row r="7852">
      <c r="A7852" s="11" t="s">
        <v>30</v>
      </c>
      <c r="B7852" s="12">
        <v>1248.9282</v>
      </c>
      <c r="C7852" s="12">
        <v>0</v>
      </c>
      <c r="D7852" s="13">
        <v>0</v>
      </c>
      <c r="E7852" s="12">
        <v>0</v>
      </c>
      <c r="F7852" s="14">
        <v>0</v>
      </c>
      <c r="G7852" s="13">
        <v>1624517.8766</v>
      </c>
      <c r="H7852" s="14">
        <v>2028906187.48986</v>
      </c>
      <c r="I7852" s="14" t="e">
        <f>=Round(30563.12320000,0)</f>
        <v>#VALUE!</v>
      </c>
      <c r="J7852" s="14" t="e">
        <f>=Round(0.00000000,0)</f>
        <v>#VALUE!</v>
      </c>
    </row>
    <row r="7853">
      <c r="A7853" s="11" t="s">
        <v>31</v>
      </c>
      <c r="B7853" s="12">
        <v>1256.528</v>
      </c>
      <c r="C7853" s="12">
        <v>0</v>
      </c>
      <c r="D7853" s="13">
        <v>0</v>
      </c>
      <c r="E7853" s="12">
        <v>0</v>
      </c>
      <c r="F7853" s="14">
        <v>0</v>
      </c>
      <c r="G7853" s="13">
        <v>1624517.8766</v>
      </c>
      <c r="H7853" s="14">
        <v>2041252198.4484451</v>
      </c>
      <c r="I7853" s="14" t="e">
        <f>=Round(30489.02740000,0)</f>
        <v>#VALUE!</v>
      </c>
      <c r="J7853" s="14" t="e">
        <f>=Round(0.00000000,0)</f>
        <v>#VALUE!</v>
      </c>
    </row>
    <row r="7854">
      <c r="A7854" s="11" t="s">
        <v>32</v>
      </c>
      <c r="B7854" s="12">
        <v>1254.6375</v>
      </c>
      <c r="C7854" s="12">
        <v>0</v>
      </c>
      <c r="D7854" s="13">
        <v>0</v>
      </c>
      <c r="E7854" s="12">
        <v>0</v>
      </c>
      <c r="F7854" s="14">
        <v>0</v>
      </c>
      <c r="G7854" s="13">
        <v>1624517.8766</v>
      </c>
      <c r="H7854" s="14">
        <v>2038181047.4027331</v>
      </c>
      <c r="I7854" s="14" t="e">
        <f>=Round(30674.55490000,0)</f>
        <v>#VALUE!</v>
      </c>
      <c r="J7854" s="14" t="e">
        <f>=Round(0.00000000,0)</f>
        <v>#VALUE!</v>
      </c>
    </row>
    <row r="7855">
      <c r="A7855" s="11" t="s">
        <v>33</v>
      </c>
      <c r="B7855" s="12">
        <v>1260.0744</v>
      </c>
      <c r="C7855" s="12">
        <v>0</v>
      </c>
      <c r="D7855" s="13">
        <v>0</v>
      </c>
      <c r="E7855" s="12">
        <v>0</v>
      </c>
      <c r="F7855" s="14">
        <v>0</v>
      </c>
      <c r="G7855" s="13">
        <v>1624517.8766</v>
      </c>
      <c r="H7855" s="14">
        <v>2047013388.646019</v>
      </c>
      <c r="I7855" s="14" t="e">
        <f>=Round(30628.40370000,0)</f>
        <v>#VALUE!</v>
      </c>
      <c r="J7855" s="14" t="e">
        <f>=Round(0.00000000,0)</f>
        <v>#VALUE!</v>
      </c>
    </row>
    <row r="7856">
      <c r="A7856" s="11" t="s">
        <v>34</v>
      </c>
      <c r="B7856" s="12">
        <v>1262.5315</v>
      </c>
      <c r="C7856" s="12">
        <v>0</v>
      </c>
      <c r="D7856" s="13">
        <v>0</v>
      </c>
      <c r="E7856" s="12">
        <v>0</v>
      </c>
      <c r="F7856" s="14">
        <v>0</v>
      </c>
      <c r="G7856" s="13">
        <v>1624517.8766</v>
      </c>
      <c r="H7856" s="14">
        <v>2051004991.520613</v>
      </c>
      <c r="I7856" s="14" t="e">
        <f>=Round(30761.13020000,0)</f>
        <v>#VALUE!</v>
      </c>
      <c r="J7856" s="14" t="e">
        <f>=Round(0.00000000,0)</f>
        <v>#VALUE!</v>
      </c>
    </row>
    <row r="7857">
      <c r="A7857" s="11" t="s">
        <v>35</v>
      </c>
      <c r="B7857" s="12">
        <v>1262.5315</v>
      </c>
      <c r="C7857" s="12">
        <v>0</v>
      </c>
      <c r="D7857" s="13">
        <v>0</v>
      </c>
      <c r="E7857" s="12">
        <v>0</v>
      </c>
      <c r="F7857" s="14">
        <v>0</v>
      </c>
      <c r="G7857" s="13">
        <v>1624517.8766</v>
      </c>
      <c r="H7857" s="14">
        <v>2051004991.520613</v>
      </c>
      <c r="I7857" s="14" t="e">
        <f>=Round(30821.11330000,0)</f>
        <v>#VALUE!</v>
      </c>
      <c r="J7857" s="14" t="e">
        <f>=Round(0.00000000,0)</f>
        <v>#VALUE!</v>
      </c>
    </row>
    <row r="7858">
      <c r="A7858" s="11" t="s">
        <v>36</v>
      </c>
      <c r="B7858" s="12">
        <v>1262.5315</v>
      </c>
      <c r="C7858" s="12">
        <v>0</v>
      </c>
      <c r="D7858" s="13">
        <v>0</v>
      </c>
      <c r="E7858" s="12">
        <v>0</v>
      </c>
      <c r="F7858" s="14">
        <v>0</v>
      </c>
      <c r="G7858" s="13">
        <v>1624517.8766</v>
      </c>
      <c r="H7858" s="14">
        <v>2051004991.520613</v>
      </c>
      <c r="I7858" s="14" t="e">
        <f>=Round(30821.11330000,0)</f>
        <v>#VALUE!</v>
      </c>
      <c r="J7858" s="14" t="e">
        <f>=Round(0.00000000,0)</f>
        <v>#VALUE!</v>
      </c>
    </row>
    <row r="7859">
      <c r="A7859" s="11" t="s">
        <v>37</v>
      </c>
      <c r="B7859" s="12">
        <v>1260.7554</v>
      </c>
      <c r="C7859" s="12">
        <v>0</v>
      </c>
      <c r="D7859" s="13">
        <v>0</v>
      </c>
      <c r="E7859" s="12">
        <v>0</v>
      </c>
      <c r="F7859" s="14">
        <v>0</v>
      </c>
      <c r="G7859" s="13">
        <v>1624517.8766</v>
      </c>
      <c r="H7859" s="14">
        <v>2048119685.319984</v>
      </c>
      <c r="I7859" s="14" t="e">
        <f>=Round(30821.11330000,0)</f>
        <v>#VALUE!</v>
      </c>
      <c r="J7859" s="14" t="e">
        <f>=Round(0.00000000,0)</f>
        <v>#VALUE!</v>
      </c>
    </row>
    <row r="7860">
      <c r="A7860" s="11" t="s">
        <v>38</v>
      </c>
      <c r="B7860" s="12">
        <v>1262.4788</v>
      </c>
      <c r="C7860" s="12">
        <v>0</v>
      </c>
      <c r="D7860" s="13">
        <v>0</v>
      </c>
      <c r="E7860" s="12">
        <v>0</v>
      </c>
      <c r="F7860" s="14">
        <v>0</v>
      </c>
      <c r="G7860" s="13">
        <v>1624517.8766</v>
      </c>
      <c r="H7860" s="14">
        <v>2050919379.4285159</v>
      </c>
      <c r="I7860" s="14" t="e">
        <f>=Round(30777.75480000,0)</f>
        <v>#VALUE!</v>
      </c>
      <c r="J7860" s="14" t="e">
        <f>=Round(0.00000000,0)</f>
        <v>#VALUE!</v>
      </c>
    </row>
    <row r="7861">
      <c r="A7861" s="11" t="s">
        <v>39</v>
      </c>
      <c r="B7861" s="12">
        <v>1266.2701</v>
      </c>
      <c r="C7861" s="12">
        <v>0</v>
      </c>
      <c r="D7861" s="13">
        <v>0</v>
      </c>
      <c r="E7861" s="12">
        <v>0</v>
      </c>
      <c r="F7861" s="14">
        <v>0</v>
      </c>
      <c r="G7861" s="13">
        <v>1624517.8766</v>
      </c>
      <c r="H7861" s="14">
        <v>2057078414.05407</v>
      </c>
      <c r="I7861" s="14" t="e">
        <f>=Round(30819.82670000,0)</f>
        <v>#VALUE!</v>
      </c>
      <c r="J7861" s="14" t="e">
        <f>=Round(0.00000000,0)</f>
        <v>#VALUE!</v>
      </c>
    </row>
    <row r="7862">
      <c r="A7862" s="11" t="s">
        <v>40</v>
      </c>
      <c r="B7862" s="12">
        <v>1266.9583</v>
      </c>
      <c r="C7862" s="12">
        <v>0</v>
      </c>
      <c r="D7862" s="13">
        <v>0</v>
      </c>
      <c r="E7862" s="12">
        <v>0</v>
      </c>
      <c r="F7862" s="14">
        <v>0</v>
      </c>
      <c r="G7862" s="13">
        <v>1624517.8766</v>
      </c>
      <c r="H7862" s="14">
        <v>2058196407.2567461</v>
      </c>
      <c r="I7862" s="14" t="e">
        <f>=Round(30912.38050000,0)</f>
        <v>#VALUE!</v>
      </c>
      <c r="J7862" s="14" t="e">
        <f>=Round(0.00000000,0)</f>
        <v>#VALUE!</v>
      </c>
    </row>
    <row r="7863">
      <c r="A7863" s="11" t="s">
        <v>41</v>
      </c>
      <c r="B7863" s="12">
        <v>1266.1038</v>
      </c>
      <c r="C7863" s="12">
        <v>0</v>
      </c>
      <c r="D7863" s="13">
        <v>0</v>
      </c>
      <c r="E7863" s="12">
        <v>0</v>
      </c>
      <c r="F7863" s="14">
        <v>0</v>
      </c>
      <c r="G7863" s="13">
        <v>1624517.8766</v>
      </c>
      <c r="H7863" s="14">
        <v>2056808256.7311909</v>
      </c>
      <c r="I7863" s="14" t="e">
        <f>=Round(30929.18100000,0)</f>
        <v>#VALUE!</v>
      </c>
      <c r="J7863" s="14" t="e">
        <f>=Round(0.00000000,0)</f>
        <v>#VALUE!</v>
      </c>
    </row>
    <row r="7864">
      <c r="A7864" s="11" t="s">
        <v>42</v>
      </c>
      <c r="B7864" s="12">
        <v>1266.1038</v>
      </c>
      <c r="C7864" s="12">
        <v>0</v>
      </c>
      <c r="D7864" s="13">
        <v>0</v>
      </c>
      <c r="E7864" s="12">
        <v>0</v>
      </c>
      <c r="F7864" s="14">
        <v>0</v>
      </c>
      <c r="G7864" s="13">
        <v>1624517.8766</v>
      </c>
      <c r="H7864" s="14">
        <v>2056808256.7311909</v>
      </c>
      <c r="I7864" s="14" t="e">
        <f>=Round(30908.32080000,0)</f>
        <v>#VALUE!</v>
      </c>
      <c r="J7864" s="14" t="e">
        <f>=Round(0.00000000,0)</f>
        <v>#VALUE!</v>
      </c>
    </row>
    <row r="7865">
      <c r="A7865" s="11" t="s">
        <v>43</v>
      </c>
      <c r="B7865" s="12">
        <v>1266.1038</v>
      </c>
      <c r="C7865" s="12">
        <v>0</v>
      </c>
      <c r="D7865" s="13">
        <v>0</v>
      </c>
      <c r="E7865" s="12">
        <v>0</v>
      </c>
      <c r="F7865" s="14">
        <v>0</v>
      </c>
      <c r="G7865" s="13">
        <v>1624517.8766</v>
      </c>
      <c r="H7865" s="14">
        <v>2056808256.7311909</v>
      </c>
      <c r="I7865" s="14" t="e">
        <f>=Round(30908.32080000,0)</f>
        <v>#VALUE!</v>
      </c>
      <c r="J7865" s="14" t="e">
        <f>=Round(0.00000000,0)</f>
        <v>#VALUE!</v>
      </c>
    </row>
    <row r="7866">
      <c r="A7866" s="11" t="s">
        <v>44</v>
      </c>
      <c r="B7866" s="12">
        <v>1267.4076</v>
      </c>
      <c r="C7866" s="12">
        <v>0</v>
      </c>
      <c r="D7866" s="13">
        <v>0</v>
      </c>
      <c r="E7866" s="12">
        <v>0</v>
      </c>
      <c r="F7866" s="14">
        <v>0</v>
      </c>
      <c r="G7866" s="13">
        <v>1624517.8766</v>
      </c>
      <c r="H7866" s="14">
        <v>2058926303.1387019</v>
      </c>
      <c r="I7866" s="14" t="e">
        <f>=Round(30908.32080000,0)</f>
        <v>#VALUE!</v>
      </c>
      <c r="J7866" s="14" t="e">
        <f>=Round(0.00000000,0)</f>
        <v>#VALUE!</v>
      </c>
    </row>
    <row r="7867">
      <c r="A7867" s="11" t="s">
        <v>45</v>
      </c>
      <c r="B7867" s="12">
        <v>1270.0303</v>
      </c>
      <c r="C7867" s="12">
        <v>0</v>
      </c>
      <c r="D7867" s="13">
        <v>0</v>
      </c>
      <c r="E7867" s="12">
        <v>0</v>
      </c>
      <c r="F7867" s="14">
        <v>0</v>
      </c>
      <c r="G7867" s="13">
        <v>1624517.8766</v>
      </c>
      <c r="H7867" s="14">
        <v>2063186926.173661</v>
      </c>
      <c r="I7867" s="14" t="e">
        <f>=Round(30940.14940000,0)</f>
        <v>#VALUE!</v>
      </c>
      <c r="J7867" s="14" t="e">
        <f>=Round(0.00000000,0)</f>
        <v>#VALUE!</v>
      </c>
    </row>
    <row r="7868">
      <c r="A7868" s="11" t="s">
        <v>46</v>
      </c>
      <c r="B7868" s="12">
        <v>1271.8189</v>
      </c>
      <c r="C7868" s="12">
        <v>0</v>
      </c>
      <c r="D7868" s="13">
        <v>0</v>
      </c>
      <c r="E7868" s="12">
        <v>0</v>
      </c>
      <c r="F7868" s="14">
        <v>0</v>
      </c>
      <c r="G7868" s="13">
        <v>1624517.8766</v>
      </c>
      <c r="H7868" s="14">
        <v>2066092538.847748</v>
      </c>
      <c r="I7868" s="14" t="e">
        <f>=Round(31004.17510000,0)</f>
        <v>#VALUE!</v>
      </c>
      <c r="J7868" s="14" t="e">
        <f>=Round(0.00000000,0)</f>
        <v>#VALUE!</v>
      </c>
    </row>
    <row r="7869">
      <c r="A7869" s="11" t="s">
        <v>47</v>
      </c>
      <c r="B7869" s="12">
        <v>1271.8524</v>
      </c>
      <c r="C7869" s="12">
        <v>0</v>
      </c>
      <c r="D7869" s="13">
        <v>0</v>
      </c>
      <c r="E7869" s="12">
        <v>0</v>
      </c>
      <c r="F7869" s="14">
        <v>0</v>
      </c>
      <c r="G7869" s="13">
        <v>1624517.8766</v>
      </c>
      <c r="H7869" s="14">
        <v>2066146960.196614</v>
      </c>
      <c r="I7869" s="14" t="e">
        <f>=Round(31047.83870000,0)</f>
        <v>#VALUE!</v>
      </c>
      <c r="J7869" s="14" t="e">
        <f>=Round(0.00000000,0)</f>
        <v>#VALUE!</v>
      </c>
    </row>
    <row r="7870">
      <c r="A7870" s="11" t="s">
        <v>48</v>
      </c>
      <c r="B7870" s="12">
        <v>1271.4146</v>
      </c>
      <c r="C7870" s="12">
        <v>0</v>
      </c>
      <c r="D7870" s="13">
        <v>0</v>
      </c>
      <c r="E7870" s="12">
        <v>0</v>
      </c>
      <c r="F7870" s="14">
        <v>0</v>
      </c>
      <c r="G7870" s="13">
        <v>1624517.8766</v>
      </c>
      <c r="H7870" s="14">
        <v>2065435746.2702379</v>
      </c>
      <c r="I7870" s="14" t="e">
        <f>=Round(31048.65650000,0)</f>
        <v>#VALUE!</v>
      </c>
      <c r="J7870" s="14" t="e">
        <f>=Round(0.00000000,0)</f>
        <v>#VALUE!</v>
      </c>
    </row>
    <row r="7871">
      <c r="A7871" s="11" t="s">
        <v>49</v>
      </c>
      <c r="B7871" s="12">
        <v>1271.4146</v>
      </c>
      <c r="C7871" s="12">
        <v>0</v>
      </c>
      <c r="D7871" s="13">
        <v>0</v>
      </c>
      <c r="E7871" s="12">
        <v>0</v>
      </c>
      <c r="F7871" s="14">
        <v>0</v>
      </c>
      <c r="G7871" s="13">
        <v>1624517.8766</v>
      </c>
      <c r="H7871" s="14">
        <v>2065435746.2702379</v>
      </c>
      <c r="I7871" s="14" t="e">
        <f>=Round(31037.96890000,0)</f>
        <v>#VALUE!</v>
      </c>
      <c r="J7871" s="14" t="e">
        <f>=Round(0.00000000,0)</f>
        <v>#VALUE!</v>
      </c>
    </row>
    <row r="7872">
      <c r="A7872" s="11" t="s">
        <v>50</v>
      </c>
      <c r="B7872" s="12">
        <v>1271.4146</v>
      </c>
      <c r="C7872" s="12">
        <v>0</v>
      </c>
      <c r="D7872" s="13">
        <v>0</v>
      </c>
      <c r="E7872" s="12">
        <v>0</v>
      </c>
      <c r="F7872" s="14">
        <v>0</v>
      </c>
      <c r="G7872" s="13">
        <v>1624517.8766</v>
      </c>
      <c r="H7872" s="14">
        <v>2065435746.2702379</v>
      </c>
      <c r="I7872" s="14" t="e">
        <f>=Round(31037.96890000,0)</f>
        <v>#VALUE!</v>
      </c>
      <c r="J7872" s="14" t="e">
        <f>=Round(0.00000000,0)</f>
        <v>#VALUE!</v>
      </c>
    </row>
    <row r="7873">
      <c r="A7873" s="11" t="s">
        <v>51</v>
      </c>
      <c r="B7873" s="12">
        <v>1268.7515</v>
      </c>
      <c r="C7873" s="12">
        <v>0</v>
      </c>
      <c r="D7873" s="13">
        <v>0</v>
      </c>
      <c r="E7873" s="12">
        <v>0</v>
      </c>
      <c r="F7873" s="14">
        <v>0</v>
      </c>
      <c r="G7873" s="13">
        <v>1624517.8766</v>
      </c>
      <c r="H7873" s="14">
        <v>2061109492.7130649</v>
      </c>
      <c r="I7873" s="14" t="e">
        <f>=Round(31037.96890000,0)</f>
        <v>#VALUE!</v>
      </c>
      <c r="J7873" s="14" t="e">
        <f>=Round(0.00000000,0)</f>
        <v>#VALUE!</v>
      </c>
    </row>
    <row r="7874">
      <c r="A7874" s="11" t="s">
        <v>52</v>
      </c>
      <c r="B7874" s="12">
        <v>1268.7071</v>
      </c>
      <c r="C7874" s="12">
        <v>0</v>
      </c>
      <c r="D7874" s="13">
        <v>0</v>
      </c>
      <c r="E7874" s="12">
        <v>0</v>
      </c>
      <c r="F7874" s="14">
        <v>0</v>
      </c>
      <c r="G7874" s="13">
        <v>1624517.8766</v>
      </c>
      <c r="H7874" s="14">
        <v>2061037364.119344</v>
      </c>
      <c r="I7874" s="14" t="e">
        <f>=Round(30972.95690000,0)</f>
        <v>#VALUE!</v>
      </c>
      <c r="J7874" s="14" t="e">
        <f>=Round(0.00000000,0)</f>
        <v>#VALUE!</v>
      </c>
    </row>
    <row r="7875">
      <c r="A7875" s="11" t="s">
        <v>53</v>
      </c>
      <c r="B7875" s="12">
        <v>1263.6206</v>
      </c>
      <c r="C7875" s="12">
        <v>0</v>
      </c>
      <c r="D7875" s="13">
        <v>0</v>
      </c>
      <c r="E7875" s="12">
        <v>0</v>
      </c>
      <c r="F7875" s="14">
        <v>0</v>
      </c>
      <c r="G7875" s="13">
        <v>1624517.8766</v>
      </c>
      <c r="H7875" s="14">
        <v>2052774253.9400179</v>
      </c>
      <c r="I7875" s="14" t="e">
        <f>=Round(30971.87300000,0)</f>
        <v>#VALUE!</v>
      </c>
      <c r="J7875" s="14" t="e">
        <f>=Round(0.00000000,0)</f>
        <v>#VALUE!</v>
      </c>
    </row>
    <row r="7876">
      <c r="A7876" s="11" t="s">
        <v>54</v>
      </c>
      <c r="B7876" s="12">
        <v>1248.7736</v>
      </c>
      <c r="C7876" s="12">
        <v>0</v>
      </c>
      <c r="D7876" s="13">
        <v>0</v>
      </c>
      <c r="E7876" s="12">
        <v>0</v>
      </c>
      <c r="F7876" s="14">
        <v>0</v>
      </c>
      <c r="G7876" s="13">
        <v>1624517.8766</v>
      </c>
      <c r="H7876" s="14">
        <v>2028655037.0261381</v>
      </c>
      <c r="I7876" s="14" t="e">
        <f>=Round(30847.70050000,0)</f>
        <v>#VALUE!</v>
      </c>
      <c r="J7876" s="14" t="e">
        <f>=Round(0.00000000,0)</f>
        <v>#VALUE!</v>
      </c>
    </row>
    <row r="7877">
      <c r="A7877" s="11" t="s">
        <v>55</v>
      </c>
      <c r="B7877" s="12">
        <v>1235.2708</v>
      </c>
      <c r="C7877" s="12">
        <v>0</v>
      </c>
      <c r="D7877" s="13">
        <v>0</v>
      </c>
      <c r="E7877" s="12">
        <v>0</v>
      </c>
      <c r="F7877" s="14">
        <v>0</v>
      </c>
      <c r="G7877" s="13">
        <v>1624517.8766</v>
      </c>
      <c r="H7877" s="14">
        <v>2006719497.0419829</v>
      </c>
      <c r="I7877" s="14" t="e">
        <f>=Round(30485.25330000,0)</f>
        <v>#VALUE!</v>
      </c>
      <c r="J7877" s="14" t="e">
        <f>=Round(0.00000000,0)</f>
        <v>#VALUE!</v>
      </c>
    </row>
    <row r="7878" ht="-1">
      <c r="A7878" s="15"/>
      <c r="B7878" s="16" t="s">
        <v>56</v>
      </c>
      <c r="C7878" s="15"/>
      <c r="D7878" s="15"/>
      <c r="E7878" s="15"/>
      <c r="F7878" s="15"/>
      <c r="G7878" s="15"/>
      <c r="H7878" s="15"/>
      <c r="I7878" s="17" t="e">
        <f>=Round(SUM(I7852:I7877),0)</f>
        <v>#VALUE!</v>
      </c>
      <c r="J7878" s="17" t="e">
        <f>=Round(SUM(J7852:J7877),0)</f>
        <v>#VALUE!</v>
      </c>
    </row>
    <row r="7879">
      <c r="A7879" s="1" t="s">
        <v>0</v>
      </c>
      <c r="B7879" s="1"/>
      <c r="C7879" s="1"/>
      <c r="D7879" s="1"/>
    </row>
    <row r="7880">
      <c r="A7880" s="0" t="s">
        <v>1</v>
      </c>
      <c r="C7880" s="0" t="s">
        <v>274</v>
      </c>
      <c r="H7880" s="2" t="s">
        <v>3</v>
      </c>
    </row>
    <row r="7881">
      <c r="A7881" s="0" t="s">
        <v>4</v>
      </c>
      <c r="C7881" s="0" t="s">
        <v>277</v>
      </c>
      <c r="H7881" s="3" t="s">
        <v>6</v>
      </c>
    </row>
    <row r="7882">
      <c r="A7882" s="0" t="s">
        <v>7</v>
      </c>
      <c r="C7882" s="4" t="s">
        <v>146</v>
      </c>
      <c r="H7882" s="2" t="s">
        <v>9</v>
      </c>
    </row>
    <row r="7883">
      <c r="A7883" s="0" t="s">
        <v>10</v>
      </c>
      <c r="C7883" s="4" t="s">
        <v>11</v>
      </c>
      <c r="H7883" s="2" t="s">
        <v>12</v>
      </c>
    </row>
    <row r="7884">
      <c r="A7884" s="0" t="s">
        <v>13</v>
      </c>
      <c r="C7884" s="0" t="s">
        <v>14</v>
      </c>
    </row>
    <row r="7885">
      <c r="A7885" s="0" t="s">
        <v>15</v>
      </c>
      <c r="C7885" s="0" t="s">
        <v>16</v>
      </c>
    </row>
    <row r="7886">
      <c r="A7886" s="0" t="s">
        <v>17</v>
      </c>
      <c r="C7886" s="0" t="s">
        <v>18</v>
      </c>
    </row>
    <row r="7889">
      <c r="A7889" s="5" t="s">
        <v>19</v>
      </c>
      <c r="B7889" s="5" t="s">
        <v>20</v>
      </c>
      <c r="C7889" s="7" t="s">
        <v>21</v>
      </c>
      <c r="D7889" s="9"/>
      <c r="E7889" s="7" t="s">
        <v>22</v>
      </c>
      <c r="F7889" s="9"/>
      <c r="G7889" s="5" t="s">
        <v>23</v>
      </c>
      <c r="H7889" s="5" t="s">
        <v>24</v>
      </c>
      <c r="I7889" s="5" t="s">
        <v>147</v>
      </c>
      <c r="J7889" s="5" t="s">
        <v>26</v>
      </c>
    </row>
    <row r="7890">
      <c r="A7890" s="6"/>
      <c r="B7890" s="6"/>
      <c r="C7890" s="8" t="s">
        <v>27</v>
      </c>
      <c r="D7890" s="8" t="s">
        <v>28</v>
      </c>
      <c r="E7890" s="8" t="s">
        <v>27</v>
      </c>
      <c r="F7890" s="8" t="s">
        <v>28</v>
      </c>
      <c r="G7890" s="6"/>
      <c r="H7890" s="6"/>
      <c r="I7890" s="10" t="s">
        <v>29</v>
      </c>
      <c r="J7890" s="6"/>
    </row>
    <row r="7891">
      <c r="A7891" s="11" t="s">
        <v>30</v>
      </c>
      <c r="B7891" s="12">
        <v>1248.9282</v>
      </c>
      <c r="C7891" s="12">
        <v>0</v>
      </c>
      <c r="D7891" s="13">
        <v>0</v>
      </c>
      <c r="E7891" s="12">
        <v>0</v>
      </c>
      <c r="F7891" s="14">
        <v>0</v>
      </c>
      <c r="G7891" s="13">
        <v>174803.0188</v>
      </c>
      <c r="H7891" s="14">
        <v>218316419.62445</v>
      </c>
      <c r="I7891" s="14" t="e">
        <f>=Round(3288.68420000,0)</f>
        <v>#VALUE!</v>
      </c>
      <c r="J7891" s="14" t="e">
        <f>=Round(0.00000000,0)</f>
        <v>#VALUE!</v>
      </c>
    </row>
    <row r="7892">
      <c r="A7892" s="11" t="s">
        <v>31</v>
      </c>
      <c r="B7892" s="12">
        <v>1256.528</v>
      </c>
      <c r="C7892" s="12">
        <v>0</v>
      </c>
      <c r="D7892" s="13">
        <v>0</v>
      </c>
      <c r="E7892" s="12">
        <v>0</v>
      </c>
      <c r="F7892" s="14">
        <v>0</v>
      </c>
      <c r="G7892" s="13">
        <v>174803.0188</v>
      </c>
      <c r="H7892" s="14">
        <v>219644887.606726</v>
      </c>
      <c r="I7892" s="14" t="e">
        <f>=Round(3280.71120000,0)</f>
        <v>#VALUE!</v>
      </c>
      <c r="J7892" s="14" t="e">
        <f>=Round(0.00000000,0)</f>
        <v>#VALUE!</v>
      </c>
    </row>
    <row r="7893">
      <c r="A7893" s="11" t="s">
        <v>32</v>
      </c>
      <c r="B7893" s="12">
        <v>1254.6375</v>
      </c>
      <c r="C7893" s="12">
        <v>0</v>
      </c>
      <c r="D7893" s="13">
        <v>0</v>
      </c>
      <c r="E7893" s="12">
        <v>0</v>
      </c>
      <c r="F7893" s="14">
        <v>0</v>
      </c>
      <c r="G7893" s="13">
        <v>174803.0188</v>
      </c>
      <c r="H7893" s="14">
        <v>219314422.499685</v>
      </c>
      <c r="I7893" s="14" t="e">
        <f>=Round(3300.67450000,0)</f>
        <v>#VALUE!</v>
      </c>
      <c r="J7893" s="14" t="e">
        <f>=Round(0.00000000,0)</f>
        <v>#VALUE!</v>
      </c>
    </row>
    <row r="7894">
      <c r="A7894" s="11" t="s">
        <v>33</v>
      </c>
      <c r="B7894" s="12">
        <v>1260.0744</v>
      </c>
      <c r="C7894" s="12">
        <v>0</v>
      </c>
      <c r="D7894" s="13">
        <v>0</v>
      </c>
      <c r="E7894" s="12">
        <v>0</v>
      </c>
      <c r="F7894" s="14">
        <v>0</v>
      </c>
      <c r="G7894" s="13">
        <v>174803.0188</v>
      </c>
      <c r="H7894" s="14">
        <v>220264809.032599</v>
      </c>
      <c r="I7894" s="14" t="e">
        <f>=Round(3295.70850000,0)</f>
        <v>#VALUE!</v>
      </c>
      <c r="J7894" s="14" t="e">
        <f>=Round(0.00000000,0)</f>
        <v>#VALUE!</v>
      </c>
    </row>
    <row r="7895">
      <c r="A7895" s="11" t="s">
        <v>34</v>
      </c>
      <c r="B7895" s="12">
        <v>1262.5315</v>
      </c>
      <c r="C7895" s="12">
        <v>0</v>
      </c>
      <c r="D7895" s="13">
        <v>0</v>
      </c>
      <c r="E7895" s="12">
        <v>0</v>
      </c>
      <c r="F7895" s="14">
        <v>0</v>
      </c>
      <c r="G7895" s="13">
        <v>174803.0188</v>
      </c>
      <c r="H7895" s="14">
        <v>220694317.530092</v>
      </c>
      <c r="I7895" s="14" t="e">
        <f>=Round(3309.99030000,0)</f>
        <v>#VALUE!</v>
      </c>
      <c r="J7895" s="14" t="e">
        <f>=Round(0.00000000,0)</f>
        <v>#VALUE!</v>
      </c>
    </row>
    <row r="7896">
      <c r="A7896" s="11" t="s">
        <v>35</v>
      </c>
      <c r="B7896" s="12">
        <v>1262.5315</v>
      </c>
      <c r="C7896" s="12">
        <v>0</v>
      </c>
      <c r="D7896" s="13">
        <v>0</v>
      </c>
      <c r="E7896" s="12">
        <v>0</v>
      </c>
      <c r="F7896" s="14">
        <v>0</v>
      </c>
      <c r="G7896" s="13">
        <v>174803.0188</v>
      </c>
      <c r="H7896" s="14">
        <v>220694317.530092</v>
      </c>
      <c r="I7896" s="14" t="e">
        <f>=Round(3316.44470000,0)</f>
        <v>#VALUE!</v>
      </c>
      <c r="J7896" s="14" t="e">
        <f>=Round(0.00000000,0)</f>
        <v>#VALUE!</v>
      </c>
    </row>
    <row r="7897">
      <c r="A7897" s="11" t="s">
        <v>36</v>
      </c>
      <c r="B7897" s="12">
        <v>1262.5315</v>
      </c>
      <c r="C7897" s="12">
        <v>0</v>
      </c>
      <c r="D7897" s="13">
        <v>0</v>
      </c>
      <c r="E7897" s="12">
        <v>0</v>
      </c>
      <c r="F7897" s="14">
        <v>0</v>
      </c>
      <c r="G7897" s="13">
        <v>174803.0188</v>
      </c>
      <c r="H7897" s="14">
        <v>220694317.530092</v>
      </c>
      <c r="I7897" s="14" t="e">
        <f>=Round(3316.44470000,0)</f>
        <v>#VALUE!</v>
      </c>
      <c r="J7897" s="14" t="e">
        <f>=Round(0.00000000,0)</f>
        <v>#VALUE!</v>
      </c>
    </row>
    <row r="7898">
      <c r="A7898" s="11" t="s">
        <v>37</v>
      </c>
      <c r="B7898" s="12">
        <v>1260.7554</v>
      </c>
      <c r="C7898" s="12">
        <v>0</v>
      </c>
      <c r="D7898" s="13">
        <v>0</v>
      </c>
      <c r="E7898" s="12">
        <v>0</v>
      </c>
      <c r="F7898" s="14">
        <v>0</v>
      </c>
      <c r="G7898" s="13">
        <v>174803.0188</v>
      </c>
      <c r="H7898" s="14">
        <v>220383849.888402</v>
      </c>
      <c r="I7898" s="14" t="e">
        <f>=Round(3316.44470000,0)</f>
        <v>#VALUE!</v>
      </c>
      <c r="J7898" s="14" t="e">
        <f>=Round(0.00000000,0)</f>
        <v>#VALUE!</v>
      </c>
    </row>
    <row r="7899">
      <c r="A7899" s="11" t="s">
        <v>38</v>
      </c>
      <c r="B7899" s="12">
        <v>1262.4788</v>
      </c>
      <c r="C7899" s="12">
        <v>0</v>
      </c>
      <c r="D7899" s="13">
        <v>0</v>
      </c>
      <c r="E7899" s="12">
        <v>0</v>
      </c>
      <c r="F7899" s="14">
        <v>0</v>
      </c>
      <c r="G7899" s="13">
        <v>174803.0188</v>
      </c>
      <c r="H7899" s="14">
        <v>220685105.411001</v>
      </c>
      <c r="I7899" s="14" t="e">
        <f>=Round(3311.77920000,0)</f>
        <v>#VALUE!</v>
      </c>
      <c r="J7899" s="14" t="e">
        <f>=Round(0.00000000,0)</f>
        <v>#VALUE!</v>
      </c>
    </row>
    <row r="7900">
      <c r="A7900" s="11" t="s">
        <v>39</v>
      </c>
      <c r="B7900" s="12">
        <v>1266.2701</v>
      </c>
      <c r="C7900" s="12">
        <v>0</v>
      </c>
      <c r="D7900" s="13">
        <v>0</v>
      </c>
      <c r="E7900" s="12">
        <v>0</v>
      </c>
      <c r="F7900" s="14">
        <v>0</v>
      </c>
      <c r="G7900" s="13">
        <v>174803.0188</v>
      </c>
      <c r="H7900" s="14">
        <v>221347836.096178</v>
      </c>
      <c r="I7900" s="14" t="e">
        <f>=Round(3316.30620000,0)</f>
        <v>#VALUE!</v>
      </c>
      <c r="J7900" s="14" t="e">
        <f>=Round(0.00000000,0)</f>
        <v>#VALUE!</v>
      </c>
    </row>
    <row r="7901">
      <c r="A7901" s="11" t="s">
        <v>40</v>
      </c>
      <c r="B7901" s="12">
        <v>1266.9583</v>
      </c>
      <c r="C7901" s="12">
        <v>0</v>
      </c>
      <c r="D7901" s="13">
        <v>0</v>
      </c>
      <c r="E7901" s="12">
        <v>0</v>
      </c>
      <c r="F7901" s="14">
        <v>0</v>
      </c>
      <c r="G7901" s="13">
        <v>174803.0188</v>
      </c>
      <c r="H7901" s="14">
        <v>221468135.533716</v>
      </c>
      <c r="I7901" s="14" t="e">
        <f>=Round(3326.26530000,0)</f>
        <v>#VALUE!</v>
      </c>
      <c r="J7901" s="14" t="e">
        <f>=Round(0.00000000,0)</f>
        <v>#VALUE!</v>
      </c>
    </row>
    <row r="7902">
      <c r="A7902" s="11" t="s">
        <v>41</v>
      </c>
      <c r="B7902" s="12">
        <v>1266.1038</v>
      </c>
      <c r="C7902" s="12">
        <v>0</v>
      </c>
      <c r="D7902" s="13">
        <v>0</v>
      </c>
      <c r="E7902" s="12">
        <v>0</v>
      </c>
      <c r="F7902" s="14">
        <v>0</v>
      </c>
      <c r="G7902" s="13">
        <v>174803.0188</v>
      </c>
      <c r="H7902" s="14">
        <v>221318766.354151</v>
      </c>
      <c r="I7902" s="14" t="e">
        <f>=Round(3328.07310000,0)</f>
        <v>#VALUE!</v>
      </c>
      <c r="J7902" s="14" t="e">
        <f>=Round(0.00000000,0)</f>
        <v>#VALUE!</v>
      </c>
    </row>
    <row r="7903">
      <c r="A7903" s="11" t="s">
        <v>42</v>
      </c>
      <c r="B7903" s="12">
        <v>1266.1038</v>
      </c>
      <c r="C7903" s="12">
        <v>0</v>
      </c>
      <c r="D7903" s="13">
        <v>0</v>
      </c>
      <c r="E7903" s="12">
        <v>0</v>
      </c>
      <c r="F7903" s="14">
        <v>0</v>
      </c>
      <c r="G7903" s="13">
        <v>174803.0188</v>
      </c>
      <c r="H7903" s="14">
        <v>221318766.354151</v>
      </c>
      <c r="I7903" s="14" t="e">
        <f>=Round(3325.82850000,0)</f>
        <v>#VALUE!</v>
      </c>
      <c r="J7903" s="14" t="e">
        <f>=Round(0.00000000,0)</f>
        <v>#VALUE!</v>
      </c>
    </row>
    <row r="7904">
      <c r="A7904" s="11" t="s">
        <v>43</v>
      </c>
      <c r="B7904" s="12">
        <v>1266.1038</v>
      </c>
      <c r="C7904" s="12">
        <v>0</v>
      </c>
      <c r="D7904" s="13">
        <v>0</v>
      </c>
      <c r="E7904" s="12">
        <v>0</v>
      </c>
      <c r="F7904" s="14">
        <v>0</v>
      </c>
      <c r="G7904" s="13">
        <v>174803.0188</v>
      </c>
      <c r="H7904" s="14">
        <v>221318766.354151</v>
      </c>
      <c r="I7904" s="14" t="e">
        <f>=Round(3325.82850000,0)</f>
        <v>#VALUE!</v>
      </c>
      <c r="J7904" s="14" t="e">
        <f>=Round(0.00000000,0)</f>
        <v>#VALUE!</v>
      </c>
    </row>
    <row r="7905">
      <c r="A7905" s="11" t="s">
        <v>44</v>
      </c>
      <c r="B7905" s="12">
        <v>1267.4076</v>
      </c>
      <c r="C7905" s="12">
        <v>0</v>
      </c>
      <c r="D7905" s="13">
        <v>0</v>
      </c>
      <c r="E7905" s="12">
        <v>0</v>
      </c>
      <c r="F7905" s="14">
        <v>0</v>
      </c>
      <c r="G7905" s="13">
        <v>174803.0188</v>
      </c>
      <c r="H7905" s="14">
        <v>221546674.530063</v>
      </c>
      <c r="I7905" s="14" t="e">
        <f>=Round(3325.82850000,0)</f>
        <v>#VALUE!</v>
      </c>
      <c r="J7905" s="14" t="e">
        <f>=Round(0.00000000,0)</f>
        <v>#VALUE!</v>
      </c>
    </row>
    <row r="7906">
      <c r="A7906" s="11" t="s">
        <v>45</v>
      </c>
      <c r="B7906" s="12">
        <v>1270.0303</v>
      </c>
      <c r="C7906" s="12">
        <v>0</v>
      </c>
      <c r="D7906" s="13">
        <v>0</v>
      </c>
      <c r="E7906" s="12">
        <v>0</v>
      </c>
      <c r="F7906" s="14">
        <v>0</v>
      </c>
      <c r="G7906" s="13">
        <v>174803.0188</v>
      </c>
      <c r="H7906" s="14">
        <v>222005130.40747</v>
      </c>
      <c r="I7906" s="14" t="e">
        <f>=Round(3329.25330000,0)</f>
        <v>#VALUE!</v>
      </c>
      <c r="J7906" s="14" t="e">
        <f>=Round(0.00000000,0)</f>
        <v>#VALUE!</v>
      </c>
    </row>
    <row r="7907">
      <c r="A7907" s="11" t="s">
        <v>46</v>
      </c>
      <c r="B7907" s="12">
        <v>1271.8189</v>
      </c>
      <c r="C7907" s="12">
        <v>0</v>
      </c>
      <c r="D7907" s="13">
        <v>0</v>
      </c>
      <c r="E7907" s="12">
        <v>0</v>
      </c>
      <c r="F7907" s="14">
        <v>0</v>
      </c>
      <c r="G7907" s="13">
        <v>174803.0188</v>
      </c>
      <c r="H7907" s="14">
        <v>222317783.086895</v>
      </c>
      <c r="I7907" s="14" t="e">
        <f>=Round(3336.14270000,0)</f>
        <v>#VALUE!</v>
      </c>
      <c r="J7907" s="14" t="e">
        <f>=Round(0.00000000,0)</f>
        <v>#VALUE!</v>
      </c>
    </row>
    <row r="7908">
      <c r="A7908" s="11" t="s">
        <v>47</v>
      </c>
      <c r="B7908" s="12">
        <v>1271.8524</v>
      </c>
      <c r="C7908" s="12">
        <v>0</v>
      </c>
      <c r="D7908" s="13">
        <v>0</v>
      </c>
      <c r="E7908" s="12">
        <v>0</v>
      </c>
      <c r="F7908" s="14">
        <v>0</v>
      </c>
      <c r="G7908" s="13">
        <v>174803.0188</v>
      </c>
      <c r="H7908" s="14">
        <v>222323638.988025</v>
      </c>
      <c r="I7908" s="14" t="e">
        <f>=Round(3340.84100000,0)</f>
        <v>#VALUE!</v>
      </c>
      <c r="J7908" s="14" t="e">
        <f>=Round(0.00000000,0)</f>
        <v>#VALUE!</v>
      </c>
    </row>
    <row r="7909">
      <c r="A7909" s="11" t="s">
        <v>48</v>
      </c>
      <c r="B7909" s="12">
        <v>1271.4146</v>
      </c>
      <c r="C7909" s="12">
        <v>0</v>
      </c>
      <c r="D7909" s="13">
        <v>0</v>
      </c>
      <c r="E7909" s="12">
        <v>0</v>
      </c>
      <c r="F7909" s="14">
        <v>0</v>
      </c>
      <c r="G7909" s="13">
        <v>174803.0188</v>
      </c>
      <c r="H7909" s="14">
        <v>222247110.226394</v>
      </c>
      <c r="I7909" s="14" t="e">
        <f>=Round(3340.92900000,0)</f>
        <v>#VALUE!</v>
      </c>
      <c r="J7909" s="14" t="e">
        <f>=Round(0.00000000,0)</f>
        <v>#VALUE!</v>
      </c>
    </row>
    <row r="7910">
      <c r="A7910" s="11" t="s">
        <v>49</v>
      </c>
      <c r="B7910" s="12">
        <v>1271.4146</v>
      </c>
      <c r="C7910" s="12">
        <v>0</v>
      </c>
      <c r="D7910" s="13">
        <v>0</v>
      </c>
      <c r="E7910" s="12">
        <v>0</v>
      </c>
      <c r="F7910" s="14">
        <v>0</v>
      </c>
      <c r="G7910" s="13">
        <v>174803.0188</v>
      </c>
      <c r="H7910" s="14">
        <v>222247110.226394</v>
      </c>
      <c r="I7910" s="14" t="e">
        <f>=Round(3339.77900000,0)</f>
        <v>#VALUE!</v>
      </c>
      <c r="J7910" s="14" t="e">
        <f>=Round(0.00000000,0)</f>
        <v>#VALUE!</v>
      </c>
    </row>
    <row r="7911">
      <c r="A7911" s="11" t="s">
        <v>50</v>
      </c>
      <c r="B7911" s="12">
        <v>1271.4146</v>
      </c>
      <c r="C7911" s="12">
        <v>0</v>
      </c>
      <c r="D7911" s="13">
        <v>0</v>
      </c>
      <c r="E7911" s="12">
        <v>0</v>
      </c>
      <c r="F7911" s="14">
        <v>0</v>
      </c>
      <c r="G7911" s="13">
        <v>174803.0188</v>
      </c>
      <c r="H7911" s="14">
        <v>222247110.226394</v>
      </c>
      <c r="I7911" s="14" t="e">
        <f>=Round(3339.77900000,0)</f>
        <v>#VALUE!</v>
      </c>
      <c r="J7911" s="14" t="e">
        <f>=Round(0.00000000,0)</f>
        <v>#VALUE!</v>
      </c>
    </row>
    <row r="7912">
      <c r="A7912" s="11" t="s">
        <v>51</v>
      </c>
      <c r="B7912" s="12">
        <v>1268.7515</v>
      </c>
      <c r="C7912" s="12">
        <v>0</v>
      </c>
      <c r="D7912" s="13">
        <v>0</v>
      </c>
      <c r="E7912" s="12">
        <v>0</v>
      </c>
      <c r="F7912" s="14">
        <v>0</v>
      </c>
      <c r="G7912" s="13">
        <v>174803.0188</v>
      </c>
      <c r="H7912" s="14">
        <v>221781592.307028</v>
      </c>
      <c r="I7912" s="14" t="e">
        <f>=Round(3339.77900000,0)</f>
        <v>#VALUE!</v>
      </c>
      <c r="J7912" s="14" t="e">
        <f>=Round(0.00000000,0)</f>
        <v>#VALUE!</v>
      </c>
    </row>
    <row r="7913">
      <c r="A7913" s="11" t="s">
        <v>52</v>
      </c>
      <c r="B7913" s="12">
        <v>1268.7071</v>
      </c>
      <c r="C7913" s="12">
        <v>0</v>
      </c>
      <c r="D7913" s="13">
        <v>0</v>
      </c>
      <c r="E7913" s="12">
        <v>0</v>
      </c>
      <c r="F7913" s="14">
        <v>0</v>
      </c>
      <c r="G7913" s="13">
        <v>174803.0188</v>
      </c>
      <c r="H7913" s="14">
        <v>221773831.052993</v>
      </c>
      <c r="I7913" s="14" t="e">
        <f>=Round(3332.78350000,0)</f>
        <v>#VALUE!</v>
      </c>
      <c r="J7913" s="14" t="e">
        <f>=Round(0.00000000,0)</f>
        <v>#VALUE!</v>
      </c>
    </row>
    <row r="7914">
      <c r="A7914" s="11" t="s">
        <v>53</v>
      </c>
      <c r="B7914" s="12">
        <v>1263.6206</v>
      </c>
      <c r="C7914" s="12">
        <v>0</v>
      </c>
      <c r="D7914" s="13">
        <v>0</v>
      </c>
      <c r="E7914" s="12">
        <v>0</v>
      </c>
      <c r="F7914" s="14">
        <v>0</v>
      </c>
      <c r="G7914" s="13">
        <v>174803.0188</v>
      </c>
      <c r="H7914" s="14">
        <v>220884695.497867</v>
      </c>
      <c r="I7914" s="14" t="e">
        <f>=Round(3332.66690000,0)</f>
        <v>#VALUE!</v>
      </c>
      <c r="J7914" s="14" t="e">
        <f>=Round(0.00000000,0)</f>
        <v>#VALUE!</v>
      </c>
    </row>
    <row r="7915">
      <c r="A7915" s="11" t="s">
        <v>54</v>
      </c>
      <c r="B7915" s="12">
        <v>1248.7736</v>
      </c>
      <c r="C7915" s="12">
        <v>0</v>
      </c>
      <c r="D7915" s="13">
        <v>0</v>
      </c>
      <c r="E7915" s="12">
        <v>0</v>
      </c>
      <c r="F7915" s="14">
        <v>0</v>
      </c>
      <c r="G7915" s="13">
        <v>174803.0188</v>
      </c>
      <c r="H7915" s="14">
        <v>218289395.077744</v>
      </c>
      <c r="I7915" s="14" t="e">
        <f>=Round(3319.30550000,0)</f>
        <v>#VALUE!</v>
      </c>
      <c r="J7915" s="14" t="e">
        <f>=Round(0.00000000,0)</f>
        <v>#VALUE!</v>
      </c>
    </row>
    <row r="7916">
      <c r="A7916" s="11" t="s">
        <v>55</v>
      </c>
      <c r="B7916" s="12">
        <v>1235.2708</v>
      </c>
      <c r="C7916" s="12">
        <v>0</v>
      </c>
      <c r="D7916" s="13">
        <v>0</v>
      </c>
      <c r="E7916" s="12">
        <v>0</v>
      </c>
      <c r="F7916" s="14">
        <v>0</v>
      </c>
      <c r="G7916" s="13">
        <v>174803.0188</v>
      </c>
      <c r="H7916" s="14">
        <v>215929064.875491</v>
      </c>
      <c r="I7916" s="14" t="e">
        <f>=Round(3280.30510000,0)</f>
        <v>#VALUE!</v>
      </c>
      <c r="J7916" s="14" t="e">
        <f>=Round(0.00000000,0)</f>
        <v>#VALUE!</v>
      </c>
    </row>
    <row r="7917" ht="-1">
      <c r="A7917" s="15"/>
      <c r="B7917" s="16" t="s">
        <v>56</v>
      </c>
      <c r="C7917" s="15"/>
      <c r="D7917" s="15"/>
      <c r="E7917" s="15"/>
      <c r="F7917" s="15"/>
      <c r="G7917" s="15"/>
      <c r="H7917" s="15"/>
      <c r="I7917" s="17" t="e">
        <f>=Round(SUM(I7891:I7916),0)</f>
        <v>#VALUE!</v>
      </c>
      <c r="J7917" s="17" t="e">
        <f>=Round(SUM(J7891:J7916),0)</f>
        <v>#VALUE!</v>
      </c>
    </row>
    <row r="7918">
      <c r="A7918" s="1" t="s">
        <v>0</v>
      </c>
      <c r="B7918" s="1"/>
      <c r="C7918" s="1"/>
      <c r="D7918" s="1"/>
    </row>
    <row r="7919">
      <c r="A7919" s="0" t="s">
        <v>1</v>
      </c>
      <c r="C7919" s="0" t="s">
        <v>274</v>
      </c>
      <c r="H7919" s="2" t="s">
        <v>3</v>
      </c>
    </row>
    <row r="7920">
      <c r="A7920" s="0" t="s">
        <v>4</v>
      </c>
      <c r="C7920" s="0" t="s">
        <v>278</v>
      </c>
      <c r="H7920" s="3" t="s">
        <v>6</v>
      </c>
    </row>
    <row r="7921">
      <c r="A7921" s="0" t="s">
        <v>7</v>
      </c>
      <c r="C7921" s="4" t="s">
        <v>146</v>
      </c>
      <c r="H7921" s="2" t="s">
        <v>9</v>
      </c>
    </row>
    <row r="7922">
      <c r="A7922" s="0" t="s">
        <v>10</v>
      </c>
      <c r="C7922" s="4" t="s">
        <v>11</v>
      </c>
      <c r="H7922" s="2" t="s">
        <v>12</v>
      </c>
    </row>
    <row r="7923">
      <c r="A7923" s="0" t="s">
        <v>13</v>
      </c>
      <c r="C7923" s="0" t="s">
        <v>14</v>
      </c>
    </row>
    <row r="7924">
      <c r="A7924" s="0" t="s">
        <v>15</v>
      </c>
      <c r="C7924" s="0" t="s">
        <v>16</v>
      </c>
    </row>
    <row r="7925">
      <c r="A7925" s="0" t="s">
        <v>17</v>
      </c>
      <c r="C7925" s="0" t="s">
        <v>18</v>
      </c>
    </row>
    <row r="7928">
      <c r="A7928" s="5" t="s">
        <v>19</v>
      </c>
      <c r="B7928" s="5" t="s">
        <v>20</v>
      </c>
      <c r="C7928" s="7" t="s">
        <v>21</v>
      </c>
      <c r="D7928" s="9"/>
      <c r="E7928" s="7" t="s">
        <v>22</v>
      </c>
      <c r="F7928" s="9"/>
      <c r="G7928" s="5" t="s">
        <v>23</v>
      </c>
      <c r="H7928" s="5" t="s">
        <v>24</v>
      </c>
      <c r="I7928" s="5" t="s">
        <v>147</v>
      </c>
      <c r="J7928" s="5" t="s">
        <v>26</v>
      </c>
    </row>
    <row r="7929">
      <c r="A7929" s="6"/>
      <c r="B7929" s="6"/>
      <c r="C7929" s="8" t="s">
        <v>27</v>
      </c>
      <c r="D7929" s="8" t="s">
        <v>28</v>
      </c>
      <c r="E7929" s="8" t="s">
        <v>27</v>
      </c>
      <c r="F7929" s="8" t="s">
        <v>28</v>
      </c>
      <c r="G7929" s="6"/>
      <c r="H7929" s="6"/>
      <c r="I7929" s="10" t="s">
        <v>29</v>
      </c>
      <c r="J7929" s="6"/>
    </row>
    <row r="7930">
      <c r="A7930" s="11" t="s">
        <v>30</v>
      </c>
      <c r="B7930" s="12">
        <v>1248.9282</v>
      </c>
      <c r="C7930" s="12">
        <v>0</v>
      </c>
      <c r="D7930" s="13">
        <v>0</v>
      </c>
      <c r="E7930" s="12">
        <v>0</v>
      </c>
      <c r="F7930" s="14">
        <v>0</v>
      </c>
      <c r="G7930" s="13">
        <v>237494.8662</v>
      </c>
      <c r="H7930" s="14">
        <v>296614035.752407</v>
      </c>
      <c r="I7930" s="14" t="e">
        <f>=Round(4468.14710000,0)</f>
        <v>#VALUE!</v>
      </c>
      <c r="J7930" s="14" t="e">
        <f>=Round(0.00000000,0)</f>
        <v>#VALUE!</v>
      </c>
    </row>
    <row r="7931">
      <c r="A7931" s="11" t="s">
        <v>31</v>
      </c>
      <c r="B7931" s="12">
        <v>1256.528</v>
      </c>
      <c r="C7931" s="12">
        <v>0</v>
      </c>
      <c r="D7931" s="13">
        <v>0</v>
      </c>
      <c r="E7931" s="12">
        <v>0</v>
      </c>
      <c r="F7931" s="14">
        <v>0</v>
      </c>
      <c r="G7931" s="13">
        <v>237494.8662</v>
      </c>
      <c r="H7931" s="14">
        <v>298418949.236554</v>
      </c>
      <c r="I7931" s="14" t="e">
        <f>=Round(4457.31470000,0)</f>
        <v>#VALUE!</v>
      </c>
      <c r="J7931" s="14" t="e">
        <f>=Round(0.00000000,0)</f>
        <v>#VALUE!</v>
      </c>
    </row>
    <row r="7932">
      <c r="A7932" s="11" t="s">
        <v>32</v>
      </c>
      <c r="B7932" s="12">
        <v>1254.6375</v>
      </c>
      <c r="C7932" s="12">
        <v>0</v>
      </c>
      <c r="D7932" s="13">
        <v>0</v>
      </c>
      <c r="E7932" s="12">
        <v>0</v>
      </c>
      <c r="F7932" s="14">
        <v>0</v>
      </c>
      <c r="G7932" s="13">
        <v>237494.8662</v>
      </c>
      <c r="H7932" s="14">
        <v>297969965.192003</v>
      </c>
      <c r="I7932" s="14" t="e">
        <f>=Round(4484.43780000,0)</f>
        <v>#VALUE!</v>
      </c>
      <c r="J7932" s="14" t="e">
        <f>=Round(0.00000000,0)</f>
        <v>#VALUE!</v>
      </c>
    </row>
    <row r="7933">
      <c r="A7933" s="11" t="s">
        <v>33</v>
      </c>
      <c r="B7933" s="12">
        <v>1260.0744</v>
      </c>
      <c r="C7933" s="12">
        <v>0</v>
      </c>
      <c r="D7933" s="13">
        <v>0</v>
      </c>
      <c r="E7933" s="12">
        <v>0</v>
      </c>
      <c r="F7933" s="14">
        <v>0</v>
      </c>
      <c r="G7933" s="13">
        <v>237494.8662</v>
      </c>
      <c r="H7933" s="14">
        <v>299261201.030045</v>
      </c>
      <c r="I7933" s="14" t="e">
        <f>=Round(4477.69070000,0)</f>
        <v>#VALUE!</v>
      </c>
      <c r="J7933" s="14" t="e">
        <f>=Round(0.00000000,0)</f>
        <v>#VALUE!</v>
      </c>
    </row>
    <row r="7934">
      <c r="A7934" s="11" t="s">
        <v>34</v>
      </c>
      <c r="B7934" s="12">
        <v>1262.5315</v>
      </c>
      <c r="C7934" s="12">
        <v>0</v>
      </c>
      <c r="D7934" s="13">
        <v>0</v>
      </c>
      <c r="E7934" s="12">
        <v>0</v>
      </c>
      <c r="F7934" s="14">
        <v>0</v>
      </c>
      <c r="G7934" s="13">
        <v>237494.8662</v>
      </c>
      <c r="H7934" s="14">
        <v>299844749.665785</v>
      </c>
      <c r="I7934" s="14" t="e">
        <f>=Round(4497.09460000,0)</f>
        <v>#VALUE!</v>
      </c>
      <c r="J7934" s="14" t="e">
        <f>=Round(0.00000000,0)</f>
        <v>#VALUE!</v>
      </c>
    </row>
    <row r="7935">
      <c r="A7935" s="11" t="s">
        <v>35</v>
      </c>
      <c r="B7935" s="12">
        <v>1262.5315</v>
      </c>
      <c r="C7935" s="12">
        <v>0</v>
      </c>
      <c r="D7935" s="13">
        <v>0</v>
      </c>
      <c r="E7935" s="12">
        <v>0</v>
      </c>
      <c r="F7935" s="14">
        <v>0</v>
      </c>
      <c r="G7935" s="13">
        <v>237494.8662</v>
      </c>
      <c r="H7935" s="14">
        <v>299844749.665785</v>
      </c>
      <c r="I7935" s="14" t="e">
        <f>=Round(4505.86370000,0)</f>
        <v>#VALUE!</v>
      </c>
      <c r="J7935" s="14" t="e">
        <f>=Round(0.00000000,0)</f>
        <v>#VALUE!</v>
      </c>
    </row>
    <row r="7936">
      <c r="A7936" s="11" t="s">
        <v>36</v>
      </c>
      <c r="B7936" s="12">
        <v>1262.5315</v>
      </c>
      <c r="C7936" s="12">
        <v>0</v>
      </c>
      <c r="D7936" s="13">
        <v>0</v>
      </c>
      <c r="E7936" s="12">
        <v>0</v>
      </c>
      <c r="F7936" s="14">
        <v>0</v>
      </c>
      <c r="G7936" s="13">
        <v>237494.8662</v>
      </c>
      <c r="H7936" s="14">
        <v>299844749.665785</v>
      </c>
      <c r="I7936" s="14" t="e">
        <f>=Round(4505.86370000,0)</f>
        <v>#VALUE!</v>
      </c>
      <c r="J7936" s="14" t="e">
        <f>=Round(0.00000000,0)</f>
        <v>#VALUE!</v>
      </c>
    </row>
    <row r="7937">
      <c r="A7937" s="11" t="s">
        <v>37</v>
      </c>
      <c r="B7937" s="12">
        <v>1260.7554</v>
      </c>
      <c r="C7937" s="12">
        <v>0</v>
      </c>
      <c r="D7937" s="13">
        <v>0</v>
      </c>
      <c r="E7937" s="12">
        <v>0</v>
      </c>
      <c r="F7937" s="14">
        <v>0</v>
      </c>
      <c r="G7937" s="13">
        <v>237494.8662</v>
      </c>
      <c r="H7937" s="14">
        <v>299422935.033927</v>
      </c>
      <c r="I7937" s="14" t="e">
        <f>=Round(4505.86370000,0)</f>
        <v>#VALUE!</v>
      </c>
      <c r="J7937" s="14" t="e">
        <f>=Round(0.00000000,0)</f>
        <v>#VALUE!</v>
      </c>
    </row>
    <row r="7938">
      <c r="A7938" s="11" t="s">
        <v>38</v>
      </c>
      <c r="B7938" s="12">
        <v>1262.4788</v>
      </c>
      <c r="C7938" s="12">
        <v>0</v>
      </c>
      <c r="D7938" s="13">
        <v>0</v>
      </c>
      <c r="E7938" s="12">
        <v>0</v>
      </c>
      <c r="F7938" s="14">
        <v>0</v>
      </c>
      <c r="G7938" s="13">
        <v>237494.8662</v>
      </c>
      <c r="H7938" s="14">
        <v>299832233.686337</v>
      </c>
      <c r="I7938" s="14" t="e">
        <f>=Round(4499.52500000,0)</f>
        <v>#VALUE!</v>
      </c>
      <c r="J7938" s="14" t="e">
        <f>=Round(0.00000000,0)</f>
        <v>#VALUE!</v>
      </c>
    </row>
    <row r="7939">
      <c r="A7939" s="11" t="s">
        <v>39</v>
      </c>
      <c r="B7939" s="12">
        <v>1266.2701</v>
      </c>
      <c r="C7939" s="12">
        <v>0</v>
      </c>
      <c r="D7939" s="13">
        <v>0</v>
      </c>
      <c r="E7939" s="12">
        <v>0</v>
      </c>
      <c r="F7939" s="14">
        <v>0</v>
      </c>
      <c r="G7939" s="13">
        <v>237494.8662</v>
      </c>
      <c r="H7939" s="14">
        <v>300732647.972561</v>
      </c>
      <c r="I7939" s="14" t="e">
        <f>=Round(4505.67560000,0)</f>
        <v>#VALUE!</v>
      </c>
      <c r="J7939" s="14" t="e">
        <f>=Round(0.00000000,0)</f>
        <v>#VALUE!</v>
      </c>
    </row>
    <row r="7940">
      <c r="A7940" s="11" t="s">
        <v>40</v>
      </c>
      <c r="B7940" s="12">
        <v>1266.9583</v>
      </c>
      <c r="C7940" s="12">
        <v>0</v>
      </c>
      <c r="D7940" s="13">
        <v>0</v>
      </c>
      <c r="E7940" s="12">
        <v>0</v>
      </c>
      <c r="F7940" s="14">
        <v>0</v>
      </c>
      <c r="G7940" s="13">
        <v>237494.8662</v>
      </c>
      <c r="H7940" s="14">
        <v>300896091.939479</v>
      </c>
      <c r="I7940" s="14" t="e">
        <f>=Round(4519.20650000,0)</f>
        <v>#VALUE!</v>
      </c>
      <c r="J7940" s="14" t="e">
        <f>=Round(0.00000000,0)</f>
        <v>#VALUE!</v>
      </c>
    </row>
    <row r="7941">
      <c r="A7941" s="11" t="s">
        <v>41</v>
      </c>
      <c r="B7941" s="12">
        <v>1266.1038</v>
      </c>
      <c r="C7941" s="12">
        <v>0</v>
      </c>
      <c r="D7941" s="13">
        <v>0</v>
      </c>
      <c r="E7941" s="12">
        <v>0</v>
      </c>
      <c r="F7941" s="14">
        <v>0</v>
      </c>
      <c r="G7941" s="13">
        <v>237494.8662</v>
      </c>
      <c r="H7941" s="14">
        <v>300693152.576312</v>
      </c>
      <c r="I7941" s="14" t="e">
        <f>=Round(4521.66260000,0)</f>
        <v>#VALUE!</v>
      </c>
      <c r="J7941" s="14" t="e">
        <f>=Round(0.00000000,0)</f>
        <v>#VALUE!</v>
      </c>
    </row>
    <row r="7942">
      <c r="A7942" s="11" t="s">
        <v>42</v>
      </c>
      <c r="B7942" s="12">
        <v>1266.1038</v>
      </c>
      <c r="C7942" s="12">
        <v>0</v>
      </c>
      <c r="D7942" s="13">
        <v>0</v>
      </c>
      <c r="E7942" s="12">
        <v>0</v>
      </c>
      <c r="F7942" s="14">
        <v>0</v>
      </c>
      <c r="G7942" s="13">
        <v>237494.8662</v>
      </c>
      <c r="H7942" s="14">
        <v>300693152.576312</v>
      </c>
      <c r="I7942" s="14" t="e">
        <f>=Round(4518.61290000,0)</f>
        <v>#VALUE!</v>
      </c>
      <c r="J7942" s="14" t="e">
        <f>=Round(0.00000000,0)</f>
        <v>#VALUE!</v>
      </c>
    </row>
    <row r="7943">
      <c r="A7943" s="11" t="s">
        <v>43</v>
      </c>
      <c r="B7943" s="12">
        <v>1266.1038</v>
      </c>
      <c r="C7943" s="12">
        <v>0</v>
      </c>
      <c r="D7943" s="13">
        <v>0</v>
      </c>
      <c r="E7943" s="12">
        <v>0</v>
      </c>
      <c r="F7943" s="14">
        <v>0</v>
      </c>
      <c r="G7943" s="13">
        <v>237494.8662</v>
      </c>
      <c r="H7943" s="14">
        <v>300693152.576312</v>
      </c>
      <c r="I7943" s="14" t="e">
        <f>=Round(4518.61290000,0)</f>
        <v>#VALUE!</v>
      </c>
      <c r="J7943" s="14" t="e">
        <f>=Round(0.00000000,0)</f>
        <v>#VALUE!</v>
      </c>
    </row>
    <row r="7944">
      <c r="A7944" s="11" t="s">
        <v>44</v>
      </c>
      <c r="B7944" s="12">
        <v>1267.4076</v>
      </c>
      <c r="C7944" s="12">
        <v>0</v>
      </c>
      <c r="D7944" s="13">
        <v>0</v>
      </c>
      <c r="E7944" s="12">
        <v>0</v>
      </c>
      <c r="F7944" s="14">
        <v>0</v>
      </c>
      <c r="G7944" s="13">
        <v>237494.8662</v>
      </c>
      <c r="H7944" s="14">
        <v>301002798.382863</v>
      </c>
      <c r="I7944" s="14" t="e">
        <f>=Round(4518.61290000,0)</f>
        <v>#VALUE!</v>
      </c>
      <c r="J7944" s="14" t="e">
        <f>=Round(0.00000000,0)</f>
        <v>#VALUE!</v>
      </c>
    </row>
    <row r="7945">
      <c r="A7945" s="11" t="s">
        <v>45</v>
      </c>
      <c r="B7945" s="12">
        <v>1270.0303</v>
      </c>
      <c r="C7945" s="12">
        <v>0</v>
      </c>
      <c r="D7945" s="13">
        <v>0</v>
      </c>
      <c r="E7945" s="12">
        <v>0</v>
      </c>
      <c r="F7945" s="14">
        <v>0</v>
      </c>
      <c r="G7945" s="13">
        <v>237494.8662</v>
      </c>
      <c r="H7945" s="14">
        <v>301625676.168446</v>
      </c>
      <c r="I7945" s="14" t="e">
        <f>=Round(4523.26610000,0)</f>
        <v>#VALUE!</v>
      </c>
      <c r="J7945" s="14" t="e">
        <f>=Round(0.00000000,0)</f>
        <v>#VALUE!</v>
      </c>
    </row>
    <row r="7946">
      <c r="A7946" s="11" t="s">
        <v>46</v>
      </c>
      <c r="B7946" s="12">
        <v>1271.8189</v>
      </c>
      <c r="C7946" s="12">
        <v>0</v>
      </c>
      <c r="D7946" s="13">
        <v>0</v>
      </c>
      <c r="E7946" s="12">
        <v>0</v>
      </c>
      <c r="F7946" s="14">
        <v>0</v>
      </c>
      <c r="G7946" s="13">
        <v>237494.8662</v>
      </c>
      <c r="H7946" s="14">
        <v>302050459.486131</v>
      </c>
      <c r="I7946" s="14" t="e">
        <f>=Round(4532.62630000,0)</f>
        <v>#VALUE!</v>
      </c>
      <c r="J7946" s="14" t="e">
        <f>=Round(0.00000000,0)</f>
        <v>#VALUE!</v>
      </c>
    </row>
    <row r="7947">
      <c r="A7947" s="11" t="s">
        <v>47</v>
      </c>
      <c r="B7947" s="12">
        <v>1271.8524</v>
      </c>
      <c r="C7947" s="12">
        <v>0</v>
      </c>
      <c r="D7947" s="13">
        <v>0</v>
      </c>
      <c r="E7947" s="12">
        <v>0</v>
      </c>
      <c r="F7947" s="14">
        <v>0</v>
      </c>
      <c r="G7947" s="13">
        <v>237494.8662</v>
      </c>
      <c r="H7947" s="14">
        <v>302058415.564149</v>
      </c>
      <c r="I7947" s="14" t="e">
        <f>=Round(4539.00960000,0)</f>
        <v>#VALUE!</v>
      </c>
      <c r="J7947" s="14" t="e">
        <f>=Round(0.00000000,0)</f>
        <v>#VALUE!</v>
      </c>
    </row>
    <row r="7948">
      <c r="A7948" s="11" t="s">
        <v>48</v>
      </c>
      <c r="B7948" s="12">
        <v>1271.4146</v>
      </c>
      <c r="C7948" s="12">
        <v>0</v>
      </c>
      <c r="D7948" s="13">
        <v>0</v>
      </c>
      <c r="E7948" s="12">
        <v>0</v>
      </c>
      <c r="F7948" s="14">
        <v>0</v>
      </c>
      <c r="G7948" s="13">
        <v>237494.8662</v>
      </c>
      <c r="H7948" s="14">
        <v>301954440.311727</v>
      </c>
      <c r="I7948" s="14" t="e">
        <f>=Round(4539.12920000,0)</f>
        <v>#VALUE!</v>
      </c>
      <c r="J7948" s="14" t="e">
        <f>=Round(0.00000000,0)</f>
        <v>#VALUE!</v>
      </c>
    </row>
    <row r="7949">
      <c r="A7949" s="11" t="s">
        <v>49</v>
      </c>
      <c r="B7949" s="12">
        <v>1271.4146</v>
      </c>
      <c r="C7949" s="12">
        <v>0</v>
      </c>
      <c r="D7949" s="13">
        <v>0</v>
      </c>
      <c r="E7949" s="12">
        <v>0</v>
      </c>
      <c r="F7949" s="14">
        <v>0</v>
      </c>
      <c r="G7949" s="13">
        <v>237494.8662</v>
      </c>
      <c r="H7949" s="14">
        <v>301954440.311727</v>
      </c>
      <c r="I7949" s="14" t="e">
        <f>=Round(4537.56670000,0)</f>
        <v>#VALUE!</v>
      </c>
      <c r="J7949" s="14" t="e">
        <f>=Round(0.00000000,0)</f>
        <v>#VALUE!</v>
      </c>
    </row>
    <row r="7950">
      <c r="A7950" s="11" t="s">
        <v>50</v>
      </c>
      <c r="B7950" s="12">
        <v>1271.4146</v>
      </c>
      <c r="C7950" s="12">
        <v>0</v>
      </c>
      <c r="D7950" s="13">
        <v>0</v>
      </c>
      <c r="E7950" s="12">
        <v>0</v>
      </c>
      <c r="F7950" s="14">
        <v>0</v>
      </c>
      <c r="G7950" s="13">
        <v>237494.8662</v>
      </c>
      <c r="H7950" s="14">
        <v>301954440.311727</v>
      </c>
      <c r="I7950" s="14" t="e">
        <f>=Round(4537.56670000,0)</f>
        <v>#VALUE!</v>
      </c>
      <c r="J7950" s="14" t="e">
        <f>=Round(0.00000000,0)</f>
        <v>#VALUE!</v>
      </c>
    </row>
    <row r="7951">
      <c r="A7951" s="11" t="s">
        <v>51</v>
      </c>
      <c r="B7951" s="12">
        <v>1268.7515</v>
      </c>
      <c r="C7951" s="12">
        <v>0</v>
      </c>
      <c r="D7951" s="13">
        <v>0</v>
      </c>
      <c r="E7951" s="12">
        <v>0</v>
      </c>
      <c r="F7951" s="14">
        <v>0</v>
      </c>
      <c r="G7951" s="13">
        <v>237494.8662</v>
      </c>
      <c r="H7951" s="14">
        <v>301321967.733549</v>
      </c>
      <c r="I7951" s="14" t="e">
        <f>=Round(4537.56670000,0)</f>
        <v>#VALUE!</v>
      </c>
      <c r="J7951" s="14" t="e">
        <f>=Round(0.00000000,0)</f>
        <v>#VALUE!</v>
      </c>
    </row>
    <row r="7952">
      <c r="A7952" s="11" t="s">
        <v>52</v>
      </c>
      <c r="B7952" s="12">
        <v>1268.7071</v>
      </c>
      <c r="C7952" s="12">
        <v>0</v>
      </c>
      <c r="D7952" s="13">
        <v>0</v>
      </c>
      <c r="E7952" s="12">
        <v>0</v>
      </c>
      <c r="F7952" s="14">
        <v>0</v>
      </c>
      <c r="G7952" s="13">
        <v>237494.8662</v>
      </c>
      <c r="H7952" s="14">
        <v>301311422.96149</v>
      </c>
      <c r="I7952" s="14" t="e">
        <f>=Round(4528.06240000,0)</f>
        <v>#VALUE!</v>
      </c>
      <c r="J7952" s="14" t="e">
        <f>=Round(0.00000000,0)</f>
        <v>#VALUE!</v>
      </c>
    </row>
    <row r="7953">
      <c r="A7953" s="11" t="s">
        <v>53</v>
      </c>
      <c r="B7953" s="12">
        <v>1263.6206</v>
      </c>
      <c r="C7953" s="12">
        <v>0</v>
      </c>
      <c r="D7953" s="13">
        <v>0</v>
      </c>
      <c r="E7953" s="12">
        <v>0</v>
      </c>
      <c r="F7953" s="14">
        <v>0</v>
      </c>
      <c r="G7953" s="13">
        <v>237494.8662</v>
      </c>
      <c r="H7953" s="14">
        <v>300103405.324564</v>
      </c>
      <c r="I7953" s="14" t="e">
        <f>=Round(4527.90390000,0)</f>
        <v>#VALUE!</v>
      </c>
      <c r="J7953" s="14" t="e">
        <f>=Round(0.00000000,0)</f>
        <v>#VALUE!</v>
      </c>
    </row>
    <row r="7954">
      <c r="A7954" s="11" t="s">
        <v>54</v>
      </c>
      <c r="B7954" s="12">
        <v>1248.7736</v>
      </c>
      <c r="C7954" s="12">
        <v>0</v>
      </c>
      <c r="D7954" s="13">
        <v>0</v>
      </c>
      <c r="E7954" s="12">
        <v>0</v>
      </c>
      <c r="F7954" s="14">
        <v>0</v>
      </c>
      <c r="G7954" s="13">
        <v>237494.8662</v>
      </c>
      <c r="H7954" s="14">
        <v>296577319.046092</v>
      </c>
      <c r="I7954" s="14" t="e">
        <f>=Round(4509.75060000,0)</f>
        <v>#VALUE!</v>
      </c>
      <c r="J7954" s="14" t="e">
        <f>=Round(0.00000000,0)</f>
        <v>#VALUE!</v>
      </c>
    </row>
    <row r="7955">
      <c r="A7955" s="11" t="s">
        <v>55</v>
      </c>
      <c r="B7955" s="12">
        <v>1235.2708</v>
      </c>
      <c r="C7955" s="12">
        <v>0</v>
      </c>
      <c r="D7955" s="13">
        <v>0</v>
      </c>
      <c r="E7955" s="12">
        <v>0</v>
      </c>
      <c r="F7955" s="14">
        <v>0</v>
      </c>
      <c r="G7955" s="13">
        <v>237494.8662</v>
      </c>
      <c r="H7955" s="14">
        <v>293370473.366767</v>
      </c>
      <c r="I7955" s="14" t="e">
        <f>=Round(4456.76300000,0)</f>
        <v>#VALUE!</v>
      </c>
      <c r="J7955" s="14" t="e">
        <f>=Round(0.00000000,0)</f>
        <v>#VALUE!</v>
      </c>
    </row>
    <row r="7956" ht="-1">
      <c r="A7956" s="15"/>
      <c r="B7956" s="16" t="s">
        <v>56</v>
      </c>
      <c r="C7956" s="15"/>
      <c r="D7956" s="15"/>
      <c r="E7956" s="15"/>
      <c r="F7956" s="15"/>
      <c r="G7956" s="15"/>
      <c r="H7956" s="15"/>
      <c r="I7956" s="17" t="e">
        <f>=Round(SUM(I7930:I7955),0)</f>
        <v>#VALUE!</v>
      </c>
      <c r="J7956" s="17" t="e">
        <f>=Round(SUM(J7930:J7955),0)</f>
        <v>#VALUE!</v>
      </c>
    </row>
    <row r="7957">
      <c r="A7957" s="1" t="s">
        <v>0</v>
      </c>
      <c r="B7957" s="1"/>
      <c r="C7957" s="1"/>
      <c r="D7957" s="1"/>
    </row>
    <row r="7958">
      <c r="A7958" s="0" t="s">
        <v>1</v>
      </c>
      <c r="C7958" s="0" t="s">
        <v>274</v>
      </c>
      <c r="H7958" s="2" t="s">
        <v>3</v>
      </c>
    </row>
    <row r="7959">
      <c r="A7959" s="0" t="s">
        <v>4</v>
      </c>
      <c r="C7959" s="0" t="s">
        <v>160</v>
      </c>
      <c r="H7959" s="3" t="s">
        <v>6</v>
      </c>
    </row>
    <row r="7960">
      <c r="A7960" s="0" t="s">
        <v>7</v>
      </c>
      <c r="C7960" s="4" t="s">
        <v>146</v>
      </c>
      <c r="H7960" s="2" t="s">
        <v>9</v>
      </c>
    </row>
    <row r="7961">
      <c r="A7961" s="0" t="s">
        <v>10</v>
      </c>
      <c r="C7961" s="4" t="s">
        <v>11</v>
      </c>
      <c r="H7961" s="2" t="s">
        <v>12</v>
      </c>
    </row>
    <row r="7962">
      <c r="A7962" s="0" t="s">
        <v>13</v>
      </c>
      <c r="C7962" s="0" t="s">
        <v>14</v>
      </c>
    </row>
    <row r="7963">
      <c r="A7963" s="0" t="s">
        <v>15</v>
      </c>
      <c r="C7963" s="0" t="s">
        <v>16</v>
      </c>
    </row>
    <row r="7964">
      <c r="A7964" s="0" t="s">
        <v>17</v>
      </c>
      <c r="C7964" s="0" t="s">
        <v>18</v>
      </c>
    </row>
    <row r="7967">
      <c r="A7967" s="5" t="s">
        <v>19</v>
      </c>
      <c r="B7967" s="5" t="s">
        <v>20</v>
      </c>
      <c r="C7967" s="7" t="s">
        <v>21</v>
      </c>
      <c r="D7967" s="9"/>
      <c r="E7967" s="7" t="s">
        <v>22</v>
      </c>
      <c r="F7967" s="9"/>
      <c r="G7967" s="5" t="s">
        <v>23</v>
      </c>
      <c r="H7967" s="5" t="s">
        <v>24</v>
      </c>
      <c r="I7967" s="5" t="s">
        <v>147</v>
      </c>
      <c r="J7967" s="5" t="s">
        <v>26</v>
      </c>
    </row>
    <row r="7968">
      <c r="A7968" s="6"/>
      <c r="B7968" s="6"/>
      <c r="C7968" s="8" t="s">
        <v>27</v>
      </c>
      <c r="D7968" s="8" t="s">
        <v>28</v>
      </c>
      <c r="E7968" s="8" t="s">
        <v>27</v>
      </c>
      <c r="F7968" s="8" t="s">
        <v>28</v>
      </c>
      <c r="G7968" s="6"/>
      <c r="H7968" s="6"/>
      <c r="I7968" s="10" t="s">
        <v>29</v>
      </c>
      <c r="J7968" s="6"/>
    </row>
    <row r="7969">
      <c r="A7969" s="11" t="s">
        <v>30</v>
      </c>
      <c r="B7969" s="12">
        <v>1248.9282</v>
      </c>
      <c r="C7969" s="12">
        <v>0</v>
      </c>
      <c r="D7969" s="13">
        <v>0</v>
      </c>
      <c r="E7969" s="12">
        <v>0</v>
      </c>
      <c r="F7969" s="14">
        <v>0</v>
      </c>
      <c r="G7969" s="13">
        <v>793813.0843</v>
      </c>
      <c r="H7969" s="14">
        <v>991415546.511247</v>
      </c>
      <c r="I7969" s="14" t="e">
        <f>=Round(14934.52760000,0)</f>
        <v>#VALUE!</v>
      </c>
      <c r="J7969" s="14" t="e">
        <f>=Round(0.00000000,0)</f>
        <v>#VALUE!</v>
      </c>
    </row>
    <row r="7970">
      <c r="A7970" s="11" t="s">
        <v>31</v>
      </c>
      <c r="B7970" s="12">
        <v>1256.528</v>
      </c>
      <c r="C7970" s="12">
        <v>0</v>
      </c>
      <c r="D7970" s="13">
        <v>0</v>
      </c>
      <c r="E7970" s="12">
        <v>0</v>
      </c>
      <c r="F7970" s="14">
        <v>0</v>
      </c>
      <c r="G7970" s="13">
        <v>793813.0843</v>
      </c>
      <c r="H7970" s="14">
        <v>997448367.18931</v>
      </c>
      <c r="I7970" s="14" t="e">
        <f>=Round(14898.32110000,0)</f>
        <v>#VALUE!</v>
      </c>
      <c r="J7970" s="14" t="e">
        <f>=Round(0.00000000,0)</f>
        <v>#VALUE!</v>
      </c>
    </row>
    <row r="7971">
      <c r="A7971" s="11" t="s">
        <v>32</v>
      </c>
      <c r="B7971" s="12">
        <v>1254.6375</v>
      </c>
      <c r="C7971" s="12">
        <v>0</v>
      </c>
      <c r="D7971" s="13">
        <v>0</v>
      </c>
      <c r="E7971" s="12">
        <v>0</v>
      </c>
      <c r="F7971" s="14">
        <v>0</v>
      </c>
      <c r="G7971" s="13">
        <v>793813.0843</v>
      </c>
      <c r="H7971" s="14">
        <v>995947663.553441</v>
      </c>
      <c r="I7971" s="14" t="e">
        <f>=Round(14988.97820000,0)</f>
        <v>#VALUE!</v>
      </c>
      <c r="J7971" s="14" t="e">
        <f>=Round(0.00000000,0)</f>
        <v>#VALUE!</v>
      </c>
    </row>
    <row r="7972">
      <c r="A7972" s="11" t="s">
        <v>33</v>
      </c>
      <c r="B7972" s="12">
        <v>1260.0744</v>
      </c>
      <c r="C7972" s="12">
        <v>0</v>
      </c>
      <c r="D7972" s="13">
        <v>0</v>
      </c>
      <c r="E7972" s="12">
        <v>0</v>
      </c>
      <c r="F7972" s="14">
        <v>0</v>
      </c>
      <c r="G7972" s="13">
        <v>793813.0843</v>
      </c>
      <c r="H7972" s="14">
        <v>1000263545.911472</v>
      </c>
      <c r="I7972" s="14" t="e">
        <f>=Round(14966.42660000,0)</f>
        <v>#VALUE!</v>
      </c>
      <c r="J7972" s="14" t="e">
        <f>=Round(0.00000000,0)</f>
        <v>#VALUE!</v>
      </c>
    </row>
    <row r="7973">
      <c r="A7973" s="11" t="s">
        <v>34</v>
      </c>
      <c r="B7973" s="12">
        <v>1262.5315</v>
      </c>
      <c r="C7973" s="12">
        <v>0</v>
      </c>
      <c r="D7973" s="13">
        <v>0</v>
      </c>
      <c r="E7973" s="12">
        <v>0</v>
      </c>
      <c r="F7973" s="14">
        <v>0</v>
      </c>
      <c r="G7973" s="13">
        <v>793813.0843</v>
      </c>
      <c r="H7973" s="14">
        <v>1002214024.040905</v>
      </c>
      <c r="I7973" s="14" t="e">
        <f>=Round(15031.28280000,0)</f>
        <v>#VALUE!</v>
      </c>
      <c r="J7973" s="14" t="e">
        <f>=Round(0.00000000,0)</f>
        <v>#VALUE!</v>
      </c>
    </row>
    <row r="7974">
      <c r="A7974" s="11" t="s">
        <v>35</v>
      </c>
      <c r="B7974" s="12">
        <v>1262.5315</v>
      </c>
      <c r="C7974" s="12">
        <v>0</v>
      </c>
      <c r="D7974" s="13">
        <v>0</v>
      </c>
      <c r="E7974" s="12">
        <v>0</v>
      </c>
      <c r="F7974" s="14">
        <v>0</v>
      </c>
      <c r="G7974" s="13">
        <v>793813.0843</v>
      </c>
      <c r="H7974" s="14">
        <v>1002214024.040905</v>
      </c>
      <c r="I7974" s="14" t="e">
        <f>=Round(15060.59330000,0)</f>
        <v>#VALUE!</v>
      </c>
      <c r="J7974" s="14" t="e">
        <f>=Round(0.00000000,0)</f>
        <v>#VALUE!</v>
      </c>
    </row>
    <row r="7975">
      <c r="A7975" s="11" t="s">
        <v>36</v>
      </c>
      <c r="B7975" s="12">
        <v>1262.5315</v>
      </c>
      <c r="C7975" s="12">
        <v>0</v>
      </c>
      <c r="D7975" s="13">
        <v>0</v>
      </c>
      <c r="E7975" s="12">
        <v>0</v>
      </c>
      <c r="F7975" s="14">
        <v>0</v>
      </c>
      <c r="G7975" s="13">
        <v>793813.0843</v>
      </c>
      <c r="H7975" s="14">
        <v>1002214024.040905</v>
      </c>
      <c r="I7975" s="14" t="e">
        <f>=Round(15060.59330000,0)</f>
        <v>#VALUE!</v>
      </c>
      <c r="J7975" s="14" t="e">
        <f>=Round(0.00000000,0)</f>
        <v>#VALUE!</v>
      </c>
    </row>
    <row r="7976">
      <c r="A7976" s="11" t="s">
        <v>37</v>
      </c>
      <c r="B7976" s="12">
        <v>1260.7554</v>
      </c>
      <c r="C7976" s="12">
        <v>0</v>
      </c>
      <c r="D7976" s="13">
        <v>0</v>
      </c>
      <c r="E7976" s="12">
        <v>0</v>
      </c>
      <c r="F7976" s="14">
        <v>0</v>
      </c>
      <c r="G7976" s="13">
        <v>793813.0843</v>
      </c>
      <c r="H7976" s="14">
        <v>1000804132.62188</v>
      </c>
      <c r="I7976" s="14" t="e">
        <f>=Round(15060.59330000,0)</f>
        <v>#VALUE!</v>
      </c>
      <c r="J7976" s="14" t="e">
        <f>=Round(0.00000000,0)</f>
        <v>#VALUE!</v>
      </c>
    </row>
    <row r="7977">
      <c r="A7977" s="11" t="s">
        <v>38</v>
      </c>
      <c r="B7977" s="12">
        <v>1262.4788</v>
      </c>
      <c r="C7977" s="12">
        <v>0</v>
      </c>
      <c r="D7977" s="13">
        <v>0</v>
      </c>
      <c r="E7977" s="12">
        <v>0</v>
      </c>
      <c r="F7977" s="14">
        <v>0</v>
      </c>
      <c r="G7977" s="13">
        <v>793813.0843</v>
      </c>
      <c r="H7977" s="14">
        <v>1002172190.091363</v>
      </c>
      <c r="I7977" s="14" t="e">
        <f>=Round(15039.40640000,0)</f>
        <v>#VALUE!</v>
      </c>
      <c r="J7977" s="14" t="e">
        <f>=Round(0.00000000,0)</f>
        <v>#VALUE!</v>
      </c>
    </row>
    <row r="7978">
      <c r="A7978" s="11" t="s">
        <v>39</v>
      </c>
      <c r="B7978" s="12">
        <v>1266.2701</v>
      </c>
      <c r="C7978" s="12">
        <v>0</v>
      </c>
      <c r="D7978" s="13">
        <v>0</v>
      </c>
      <c r="E7978" s="12">
        <v>0</v>
      </c>
      <c r="F7978" s="14">
        <v>0</v>
      </c>
      <c r="G7978" s="13">
        <v>793813.0843</v>
      </c>
      <c r="H7978" s="14">
        <v>1005181773.637869</v>
      </c>
      <c r="I7978" s="14" t="e">
        <f>=Round(15059.96460000,0)</f>
        <v>#VALUE!</v>
      </c>
      <c r="J7978" s="14" t="e">
        <f>=Round(0.00000000,0)</f>
        <v>#VALUE!</v>
      </c>
    </row>
    <row r="7979">
      <c r="A7979" s="11" t="s">
        <v>40</v>
      </c>
      <c r="B7979" s="12">
        <v>1266.9583</v>
      </c>
      <c r="C7979" s="12">
        <v>0</v>
      </c>
      <c r="D7979" s="13">
        <v>0</v>
      </c>
      <c r="E7979" s="12">
        <v>0</v>
      </c>
      <c r="F7979" s="14">
        <v>0</v>
      </c>
      <c r="G7979" s="13">
        <v>793813.0843</v>
      </c>
      <c r="H7979" s="14">
        <v>1005728075.802485</v>
      </c>
      <c r="I7979" s="14" t="e">
        <f>=Round(15105.19060000,0)</f>
        <v>#VALUE!</v>
      </c>
      <c r="J7979" s="14" t="e">
        <f>=Round(0.00000000,0)</f>
        <v>#VALUE!</v>
      </c>
    </row>
    <row r="7980">
      <c r="A7980" s="11" t="s">
        <v>41</v>
      </c>
      <c r="B7980" s="12">
        <v>1266.1038</v>
      </c>
      <c r="C7980" s="12">
        <v>0</v>
      </c>
      <c r="D7980" s="13">
        <v>0</v>
      </c>
      <c r="E7980" s="12">
        <v>0</v>
      </c>
      <c r="F7980" s="14">
        <v>0</v>
      </c>
      <c r="G7980" s="13">
        <v>793813.0843</v>
      </c>
      <c r="H7980" s="14">
        <v>1005049762.52195</v>
      </c>
      <c r="I7980" s="14" t="e">
        <f>=Round(15113.40000000,0)</f>
        <v>#VALUE!</v>
      </c>
      <c r="J7980" s="14" t="e">
        <f>=Round(0.00000000,0)</f>
        <v>#VALUE!</v>
      </c>
    </row>
    <row r="7981">
      <c r="A7981" s="11" t="s">
        <v>42</v>
      </c>
      <c r="B7981" s="12">
        <v>1266.1038</v>
      </c>
      <c r="C7981" s="12">
        <v>0</v>
      </c>
      <c r="D7981" s="13">
        <v>0</v>
      </c>
      <c r="E7981" s="12">
        <v>0</v>
      </c>
      <c r="F7981" s="14">
        <v>0</v>
      </c>
      <c r="G7981" s="13">
        <v>793813.0843</v>
      </c>
      <c r="H7981" s="14">
        <v>1005049762.52195</v>
      </c>
      <c r="I7981" s="14" t="e">
        <f>=Round(15103.20680000,0)</f>
        <v>#VALUE!</v>
      </c>
      <c r="J7981" s="14" t="e">
        <f>=Round(0.00000000,0)</f>
        <v>#VALUE!</v>
      </c>
    </row>
    <row r="7982">
      <c r="A7982" s="11" t="s">
        <v>43</v>
      </c>
      <c r="B7982" s="12">
        <v>1266.1038</v>
      </c>
      <c r="C7982" s="12">
        <v>0</v>
      </c>
      <c r="D7982" s="13">
        <v>0</v>
      </c>
      <c r="E7982" s="12">
        <v>0</v>
      </c>
      <c r="F7982" s="14">
        <v>0</v>
      </c>
      <c r="G7982" s="13">
        <v>793813.0843</v>
      </c>
      <c r="H7982" s="14">
        <v>1005049762.52195</v>
      </c>
      <c r="I7982" s="14" t="e">
        <f>=Round(15103.20680000,0)</f>
        <v>#VALUE!</v>
      </c>
      <c r="J7982" s="14" t="e">
        <f>=Round(0.00000000,0)</f>
        <v>#VALUE!</v>
      </c>
    </row>
    <row r="7983">
      <c r="A7983" s="11" t="s">
        <v>44</v>
      </c>
      <c r="B7983" s="12">
        <v>1267.4076</v>
      </c>
      <c r="C7983" s="12">
        <v>0</v>
      </c>
      <c r="D7983" s="13">
        <v>0</v>
      </c>
      <c r="E7983" s="12">
        <v>0</v>
      </c>
      <c r="F7983" s="14">
        <v>0</v>
      </c>
      <c r="G7983" s="13">
        <v>793813.0843</v>
      </c>
      <c r="H7983" s="14">
        <v>1006084736.021261</v>
      </c>
      <c r="I7983" s="14" t="e">
        <f>=Round(15103.20680000,0)</f>
        <v>#VALUE!</v>
      </c>
      <c r="J7983" s="14" t="e">
        <f>=Round(0.00000000,0)</f>
        <v>#VALUE!</v>
      </c>
    </row>
    <row r="7984">
      <c r="A7984" s="11" t="s">
        <v>45</v>
      </c>
      <c r="B7984" s="12">
        <v>1270.0303</v>
      </c>
      <c r="C7984" s="12">
        <v>0</v>
      </c>
      <c r="D7984" s="13">
        <v>0</v>
      </c>
      <c r="E7984" s="12">
        <v>0</v>
      </c>
      <c r="F7984" s="14">
        <v>0</v>
      </c>
      <c r="G7984" s="13">
        <v>793813.0843</v>
      </c>
      <c r="H7984" s="14">
        <v>1008166669.597454</v>
      </c>
      <c r="I7984" s="14" t="e">
        <f>=Round(15118.75970000,0)</f>
        <v>#VALUE!</v>
      </c>
      <c r="J7984" s="14" t="e">
        <f>=Round(0.00000000,0)</f>
        <v>#VALUE!</v>
      </c>
    </row>
    <row r="7985">
      <c r="A7985" s="11" t="s">
        <v>46</v>
      </c>
      <c r="B7985" s="12">
        <v>1271.8189</v>
      </c>
      <c r="C7985" s="12">
        <v>0</v>
      </c>
      <c r="D7985" s="13">
        <v>0</v>
      </c>
      <c r="E7985" s="12">
        <v>0</v>
      </c>
      <c r="F7985" s="14">
        <v>0</v>
      </c>
      <c r="G7985" s="13">
        <v>793813.0843</v>
      </c>
      <c r="H7985" s="14">
        <v>1009586483.680033</v>
      </c>
      <c r="I7985" s="14" t="e">
        <f>=Round(15150.04560000,0)</f>
        <v>#VALUE!</v>
      </c>
      <c r="J7985" s="14" t="e">
        <f>=Round(0.00000000,0)</f>
        <v>#VALUE!</v>
      </c>
    </row>
    <row r="7986">
      <c r="A7986" s="11" t="s">
        <v>47</v>
      </c>
      <c r="B7986" s="12">
        <v>1271.8524</v>
      </c>
      <c r="C7986" s="12">
        <v>0</v>
      </c>
      <c r="D7986" s="13">
        <v>0</v>
      </c>
      <c r="E7986" s="12">
        <v>0</v>
      </c>
      <c r="F7986" s="14">
        <v>0</v>
      </c>
      <c r="G7986" s="13">
        <v>793813.0843</v>
      </c>
      <c r="H7986" s="14">
        <v>1009613076.418357</v>
      </c>
      <c r="I7986" s="14" t="e">
        <f>=Round(15171.38160000,0)</f>
        <v>#VALUE!</v>
      </c>
      <c r="J7986" s="14" t="e">
        <f>=Round(0.00000000,0)</f>
        <v>#VALUE!</v>
      </c>
    </row>
    <row r="7987">
      <c r="A7987" s="11" t="s">
        <v>48</v>
      </c>
      <c r="B7987" s="12">
        <v>1271.4146</v>
      </c>
      <c r="C7987" s="12">
        <v>0</v>
      </c>
      <c r="D7987" s="13">
        <v>0</v>
      </c>
      <c r="E7987" s="12">
        <v>0</v>
      </c>
      <c r="F7987" s="14">
        <v>0</v>
      </c>
      <c r="G7987" s="13">
        <v>793813.0843</v>
      </c>
      <c r="H7987" s="14">
        <v>1009265545.050051</v>
      </c>
      <c r="I7987" s="14" t="e">
        <f>=Round(15171.78120000,0)</f>
        <v>#VALUE!</v>
      </c>
      <c r="J7987" s="14" t="e">
        <f>=Round(0.00000000,0)</f>
        <v>#VALUE!</v>
      </c>
    </row>
    <row r="7988">
      <c r="A7988" s="11" t="s">
        <v>49</v>
      </c>
      <c r="B7988" s="12">
        <v>1271.4146</v>
      </c>
      <c r="C7988" s="12">
        <v>0</v>
      </c>
      <c r="D7988" s="13">
        <v>0</v>
      </c>
      <c r="E7988" s="12">
        <v>0</v>
      </c>
      <c r="F7988" s="14">
        <v>0</v>
      </c>
      <c r="G7988" s="13">
        <v>793813.0843</v>
      </c>
      <c r="H7988" s="14">
        <v>1009265545.050051</v>
      </c>
      <c r="I7988" s="14" t="e">
        <f>=Round(15166.55870000,0)</f>
        <v>#VALUE!</v>
      </c>
      <c r="J7988" s="14" t="e">
        <f>=Round(0.00000000,0)</f>
        <v>#VALUE!</v>
      </c>
    </row>
    <row r="7989">
      <c r="A7989" s="11" t="s">
        <v>50</v>
      </c>
      <c r="B7989" s="12">
        <v>1271.4146</v>
      </c>
      <c r="C7989" s="12">
        <v>0</v>
      </c>
      <c r="D7989" s="13">
        <v>0</v>
      </c>
      <c r="E7989" s="12">
        <v>0</v>
      </c>
      <c r="F7989" s="14">
        <v>0</v>
      </c>
      <c r="G7989" s="13">
        <v>793813.0843</v>
      </c>
      <c r="H7989" s="14">
        <v>1009265545.050051</v>
      </c>
      <c r="I7989" s="14" t="e">
        <f>=Round(15166.55870000,0)</f>
        <v>#VALUE!</v>
      </c>
      <c r="J7989" s="14" t="e">
        <f>=Round(0.00000000,0)</f>
        <v>#VALUE!</v>
      </c>
    </row>
    <row r="7990">
      <c r="A7990" s="11" t="s">
        <v>51</v>
      </c>
      <c r="B7990" s="12">
        <v>1268.7515</v>
      </c>
      <c r="C7990" s="12">
        <v>0</v>
      </c>
      <c r="D7990" s="13">
        <v>0</v>
      </c>
      <c r="E7990" s="12">
        <v>0</v>
      </c>
      <c r="F7990" s="14">
        <v>0</v>
      </c>
      <c r="G7990" s="13">
        <v>793813.0843</v>
      </c>
      <c r="H7990" s="14">
        <v>1007151541.425251</v>
      </c>
      <c r="I7990" s="14" t="e">
        <f>=Round(15166.55870000,0)</f>
        <v>#VALUE!</v>
      </c>
      <c r="J7990" s="14" t="e">
        <f>=Round(0.00000000,0)</f>
        <v>#VALUE!</v>
      </c>
    </row>
    <row r="7991">
      <c r="A7991" s="11" t="s">
        <v>52</v>
      </c>
      <c r="B7991" s="12">
        <v>1268.7071</v>
      </c>
      <c r="C7991" s="12">
        <v>0</v>
      </c>
      <c r="D7991" s="13">
        <v>0</v>
      </c>
      <c r="E7991" s="12">
        <v>0</v>
      </c>
      <c r="F7991" s="14">
        <v>0</v>
      </c>
      <c r="G7991" s="13">
        <v>793813.0843</v>
      </c>
      <c r="H7991" s="14">
        <v>1007116296.1243089</v>
      </c>
      <c r="I7991" s="14" t="e">
        <f>=Round(15134.79090000,0)</f>
        <v>#VALUE!</v>
      </c>
      <c r="J7991" s="14" t="e">
        <f>=Round(0.00000000,0)</f>
        <v>#VALUE!</v>
      </c>
    </row>
    <row r="7992">
      <c r="A7992" s="11" t="s">
        <v>53</v>
      </c>
      <c r="B7992" s="12">
        <v>1263.6206</v>
      </c>
      <c r="C7992" s="12">
        <v>0</v>
      </c>
      <c r="D7992" s="13">
        <v>0</v>
      </c>
      <c r="E7992" s="12">
        <v>0</v>
      </c>
      <c r="F7992" s="14">
        <v>0</v>
      </c>
      <c r="G7992" s="13">
        <v>793813.0843</v>
      </c>
      <c r="H7992" s="14">
        <v>1003078565.871017</v>
      </c>
      <c r="I7992" s="14" t="e">
        <f>=Round(15134.26130000,0)</f>
        <v>#VALUE!</v>
      </c>
      <c r="J7992" s="14" t="e">
        <f>=Round(0.00000000,0)</f>
        <v>#VALUE!</v>
      </c>
    </row>
    <row r="7993">
      <c r="A7993" s="11" t="s">
        <v>54</v>
      </c>
      <c r="B7993" s="12">
        <v>1248.7736</v>
      </c>
      <c r="C7993" s="12">
        <v>0</v>
      </c>
      <c r="D7993" s="13">
        <v>0</v>
      </c>
      <c r="E7993" s="12">
        <v>0</v>
      </c>
      <c r="F7993" s="14">
        <v>0</v>
      </c>
      <c r="G7993" s="13">
        <v>793813.0843</v>
      </c>
      <c r="H7993" s="14">
        <v>991292823.008414</v>
      </c>
      <c r="I7993" s="14" t="e">
        <f>=Round(15073.58500000,0)</f>
        <v>#VALUE!</v>
      </c>
      <c r="J7993" s="14" t="e">
        <f>=Round(0.00000000,0)</f>
        <v>#VALUE!</v>
      </c>
    </row>
    <row r="7994">
      <c r="A7994" s="11" t="s">
        <v>55</v>
      </c>
      <c r="B7994" s="12">
        <v>1235.2708</v>
      </c>
      <c r="C7994" s="12">
        <v>0</v>
      </c>
      <c r="D7994" s="13">
        <v>0</v>
      </c>
      <c r="E7994" s="12">
        <v>0</v>
      </c>
      <c r="F7994" s="14">
        <v>0</v>
      </c>
      <c r="G7994" s="13">
        <v>793813.0843</v>
      </c>
      <c r="H7994" s="14">
        <v>980574123.693728</v>
      </c>
      <c r="I7994" s="14" t="e">
        <f>=Round(14896.47680000,0)</f>
        <v>#VALUE!</v>
      </c>
      <c r="J7994" s="14" t="e">
        <f>=Round(0.00000000,0)</f>
        <v>#VALUE!</v>
      </c>
    </row>
    <row r="7995" ht="-1">
      <c r="A7995" s="15"/>
      <c r="B7995" s="16" t="s">
        <v>56</v>
      </c>
      <c r="C7995" s="15"/>
      <c r="D7995" s="15"/>
      <c r="E7995" s="15"/>
      <c r="F7995" s="15"/>
      <c r="G7995" s="15"/>
      <c r="H7995" s="15"/>
      <c r="I7995" s="17" t="e">
        <f>=Round(SUM(I7969:I7994),0)</f>
        <v>#VALUE!</v>
      </c>
      <c r="J7995" s="17" t="e">
        <f>=Round(SUM(J7969:J7994),0)</f>
        <v>#VALUE!</v>
      </c>
    </row>
    <row r="7996">
      <c r="A7996" s="1" t="s">
        <v>0</v>
      </c>
      <c r="B7996" s="1"/>
      <c r="C7996" s="1"/>
      <c r="D7996" s="1"/>
    </row>
    <row r="7997">
      <c r="A7997" s="0" t="s">
        <v>1</v>
      </c>
      <c r="C7997" s="0" t="s">
        <v>274</v>
      </c>
      <c r="H7997" s="2" t="s">
        <v>3</v>
      </c>
    </row>
    <row r="7998">
      <c r="A7998" s="0" t="s">
        <v>4</v>
      </c>
      <c r="C7998" s="0" t="s">
        <v>279</v>
      </c>
      <c r="H7998" s="3" t="s">
        <v>6</v>
      </c>
    </row>
    <row r="7999">
      <c r="A7999" s="0" t="s">
        <v>7</v>
      </c>
      <c r="C7999" s="4" t="s">
        <v>146</v>
      </c>
      <c r="H7999" s="2" t="s">
        <v>9</v>
      </c>
    </row>
    <row r="8000">
      <c r="A8000" s="0" t="s">
        <v>10</v>
      </c>
      <c r="C8000" s="4" t="s">
        <v>11</v>
      </c>
      <c r="H8000" s="2" t="s">
        <v>12</v>
      </c>
    </row>
    <row r="8001">
      <c r="A8001" s="0" t="s">
        <v>13</v>
      </c>
      <c r="C8001" s="0" t="s">
        <v>14</v>
      </c>
    </row>
    <row r="8002">
      <c r="A8002" s="0" t="s">
        <v>15</v>
      </c>
      <c r="C8002" s="0" t="s">
        <v>16</v>
      </c>
    </row>
    <row r="8003">
      <c r="A8003" s="0" t="s">
        <v>17</v>
      </c>
      <c r="C8003" s="0" t="s">
        <v>18</v>
      </c>
    </row>
    <row r="8006">
      <c r="A8006" s="5" t="s">
        <v>19</v>
      </c>
      <c r="B8006" s="5" t="s">
        <v>20</v>
      </c>
      <c r="C8006" s="7" t="s">
        <v>21</v>
      </c>
      <c r="D8006" s="9"/>
      <c r="E8006" s="7" t="s">
        <v>22</v>
      </c>
      <c r="F8006" s="9"/>
      <c r="G8006" s="5" t="s">
        <v>23</v>
      </c>
      <c r="H8006" s="5" t="s">
        <v>24</v>
      </c>
      <c r="I8006" s="5" t="s">
        <v>147</v>
      </c>
      <c r="J8006" s="5" t="s">
        <v>26</v>
      </c>
    </row>
    <row r="8007">
      <c r="A8007" s="6"/>
      <c r="B8007" s="6"/>
      <c r="C8007" s="8" t="s">
        <v>27</v>
      </c>
      <c r="D8007" s="8" t="s">
        <v>28</v>
      </c>
      <c r="E8007" s="8" t="s">
        <v>27</v>
      </c>
      <c r="F8007" s="8" t="s">
        <v>28</v>
      </c>
      <c r="G8007" s="6"/>
      <c r="H8007" s="6"/>
      <c r="I8007" s="10" t="s">
        <v>29</v>
      </c>
      <c r="J8007" s="6"/>
    </row>
    <row r="8008">
      <c r="A8008" s="11" t="s">
        <v>30</v>
      </c>
      <c r="B8008" s="12">
        <v>1248.9282</v>
      </c>
      <c r="C8008" s="12">
        <v>0</v>
      </c>
      <c r="D8008" s="13">
        <v>0</v>
      </c>
      <c r="E8008" s="12">
        <v>0</v>
      </c>
      <c r="F8008" s="14">
        <v>0</v>
      </c>
      <c r="G8008" s="13">
        <v>5548780.0166000007</v>
      </c>
      <c r="H8008" s="14">
        <v>6930027838.328208</v>
      </c>
      <c r="I8008" s="14" t="e">
        <f>=Round(104392.84760000,0)</f>
        <v>#VALUE!</v>
      </c>
      <c r="J8008" s="14" t="e">
        <f>=Round(0.00000000,0)</f>
        <v>#VALUE!</v>
      </c>
    </row>
    <row r="8009">
      <c r="A8009" s="11" t="s">
        <v>31</v>
      </c>
      <c r="B8009" s="12">
        <v>1256.528</v>
      </c>
      <c r="C8009" s="12">
        <v>0</v>
      </c>
      <c r="D8009" s="13">
        <v>0</v>
      </c>
      <c r="E8009" s="12">
        <v>0</v>
      </c>
      <c r="F8009" s="14">
        <v>0</v>
      </c>
      <c r="G8009" s="13">
        <v>5548780.0166000007</v>
      </c>
      <c r="H8009" s="14">
        <v>6972197456.6983652</v>
      </c>
      <c r="I8009" s="14" t="e">
        <f>=Round(104139.76260000,0)</f>
        <v>#VALUE!</v>
      </c>
      <c r="J8009" s="14" t="e">
        <f>=Round(0.00000000,0)</f>
        <v>#VALUE!</v>
      </c>
    </row>
    <row r="8010">
      <c r="A8010" s="11" t="s">
        <v>32</v>
      </c>
      <c r="B8010" s="12">
        <v>1254.6375</v>
      </c>
      <c r="C8010" s="12">
        <v>0</v>
      </c>
      <c r="D8010" s="13">
        <v>0</v>
      </c>
      <c r="E8010" s="12">
        <v>0</v>
      </c>
      <c r="F8010" s="14">
        <v>0</v>
      </c>
      <c r="G8010" s="13">
        <v>5548780.0166000007</v>
      </c>
      <c r="H8010" s="14">
        <v>6961707488.0769835</v>
      </c>
      <c r="I8010" s="14" t="e">
        <f>=Round(104773.45900000,0)</f>
        <v>#VALUE!</v>
      </c>
      <c r="J8010" s="14" t="e">
        <f>=Round(0.00000000,0)</f>
        <v>#VALUE!</v>
      </c>
    </row>
    <row r="8011">
      <c r="A8011" s="11" t="s">
        <v>33</v>
      </c>
      <c r="B8011" s="12">
        <v>1260.0744</v>
      </c>
      <c r="C8011" s="12">
        <v>0</v>
      </c>
      <c r="D8011" s="13">
        <v>0</v>
      </c>
      <c r="E8011" s="12">
        <v>0</v>
      </c>
      <c r="F8011" s="14">
        <v>0</v>
      </c>
      <c r="G8011" s="13">
        <v>5548780.0166000007</v>
      </c>
      <c r="H8011" s="14">
        <v>6991875650.1492348</v>
      </c>
      <c r="I8011" s="14" t="e">
        <f>=Round(104615.82290000,0)</f>
        <v>#VALUE!</v>
      </c>
      <c r="J8011" s="14" t="e">
        <f>=Round(0.00000000,0)</f>
        <v>#VALUE!</v>
      </c>
    </row>
    <row r="8012">
      <c r="A8012" s="11" t="s">
        <v>34</v>
      </c>
      <c r="B8012" s="12">
        <v>1262.5315</v>
      </c>
      <c r="C8012" s="12">
        <v>0</v>
      </c>
      <c r="D8012" s="13">
        <v>0</v>
      </c>
      <c r="E8012" s="12">
        <v>0</v>
      </c>
      <c r="F8012" s="14">
        <v>0</v>
      </c>
      <c r="G8012" s="13">
        <v>5548780.0166000007</v>
      </c>
      <c r="H8012" s="14">
        <v>7005509557.5280228</v>
      </c>
      <c r="I8012" s="14" t="e">
        <f>=Round(105069.16960000,0)</f>
        <v>#VALUE!</v>
      </c>
      <c r="J8012" s="14" t="e">
        <f>=Round(0.00000000,0)</f>
        <v>#VALUE!</v>
      </c>
    </row>
    <row r="8013">
      <c r="A8013" s="11" t="s">
        <v>35</v>
      </c>
      <c r="B8013" s="12">
        <v>1262.5315</v>
      </c>
      <c r="C8013" s="12">
        <v>0</v>
      </c>
      <c r="D8013" s="13">
        <v>0</v>
      </c>
      <c r="E8013" s="12">
        <v>0</v>
      </c>
      <c r="F8013" s="14">
        <v>0</v>
      </c>
      <c r="G8013" s="13">
        <v>5548780.0166000007</v>
      </c>
      <c r="H8013" s="14">
        <v>7005509557.5280228</v>
      </c>
      <c r="I8013" s="14" t="e">
        <f>=Round(105274.05070000,0)</f>
        <v>#VALUE!</v>
      </c>
      <c r="J8013" s="14" t="e">
        <f>=Round(0.00000000,0)</f>
        <v>#VALUE!</v>
      </c>
    </row>
    <row r="8014">
      <c r="A8014" s="11" t="s">
        <v>36</v>
      </c>
      <c r="B8014" s="12">
        <v>1262.5315</v>
      </c>
      <c r="C8014" s="12">
        <v>0</v>
      </c>
      <c r="D8014" s="13">
        <v>0</v>
      </c>
      <c r="E8014" s="12">
        <v>0</v>
      </c>
      <c r="F8014" s="14">
        <v>0</v>
      </c>
      <c r="G8014" s="13">
        <v>5548780.0166000007</v>
      </c>
      <c r="H8014" s="14">
        <v>7005509557.5280228</v>
      </c>
      <c r="I8014" s="14" t="e">
        <f>=Round(105274.05070000,0)</f>
        <v>#VALUE!</v>
      </c>
      <c r="J8014" s="14" t="e">
        <f>=Round(0.00000000,0)</f>
        <v>#VALUE!</v>
      </c>
    </row>
    <row r="8015">
      <c r="A8015" s="11" t="s">
        <v>37</v>
      </c>
      <c r="B8015" s="12">
        <v>1260.7554</v>
      </c>
      <c r="C8015" s="12">
        <v>0</v>
      </c>
      <c r="D8015" s="13">
        <v>0</v>
      </c>
      <c r="E8015" s="12">
        <v>0</v>
      </c>
      <c r="F8015" s="14">
        <v>0</v>
      </c>
      <c r="G8015" s="13">
        <v>5548780.0166000007</v>
      </c>
      <c r="H8015" s="14">
        <v>6995654369.34054</v>
      </c>
      <c r="I8015" s="14" t="e">
        <f>=Round(105274.05070000,0)</f>
        <v>#VALUE!</v>
      </c>
      <c r="J8015" s="14" t="e">
        <f>=Round(0.00000000,0)</f>
        <v>#VALUE!</v>
      </c>
    </row>
    <row r="8016">
      <c r="A8016" s="11" t="s">
        <v>38</v>
      </c>
      <c r="B8016" s="12">
        <v>1262.4788</v>
      </c>
      <c r="C8016" s="12">
        <v>0</v>
      </c>
      <c r="D8016" s="13">
        <v>0</v>
      </c>
      <c r="E8016" s="12">
        <v>0</v>
      </c>
      <c r="F8016" s="14">
        <v>0</v>
      </c>
      <c r="G8016" s="13">
        <v>5548780.0166000007</v>
      </c>
      <c r="H8016" s="14">
        <v>7005217136.8211479</v>
      </c>
      <c r="I8016" s="14" t="e">
        <f>=Round(105125.95360000,0)</f>
        <v>#VALUE!</v>
      </c>
      <c r="J8016" s="14" t="e">
        <f>=Round(0.00000000,0)</f>
        <v>#VALUE!</v>
      </c>
    </row>
    <row r="8017">
      <c r="A8017" s="11" t="s">
        <v>39</v>
      </c>
      <c r="B8017" s="12">
        <v>1266.2701</v>
      </c>
      <c r="C8017" s="12">
        <v>0</v>
      </c>
      <c r="D8017" s="13">
        <v>0</v>
      </c>
      <c r="E8017" s="12">
        <v>0</v>
      </c>
      <c r="F8017" s="14">
        <v>0</v>
      </c>
      <c r="G8017" s="13">
        <v>5548780.0166000007</v>
      </c>
      <c r="H8017" s="14">
        <v>7026254226.4980841</v>
      </c>
      <c r="I8017" s="14" t="e">
        <f>=Round(105269.65640000,0)</f>
        <v>#VALUE!</v>
      </c>
      <c r="J8017" s="14" t="e">
        <f>=Round(0.00000000,0)</f>
        <v>#VALUE!</v>
      </c>
    </row>
    <row r="8018">
      <c r="A8018" s="11" t="s">
        <v>40</v>
      </c>
      <c r="B8018" s="12">
        <v>1266.9583</v>
      </c>
      <c r="C8018" s="12">
        <v>0</v>
      </c>
      <c r="D8018" s="13">
        <v>0</v>
      </c>
      <c r="E8018" s="12">
        <v>0</v>
      </c>
      <c r="F8018" s="14">
        <v>0</v>
      </c>
      <c r="G8018" s="13">
        <v>5548780.0166000007</v>
      </c>
      <c r="H8018" s="14">
        <v>7030072896.905508</v>
      </c>
      <c r="I8018" s="14" t="e">
        <f>=Round(105585.78760000,0)</f>
        <v>#VALUE!</v>
      </c>
      <c r="J8018" s="14" t="e">
        <f>=Round(0.00000000,0)</f>
        <v>#VALUE!</v>
      </c>
    </row>
    <row r="8019">
      <c r="A8019" s="11" t="s">
        <v>41</v>
      </c>
      <c r="B8019" s="12">
        <v>1266.1038</v>
      </c>
      <c r="C8019" s="12">
        <v>0</v>
      </c>
      <c r="D8019" s="13">
        <v>0</v>
      </c>
      <c r="E8019" s="12">
        <v>0</v>
      </c>
      <c r="F8019" s="14">
        <v>0</v>
      </c>
      <c r="G8019" s="13">
        <v>5548780.0166000007</v>
      </c>
      <c r="H8019" s="14">
        <v>7025331464.3813229</v>
      </c>
      <c r="I8019" s="14" t="e">
        <f>=Round(105643.17190000,0)</f>
        <v>#VALUE!</v>
      </c>
      <c r="J8019" s="14" t="e">
        <f>=Round(0.00000000,0)</f>
        <v>#VALUE!</v>
      </c>
    </row>
    <row r="8020">
      <c r="A8020" s="11" t="s">
        <v>42</v>
      </c>
      <c r="B8020" s="12">
        <v>1266.1038</v>
      </c>
      <c r="C8020" s="12">
        <v>0</v>
      </c>
      <c r="D8020" s="13">
        <v>0</v>
      </c>
      <c r="E8020" s="12">
        <v>0</v>
      </c>
      <c r="F8020" s="14">
        <v>0</v>
      </c>
      <c r="G8020" s="13">
        <v>5548780.0166000007</v>
      </c>
      <c r="H8020" s="14">
        <v>7025331464.3813229</v>
      </c>
      <c r="I8020" s="14" t="e">
        <f>=Round(105571.92090000,0)</f>
        <v>#VALUE!</v>
      </c>
      <c r="J8020" s="14" t="e">
        <f>=Round(0.00000000,0)</f>
        <v>#VALUE!</v>
      </c>
    </row>
    <row r="8021">
      <c r="A8021" s="11" t="s">
        <v>43</v>
      </c>
      <c r="B8021" s="12">
        <v>1266.1038</v>
      </c>
      <c r="C8021" s="12">
        <v>0</v>
      </c>
      <c r="D8021" s="13">
        <v>0</v>
      </c>
      <c r="E8021" s="12">
        <v>0</v>
      </c>
      <c r="F8021" s="14">
        <v>0</v>
      </c>
      <c r="G8021" s="13">
        <v>5548780.0166000007</v>
      </c>
      <c r="H8021" s="14">
        <v>7025331464.3813229</v>
      </c>
      <c r="I8021" s="14" t="e">
        <f>=Round(105571.92090000,0)</f>
        <v>#VALUE!</v>
      </c>
      <c r="J8021" s="14" t="e">
        <f>=Round(0.00000000,0)</f>
        <v>#VALUE!</v>
      </c>
    </row>
    <row r="8022">
      <c r="A8022" s="11" t="s">
        <v>44</v>
      </c>
      <c r="B8022" s="12">
        <v>1267.4076</v>
      </c>
      <c r="C8022" s="12">
        <v>0</v>
      </c>
      <c r="D8022" s="13">
        <v>0</v>
      </c>
      <c r="E8022" s="12">
        <v>0</v>
      </c>
      <c r="F8022" s="14">
        <v>0</v>
      </c>
      <c r="G8022" s="13">
        <v>5548780.0166000007</v>
      </c>
      <c r="H8022" s="14">
        <v>7032565963.7669659</v>
      </c>
      <c r="I8022" s="14" t="e">
        <f>=Round(105571.92090000,0)</f>
        <v>#VALUE!</v>
      </c>
      <c r="J8022" s="14" t="e">
        <f>=Round(0.00000000,0)</f>
        <v>#VALUE!</v>
      </c>
    </row>
    <row r="8023">
      <c r="A8023" s="11" t="s">
        <v>45</v>
      </c>
      <c r="B8023" s="12">
        <v>1270.0303</v>
      </c>
      <c r="C8023" s="12">
        <v>0</v>
      </c>
      <c r="D8023" s="13">
        <v>0</v>
      </c>
      <c r="E8023" s="12">
        <v>0</v>
      </c>
      <c r="F8023" s="14">
        <v>0</v>
      </c>
      <c r="G8023" s="13">
        <v>5548780.0166000007</v>
      </c>
      <c r="H8023" s="14">
        <v>7047118749.1165028</v>
      </c>
      <c r="I8023" s="14" t="e">
        <f>=Round(105680.63610000,0)</f>
        <v>#VALUE!</v>
      </c>
      <c r="J8023" s="14" t="e">
        <f>=Round(0.00000000,0)</f>
        <v>#VALUE!</v>
      </c>
    </row>
    <row r="8024">
      <c r="A8024" s="11" t="s">
        <v>46</v>
      </c>
      <c r="B8024" s="12">
        <v>1271.8189</v>
      </c>
      <c r="C8024" s="12">
        <v>0</v>
      </c>
      <c r="D8024" s="13">
        <v>0</v>
      </c>
      <c r="E8024" s="12">
        <v>0</v>
      </c>
      <c r="F8024" s="14">
        <v>0</v>
      </c>
      <c r="G8024" s="13">
        <v>5548780.0166000007</v>
      </c>
      <c r="H8024" s="14">
        <v>7057043297.0541945</v>
      </c>
      <c r="I8024" s="14" t="e">
        <f>=Round(105899.32550000,0)</f>
        <v>#VALUE!</v>
      </c>
      <c r="J8024" s="14" t="e">
        <f>=Round(0.00000000,0)</f>
        <v>#VALUE!</v>
      </c>
    </row>
    <row r="8025">
      <c r="A8025" s="11" t="s">
        <v>47</v>
      </c>
      <c r="B8025" s="12">
        <v>1271.8524</v>
      </c>
      <c r="C8025" s="12">
        <v>0</v>
      </c>
      <c r="D8025" s="13">
        <v>0</v>
      </c>
      <c r="E8025" s="12">
        <v>0</v>
      </c>
      <c r="F8025" s="14">
        <v>0</v>
      </c>
      <c r="G8025" s="13">
        <v>5548780.0166000007</v>
      </c>
      <c r="H8025" s="14">
        <v>7057229181.18475</v>
      </c>
      <c r="I8025" s="14" t="e">
        <f>=Round(106048.46480000,0)</f>
        <v>#VALUE!</v>
      </c>
      <c r="J8025" s="14" t="e">
        <f>=Round(0.00000000,0)</f>
        <v>#VALUE!</v>
      </c>
    </row>
    <row r="8026">
      <c r="A8026" s="11" t="s">
        <v>48</v>
      </c>
      <c r="B8026" s="12">
        <v>1271.4146</v>
      </c>
      <c r="C8026" s="12">
        <v>0</v>
      </c>
      <c r="D8026" s="13">
        <v>0</v>
      </c>
      <c r="E8026" s="12">
        <v>0</v>
      </c>
      <c r="F8026" s="14">
        <v>0</v>
      </c>
      <c r="G8026" s="13">
        <v>5548780.0166000007</v>
      </c>
      <c r="H8026" s="14">
        <v>7054799925.2934818</v>
      </c>
      <c r="I8026" s="14" t="e">
        <f>=Round(106051.25820000,0)</f>
        <v>#VALUE!</v>
      </c>
      <c r="J8026" s="14" t="e">
        <f>=Round(0.00000000,0)</f>
        <v>#VALUE!</v>
      </c>
    </row>
    <row r="8027">
      <c r="A8027" s="11" t="s">
        <v>49</v>
      </c>
      <c r="B8027" s="12">
        <v>1271.4146</v>
      </c>
      <c r="C8027" s="12">
        <v>0</v>
      </c>
      <c r="D8027" s="13">
        <v>0</v>
      </c>
      <c r="E8027" s="12">
        <v>0</v>
      </c>
      <c r="F8027" s="14">
        <v>0</v>
      </c>
      <c r="G8027" s="13">
        <v>5548780.0166000007</v>
      </c>
      <c r="H8027" s="14">
        <v>7054799925.2934818</v>
      </c>
      <c r="I8027" s="14" t="e">
        <f>=Round(106014.75300000,0)</f>
        <v>#VALUE!</v>
      </c>
      <c r="J8027" s="14" t="e">
        <f>=Round(0.00000000,0)</f>
        <v>#VALUE!</v>
      </c>
    </row>
    <row r="8028">
      <c r="A8028" s="11" t="s">
        <v>50</v>
      </c>
      <c r="B8028" s="12">
        <v>1271.4146</v>
      </c>
      <c r="C8028" s="12">
        <v>0</v>
      </c>
      <c r="D8028" s="13">
        <v>0</v>
      </c>
      <c r="E8028" s="12">
        <v>0</v>
      </c>
      <c r="F8028" s="14">
        <v>0</v>
      </c>
      <c r="G8028" s="13">
        <v>5548780.0166000007</v>
      </c>
      <c r="H8028" s="14">
        <v>7054799925.2934818</v>
      </c>
      <c r="I8028" s="14" t="e">
        <f>=Round(106014.75300000,0)</f>
        <v>#VALUE!</v>
      </c>
      <c r="J8028" s="14" t="e">
        <f>=Round(0.00000000,0)</f>
        <v>#VALUE!</v>
      </c>
    </row>
    <row r="8029">
      <c r="A8029" s="11" t="s">
        <v>51</v>
      </c>
      <c r="B8029" s="12">
        <v>1268.7515</v>
      </c>
      <c r="C8029" s="12">
        <v>0</v>
      </c>
      <c r="D8029" s="13">
        <v>0</v>
      </c>
      <c r="E8029" s="12">
        <v>0</v>
      </c>
      <c r="F8029" s="14">
        <v>0</v>
      </c>
      <c r="G8029" s="13">
        <v>5548780.0166000007</v>
      </c>
      <c r="H8029" s="14">
        <v>7040022969.2312746</v>
      </c>
      <c r="I8029" s="14" t="e">
        <f>=Round(106014.75300000,0)</f>
        <v>#VALUE!</v>
      </c>
      <c r="J8029" s="14" t="e">
        <f>=Round(0.00000000,0)</f>
        <v>#VALUE!</v>
      </c>
    </row>
    <row r="8030">
      <c r="A8030" s="11" t="s">
        <v>52</v>
      </c>
      <c r="B8030" s="12">
        <v>1268.7071</v>
      </c>
      <c r="C8030" s="12">
        <v>0</v>
      </c>
      <c r="D8030" s="13">
        <v>0</v>
      </c>
      <c r="E8030" s="12">
        <v>0</v>
      </c>
      <c r="F8030" s="14">
        <v>0</v>
      </c>
      <c r="G8030" s="13">
        <v>5548780.0166000007</v>
      </c>
      <c r="H8030" s="14">
        <v>7039776603.3985376</v>
      </c>
      <c r="I8030" s="14" t="e">
        <f>=Round(105792.69490000,0)</f>
        <v>#VALUE!</v>
      </c>
      <c r="J8030" s="14" t="e">
        <f>=Round(0.00000000,0)</f>
        <v>#VALUE!</v>
      </c>
    </row>
    <row r="8031">
      <c r="A8031" s="11" t="s">
        <v>53</v>
      </c>
      <c r="B8031" s="12">
        <v>1263.6206</v>
      </c>
      <c r="C8031" s="12">
        <v>0</v>
      </c>
      <c r="D8031" s="13">
        <v>0</v>
      </c>
      <c r="E8031" s="12">
        <v>0</v>
      </c>
      <c r="F8031" s="14">
        <v>0</v>
      </c>
      <c r="G8031" s="13">
        <v>5548780.0166000007</v>
      </c>
      <c r="H8031" s="14">
        <v>7011552733.8441019</v>
      </c>
      <c r="I8031" s="14" t="e">
        <f>=Round(105788.99270000,0)</f>
        <v>#VALUE!</v>
      </c>
      <c r="J8031" s="14" t="e">
        <f>=Round(0.00000000,0)</f>
        <v>#VALUE!</v>
      </c>
    </row>
    <row r="8032">
      <c r="A8032" s="11" t="s">
        <v>54</v>
      </c>
      <c r="B8032" s="12">
        <v>1248.7736</v>
      </c>
      <c r="C8032" s="12">
        <v>0</v>
      </c>
      <c r="D8032" s="13">
        <v>0</v>
      </c>
      <c r="E8032" s="12">
        <v>0</v>
      </c>
      <c r="F8032" s="14">
        <v>0</v>
      </c>
      <c r="G8032" s="13">
        <v>5548780.0166000007</v>
      </c>
      <c r="H8032" s="14">
        <v>6929169996.9376421</v>
      </c>
      <c r="I8032" s="14" t="e">
        <f>=Round(105364.86350000,0)</f>
        <v>#VALUE!</v>
      </c>
      <c r="J8032" s="14" t="e">
        <f>=Round(0.00000000,0)</f>
        <v>#VALUE!</v>
      </c>
    </row>
    <row r="8033">
      <c r="A8033" s="11" t="s">
        <v>55</v>
      </c>
      <c r="B8033" s="12">
        <v>1235.2708</v>
      </c>
      <c r="C8033" s="12">
        <v>0</v>
      </c>
      <c r="D8033" s="13">
        <v>0</v>
      </c>
      <c r="E8033" s="12">
        <v>0</v>
      </c>
      <c r="F8033" s="14">
        <v>0</v>
      </c>
      <c r="G8033" s="13">
        <v>5548780.0166000007</v>
      </c>
      <c r="H8033" s="14">
        <v>6854245930.1294947</v>
      </c>
      <c r="I8033" s="14" t="e">
        <f>=Round(104126.87150000,0)</f>
        <v>#VALUE!</v>
      </c>
      <c r="J8033" s="14" t="e">
        <f>=Round(0.00000000,0)</f>
        <v>#VALUE!</v>
      </c>
    </row>
    <row r="8034" ht="-1">
      <c r="A8034" s="15"/>
      <c r="B8034" s="16" t="s">
        <v>56</v>
      </c>
      <c r="C8034" s="15"/>
      <c r="D8034" s="15"/>
      <c r="E8034" s="15"/>
      <c r="F8034" s="15"/>
      <c r="G8034" s="15"/>
      <c r="H8034" s="15"/>
      <c r="I8034" s="17" t="e">
        <f>=Round(SUM(I8008:I8033),0)</f>
        <v>#VALUE!</v>
      </c>
      <c r="J8034" s="17" t="e">
        <f>=Round(SUM(J8008:J8033),0)</f>
        <v>#VALUE!</v>
      </c>
    </row>
    <row r="8035">
      <c r="A8035" s="1" t="s">
        <v>0</v>
      </c>
      <c r="B8035" s="1"/>
      <c r="C8035" s="1"/>
      <c r="D8035" s="1"/>
    </row>
    <row r="8036">
      <c r="A8036" s="0" t="s">
        <v>1</v>
      </c>
      <c r="C8036" s="0" t="s">
        <v>274</v>
      </c>
      <c r="H8036" s="2" t="s">
        <v>3</v>
      </c>
    </row>
    <row r="8037">
      <c r="A8037" s="0" t="s">
        <v>4</v>
      </c>
      <c r="C8037" s="0" t="s">
        <v>280</v>
      </c>
      <c r="H8037" s="3" t="s">
        <v>6</v>
      </c>
    </row>
    <row r="8038">
      <c r="A8038" s="0" t="s">
        <v>7</v>
      </c>
      <c r="C8038" s="4" t="s">
        <v>146</v>
      </c>
      <c r="H8038" s="2" t="s">
        <v>9</v>
      </c>
    </row>
    <row r="8039">
      <c r="A8039" s="0" t="s">
        <v>10</v>
      </c>
      <c r="C8039" s="4" t="s">
        <v>11</v>
      </c>
      <c r="H8039" s="2" t="s">
        <v>12</v>
      </c>
    </row>
    <row r="8040">
      <c r="A8040" s="0" t="s">
        <v>13</v>
      </c>
      <c r="C8040" s="0" t="s">
        <v>14</v>
      </c>
    </row>
    <row r="8041">
      <c r="A8041" s="0" t="s">
        <v>15</v>
      </c>
      <c r="C8041" s="0" t="s">
        <v>16</v>
      </c>
    </row>
    <row r="8042">
      <c r="A8042" s="0" t="s">
        <v>17</v>
      </c>
      <c r="C8042" s="0" t="s">
        <v>18</v>
      </c>
    </row>
    <row r="8045">
      <c r="A8045" s="5" t="s">
        <v>19</v>
      </c>
      <c r="B8045" s="5" t="s">
        <v>20</v>
      </c>
      <c r="C8045" s="7" t="s">
        <v>21</v>
      </c>
      <c r="D8045" s="9"/>
      <c r="E8045" s="7" t="s">
        <v>22</v>
      </c>
      <c r="F8045" s="9"/>
      <c r="G8045" s="5" t="s">
        <v>23</v>
      </c>
      <c r="H8045" s="5" t="s">
        <v>24</v>
      </c>
      <c r="I8045" s="5" t="s">
        <v>147</v>
      </c>
      <c r="J8045" s="5" t="s">
        <v>26</v>
      </c>
    </row>
    <row r="8046">
      <c r="A8046" s="6"/>
      <c r="B8046" s="6"/>
      <c r="C8046" s="8" t="s">
        <v>27</v>
      </c>
      <c r="D8046" s="8" t="s">
        <v>28</v>
      </c>
      <c r="E8046" s="8" t="s">
        <v>27</v>
      </c>
      <c r="F8046" s="8" t="s">
        <v>28</v>
      </c>
      <c r="G8046" s="6"/>
      <c r="H8046" s="6"/>
      <c r="I8046" s="10" t="s">
        <v>29</v>
      </c>
      <c r="J8046" s="6"/>
    </row>
    <row r="8047">
      <c r="A8047" s="11" t="s">
        <v>30</v>
      </c>
      <c r="B8047" s="12">
        <v>1248.9282</v>
      </c>
      <c r="C8047" s="12">
        <v>0</v>
      </c>
      <c r="D8047" s="13">
        <v>0</v>
      </c>
      <c r="E8047" s="12">
        <v>0</v>
      </c>
      <c r="F8047" s="14">
        <v>0</v>
      </c>
      <c r="G8047" s="13">
        <v>811086.975</v>
      </c>
      <c r="H8047" s="14">
        <v>1012989395.7301951</v>
      </c>
      <c r="I8047" s="14" t="e">
        <f>=Round(15259.51270000,0)</f>
        <v>#VALUE!</v>
      </c>
      <c r="J8047" s="14" t="e">
        <f>=Round(0.00000000,0)</f>
        <v>#VALUE!</v>
      </c>
    </row>
    <row r="8048">
      <c r="A8048" s="11" t="s">
        <v>31</v>
      </c>
      <c r="B8048" s="12">
        <v>1256.528</v>
      </c>
      <c r="C8048" s="12">
        <v>0</v>
      </c>
      <c r="D8048" s="13">
        <v>0</v>
      </c>
      <c r="E8048" s="12">
        <v>0</v>
      </c>
      <c r="F8048" s="14">
        <v>0</v>
      </c>
      <c r="G8048" s="13">
        <v>811086.975</v>
      </c>
      <c r="H8048" s="14">
        <v>1019153494.5228</v>
      </c>
      <c r="I8048" s="14" t="e">
        <f>=Round(15222.51820000,0)</f>
        <v>#VALUE!</v>
      </c>
      <c r="J8048" s="14" t="e">
        <f>=Round(0.00000000,0)</f>
        <v>#VALUE!</v>
      </c>
    </row>
    <row r="8049">
      <c r="A8049" s="11" t="s">
        <v>32</v>
      </c>
      <c r="B8049" s="12">
        <v>1254.6375</v>
      </c>
      <c r="C8049" s="12">
        <v>0</v>
      </c>
      <c r="D8049" s="13">
        <v>0</v>
      </c>
      <c r="E8049" s="12">
        <v>0</v>
      </c>
      <c r="F8049" s="14">
        <v>0</v>
      </c>
      <c r="G8049" s="13">
        <v>811086.975</v>
      </c>
      <c r="H8049" s="14">
        <v>1017620134.596563</v>
      </c>
      <c r="I8049" s="14" t="e">
        <f>=Round(15315.14810000,0)</f>
        <v>#VALUE!</v>
      </c>
      <c r="J8049" s="14" t="e">
        <f>=Round(0.00000000,0)</f>
        <v>#VALUE!</v>
      </c>
    </row>
    <row r="8050">
      <c r="A8050" s="11" t="s">
        <v>33</v>
      </c>
      <c r="B8050" s="12">
        <v>1260.0744</v>
      </c>
      <c r="C8050" s="12">
        <v>0</v>
      </c>
      <c r="D8050" s="13">
        <v>0</v>
      </c>
      <c r="E8050" s="12">
        <v>0</v>
      </c>
      <c r="F8050" s="14">
        <v>0</v>
      </c>
      <c r="G8050" s="13">
        <v>811086.975</v>
      </c>
      <c r="H8050" s="14">
        <v>1022029933.37094</v>
      </c>
      <c r="I8050" s="14" t="e">
        <f>=Round(15292.10580000,0)</f>
        <v>#VALUE!</v>
      </c>
      <c r="J8050" s="14" t="e">
        <f>=Round(0.00000000,0)</f>
        <v>#VALUE!</v>
      </c>
    </row>
    <row r="8051">
      <c r="A8051" s="11" t="s">
        <v>34</v>
      </c>
      <c r="B8051" s="12">
        <v>1262.5315</v>
      </c>
      <c r="C8051" s="12">
        <v>0</v>
      </c>
      <c r="D8051" s="13">
        <v>0</v>
      </c>
      <c r="E8051" s="12">
        <v>0</v>
      </c>
      <c r="F8051" s="14">
        <v>0</v>
      </c>
      <c r="G8051" s="13">
        <v>811086.975</v>
      </c>
      <c r="H8051" s="14">
        <v>1024022855.177213</v>
      </c>
      <c r="I8051" s="14" t="e">
        <f>=Round(15358.37330000,0)</f>
        <v>#VALUE!</v>
      </c>
      <c r="J8051" s="14" t="e">
        <f>=Round(0.00000000,0)</f>
        <v>#VALUE!</v>
      </c>
    </row>
    <row r="8052">
      <c r="A8052" s="11" t="s">
        <v>35</v>
      </c>
      <c r="B8052" s="12">
        <v>1262.5315</v>
      </c>
      <c r="C8052" s="12">
        <v>0</v>
      </c>
      <c r="D8052" s="13">
        <v>0</v>
      </c>
      <c r="E8052" s="12">
        <v>0</v>
      </c>
      <c r="F8052" s="14">
        <v>0</v>
      </c>
      <c r="G8052" s="13">
        <v>811086.975</v>
      </c>
      <c r="H8052" s="14">
        <v>1024022855.177213</v>
      </c>
      <c r="I8052" s="14" t="e">
        <f>=Round(15388.32160000,0)</f>
        <v>#VALUE!</v>
      </c>
      <c r="J8052" s="14" t="e">
        <f>=Round(0.00000000,0)</f>
        <v>#VALUE!</v>
      </c>
    </row>
    <row r="8053">
      <c r="A8053" s="11" t="s">
        <v>36</v>
      </c>
      <c r="B8053" s="12">
        <v>1262.5315</v>
      </c>
      <c r="C8053" s="12">
        <v>0</v>
      </c>
      <c r="D8053" s="13">
        <v>0</v>
      </c>
      <c r="E8053" s="12">
        <v>0</v>
      </c>
      <c r="F8053" s="14">
        <v>0</v>
      </c>
      <c r="G8053" s="13">
        <v>811086.975</v>
      </c>
      <c r="H8053" s="14">
        <v>1024022855.177213</v>
      </c>
      <c r="I8053" s="14" t="e">
        <f>=Round(15388.32160000,0)</f>
        <v>#VALUE!</v>
      </c>
      <c r="J8053" s="14" t="e">
        <f>=Round(0.00000000,0)</f>
        <v>#VALUE!</v>
      </c>
    </row>
    <row r="8054">
      <c r="A8054" s="11" t="s">
        <v>37</v>
      </c>
      <c r="B8054" s="12">
        <v>1260.7554</v>
      </c>
      <c r="C8054" s="12">
        <v>0</v>
      </c>
      <c r="D8054" s="13">
        <v>0</v>
      </c>
      <c r="E8054" s="12">
        <v>0</v>
      </c>
      <c r="F8054" s="14">
        <v>0</v>
      </c>
      <c r="G8054" s="13">
        <v>811086.975</v>
      </c>
      <c r="H8054" s="14">
        <v>1022582283.600915</v>
      </c>
      <c r="I8054" s="14" t="e">
        <f>=Round(15388.32160000,0)</f>
        <v>#VALUE!</v>
      </c>
      <c r="J8054" s="14" t="e">
        <f>=Round(0.00000000,0)</f>
        <v>#VALUE!</v>
      </c>
    </row>
    <row r="8055">
      <c r="A8055" s="11" t="s">
        <v>38</v>
      </c>
      <c r="B8055" s="12">
        <v>1262.4788</v>
      </c>
      <c r="C8055" s="12">
        <v>0</v>
      </c>
      <c r="D8055" s="13">
        <v>0</v>
      </c>
      <c r="E8055" s="12">
        <v>0</v>
      </c>
      <c r="F8055" s="14">
        <v>0</v>
      </c>
      <c r="G8055" s="13">
        <v>811086.975</v>
      </c>
      <c r="H8055" s="14">
        <v>1023980110.89363</v>
      </c>
      <c r="I8055" s="14" t="e">
        <f>=Round(15366.67370000,0)</f>
        <v>#VALUE!</v>
      </c>
      <c r="J8055" s="14" t="e">
        <f>=Round(0.00000000,0)</f>
        <v>#VALUE!</v>
      </c>
    </row>
    <row r="8056">
      <c r="A8056" s="11" t="s">
        <v>39</v>
      </c>
      <c r="B8056" s="12">
        <v>1266.2701</v>
      </c>
      <c r="C8056" s="12">
        <v>0</v>
      </c>
      <c r="D8056" s="13">
        <v>0</v>
      </c>
      <c r="E8056" s="12">
        <v>0</v>
      </c>
      <c r="F8056" s="14">
        <v>0</v>
      </c>
      <c r="G8056" s="13">
        <v>811086.975</v>
      </c>
      <c r="H8056" s="14">
        <v>1027055184.9419481</v>
      </c>
      <c r="I8056" s="14" t="e">
        <f>=Round(15387.67930000,0)</f>
        <v>#VALUE!</v>
      </c>
      <c r="J8056" s="14" t="e">
        <f>=Round(0.00000000,0)</f>
        <v>#VALUE!</v>
      </c>
    </row>
    <row r="8057">
      <c r="A8057" s="11" t="s">
        <v>40</v>
      </c>
      <c r="B8057" s="12">
        <v>1266.9583</v>
      </c>
      <c r="C8057" s="12">
        <v>0</v>
      </c>
      <c r="D8057" s="13">
        <v>0</v>
      </c>
      <c r="E8057" s="12">
        <v>0</v>
      </c>
      <c r="F8057" s="14">
        <v>0</v>
      </c>
      <c r="G8057" s="13">
        <v>811086.975</v>
      </c>
      <c r="H8057" s="14">
        <v>1027613374.998143</v>
      </c>
      <c r="I8057" s="14" t="e">
        <f>=Round(15433.88940000,0)</f>
        <v>#VALUE!</v>
      </c>
      <c r="J8057" s="14" t="e">
        <f>=Round(0.00000000,0)</f>
        <v>#VALUE!</v>
      </c>
    </row>
    <row r="8058">
      <c r="A8058" s="11" t="s">
        <v>41</v>
      </c>
      <c r="B8058" s="12">
        <v>1266.1038</v>
      </c>
      <c r="C8058" s="12">
        <v>0</v>
      </c>
      <c r="D8058" s="13">
        <v>0</v>
      </c>
      <c r="E8058" s="12">
        <v>0</v>
      </c>
      <c r="F8058" s="14">
        <v>0</v>
      </c>
      <c r="G8058" s="13">
        <v>811086.975</v>
      </c>
      <c r="H8058" s="14">
        <v>1026920301.178005</v>
      </c>
      <c r="I8058" s="14" t="e">
        <f>=Round(15442.27750000,0)</f>
        <v>#VALUE!</v>
      </c>
      <c r="J8058" s="14" t="e">
        <f>=Round(0.00000000,0)</f>
        <v>#VALUE!</v>
      </c>
    </row>
    <row r="8059">
      <c r="A8059" s="11" t="s">
        <v>42</v>
      </c>
      <c r="B8059" s="12">
        <v>1266.1038</v>
      </c>
      <c r="C8059" s="12">
        <v>0</v>
      </c>
      <c r="D8059" s="13">
        <v>0</v>
      </c>
      <c r="E8059" s="12">
        <v>0</v>
      </c>
      <c r="F8059" s="14">
        <v>0</v>
      </c>
      <c r="G8059" s="13">
        <v>811086.975</v>
      </c>
      <c r="H8059" s="14">
        <v>1026920301.178005</v>
      </c>
      <c r="I8059" s="14" t="e">
        <f>=Round(15431.86240000,0)</f>
        <v>#VALUE!</v>
      </c>
      <c r="J8059" s="14" t="e">
        <f>=Round(0.00000000,0)</f>
        <v>#VALUE!</v>
      </c>
    </row>
    <row r="8060">
      <c r="A8060" s="11" t="s">
        <v>43</v>
      </c>
      <c r="B8060" s="12">
        <v>1266.1038</v>
      </c>
      <c r="C8060" s="12">
        <v>0</v>
      </c>
      <c r="D8060" s="13">
        <v>0</v>
      </c>
      <c r="E8060" s="12">
        <v>0</v>
      </c>
      <c r="F8060" s="14">
        <v>0</v>
      </c>
      <c r="G8060" s="13">
        <v>811086.975</v>
      </c>
      <c r="H8060" s="14">
        <v>1026920301.178005</v>
      </c>
      <c r="I8060" s="14" t="e">
        <f>=Round(15431.86240000,0)</f>
        <v>#VALUE!</v>
      </c>
      <c r="J8060" s="14" t="e">
        <f>=Round(0.00000000,0)</f>
        <v>#VALUE!</v>
      </c>
    </row>
    <row r="8061">
      <c r="A8061" s="11" t="s">
        <v>44</v>
      </c>
      <c r="B8061" s="12">
        <v>1267.4076</v>
      </c>
      <c r="C8061" s="12">
        <v>0</v>
      </c>
      <c r="D8061" s="13">
        <v>0</v>
      </c>
      <c r="E8061" s="12">
        <v>0</v>
      </c>
      <c r="F8061" s="14">
        <v>0</v>
      </c>
      <c r="G8061" s="13">
        <v>811086.975</v>
      </c>
      <c r="H8061" s="14">
        <v>1027977796.37601</v>
      </c>
      <c r="I8061" s="14" t="e">
        <f>=Round(15431.86240000,0)</f>
        <v>#VALUE!</v>
      </c>
      <c r="J8061" s="14" t="e">
        <f>=Round(0.00000000,0)</f>
        <v>#VALUE!</v>
      </c>
    </row>
    <row r="8062">
      <c r="A8062" s="11" t="s">
        <v>45</v>
      </c>
      <c r="B8062" s="12">
        <v>1270.0303</v>
      </c>
      <c r="C8062" s="12">
        <v>0</v>
      </c>
      <c r="D8062" s="13">
        <v>0</v>
      </c>
      <c r="E8062" s="12">
        <v>0</v>
      </c>
      <c r="F8062" s="14">
        <v>0</v>
      </c>
      <c r="G8062" s="13">
        <v>811086.975</v>
      </c>
      <c r="H8062" s="14">
        <v>1030105034.185343</v>
      </c>
      <c r="I8062" s="14" t="e">
        <f>=Round(15447.75380000,0)</f>
        <v>#VALUE!</v>
      </c>
      <c r="J8062" s="14" t="e">
        <f>=Round(0.00000000,0)</f>
        <v>#VALUE!</v>
      </c>
    </row>
    <row r="8063">
      <c r="A8063" s="11" t="s">
        <v>46</v>
      </c>
      <c r="B8063" s="12">
        <v>1271.8189</v>
      </c>
      <c r="C8063" s="12">
        <v>0</v>
      </c>
      <c r="D8063" s="13">
        <v>0</v>
      </c>
      <c r="E8063" s="12">
        <v>0</v>
      </c>
      <c r="F8063" s="14">
        <v>0</v>
      </c>
      <c r="G8063" s="13">
        <v>811086.975</v>
      </c>
      <c r="H8063" s="14">
        <v>1031555744.348828</v>
      </c>
      <c r="I8063" s="14" t="e">
        <f>=Round(15479.72050000,0)</f>
        <v>#VALUE!</v>
      </c>
      <c r="J8063" s="14" t="e">
        <f>=Round(0.00000000,0)</f>
        <v>#VALUE!</v>
      </c>
    </row>
    <row r="8064">
      <c r="A8064" s="11" t="s">
        <v>47</v>
      </c>
      <c r="B8064" s="12">
        <v>1271.8524</v>
      </c>
      <c r="C8064" s="12">
        <v>0</v>
      </c>
      <c r="D8064" s="13">
        <v>0</v>
      </c>
      <c r="E8064" s="12">
        <v>0</v>
      </c>
      <c r="F8064" s="14">
        <v>0</v>
      </c>
      <c r="G8064" s="13">
        <v>811086.975</v>
      </c>
      <c r="H8064" s="14">
        <v>1031582915.76249</v>
      </c>
      <c r="I8064" s="14" t="e">
        <f>=Round(15501.52070000,0)</f>
        <v>#VALUE!</v>
      </c>
      <c r="J8064" s="14" t="e">
        <f>=Round(0.00000000,0)</f>
        <v>#VALUE!</v>
      </c>
    </row>
    <row r="8065">
      <c r="A8065" s="11" t="s">
        <v>48</v>
      </c>
      <c r="B8065" s="12">
        <v>1271.4146</v>
      </c>
      <c r="C8065" s="12">
        <v>0</v>
      </c>
      <c r="D8065" s="13">
        <v>0</v>
      </c>
      <c r="E8065" s="12">
        <v>0</v>
      </c>
      <c r="F8065" s="14">
        <v>0</v>
      </c>
      <c r="G8065" s="13">
        <v>811086.975</v>
      </c>
      <c r="H8065" s="14">
        <v>1031227821.884835</v>
      </c>
      <c r="I8065" s="14" t="e">
        <f>=Round(15501.92910000,0)</f>
        <v>#VALUE!</v>
      </c>
      <c r="J8065" s="14" t="e">
        <f>=Round(0.00000000,0)</f>
        <v>#VALUE!</v>
      </c>
    </row>
    <row r="8066">
      <c r="A8066" s="11" t="s">
        <v>49</v>
      </c>
      <c r="B8066" s="12">
        <v>1271.4146</v>
      </c>
      <c r="C8066" s="12">
        <v>0</v>
      </c>
      <c r="D8066" s="13">
        <v>0</v>
      </c>
      <c r="E8066" s="12">
        <v>0</v>
      </c>
      <c r="F8066" s="14">
        <v>0</v>
      </c>
      <c r="G8066" s="13">
        <v>811086.975</v>
      </c>
      <c r="H8066" s="14">
        <v>1031227821.884835</v>
      </c>
      <c r="I8066" s="14" t="e">
        <f>=Round(15496.59300000,0)</f>
        <v>#VALUE!</v>
      </c>
      <c r="J8066" s="14" t="e">
        <f>=Round(0.00000000,0)</f>
        <v>#VALUE!</v>
      </c>
    </row>
    <row r="8067">
      <c r="A8067" s="11" t="s">
        <v>50</v>
      </c>
      <c r="B8067" s="12">
        <v>1271.4146</v>
      </c>
      <c r="C8067" s="12">
        <v>0</v>
      </c>
      <c r="D8067" s="13">
        <v>0</v>
      </c>
      <c r="E8067" s="12">
        <v>0</v>
      </c>
      <c r="F8067" s="14">
        <v>0</v>
      </c>
      <c r="G8067" s="13">
        <v>811086.975</v>
      </c>
      <c r="H8067" s="14">
        <v>1031227821.884835</v>
      </c>
      <c r="I8067" s="14" t="e">
        <f>=Round(15496.59300000,0)</f>
        <v>#VALUE!</v>
      </c>
      <c r="J8067" s="14" t="e">
        <f>=Round(0.00000000,0)</f>
        <v>#VALUE!</v>
      </c>
    </row>
    <row r="8068">
      <c r="A8068" s="11" t="s">
        <v>51</v>
      </c>
      <c r="B8068" s="12">
        <v>1268.7515</v>
      </c>
      <c r="C8068" s="12">
        <v>0</v>
      </c>
      <c r="D8068" s="13">
        <v>0</v>
      </c>
      <c r="E8068" s="12">
        <v>0</v>
      </c>
      <c r="F8068" s="14">
        <v>0</v>
      </c>
      <c r="G8068" s="13">
        <v>811086.975</v>
      </c>
      <c r="H8068" s="14">
        <v>1029067816.161713</v>
      </c>
      <c r="I8068" s="14" t="e">
        <f>=Round(15496.59300000,0)</f>
        <v>#VALUE!</v>
      </c>
      <c r="J8068" s="14" t="e">
        <f>=Round(0.00000000,0)</f>
        <v>#VALUE!</v>
      </c>
    </row>
    <row r="8069">
      <c r="A8069" s="11" t="s">
        <v>52</v>
      </c>
      <c r="B8069" s="12">
        <v>1268.7071</v>
      </c>
      <c r="C8069" s="12">
        <v>0</v>
      </c>
      <c r="D8069" s="13">
        <v>0</v>
      </c>
      <c r="E8069" s="12">
        <v>0</v>
      </c>
      <c r="F8069" s="14">
        <v>0</v>
      </c>
      <c r="G8069" s="13">
        <v>811086.975</v>
      </c>
      <c r="H8069" s="14">
        <v>1029031803.900023</v>
      </c>
      <c r="I8069" s="14" t="e">
        <f>=Round(15464.13380000,0)</f>
        <v>#VALUE!</v>
      </c>
      <c r="J8069" s="14" t="e">
        <f>=Round(0.00000000,0)</f>
        <v>#VALUE!</v>
      </c>
    </row>
    <row r="8070">
      <c r="A8070" s="11" t="s">
        <v>53</v>
      </c>
      <c r="B8070" s="12">
        <v>1263.6206</v>
      </c>
      <c r="C8070" s="12">
        <v>0</v>
      </c>
      <c r="D8070" s="13">
        <v>0</v>
      </c>
      <c r="E8070" s="12">
        <v>0</v>
      </c>
      <c r="F8070" s="14">
        <v>0</v>
      </c>
      <c r="G8070" s="13">
        <v>811086.975</v>
      </c>
      <c r="H8070" s="14">
        <v>1024906210.001685</v>
      </c>
      <c r="I8070" s="14" t="e">
        <f>=Round(15463.59270000,0)</f>
        <v>#VALUE!</v>
      </c>
      <c r="J8070" s="14" t="e">
        <f>=Round(0.00000000,0)</f>
        <v>#VALUE!</v>
      </c>
    </row>
    <row r="8071">
      <c r="A8071" s="11" t="s">
        <v>54</v>
      </c>
      <c r="B8071" s="12">
        <v>1248.7736</v>
      </c>
      <c r="C8071" s="12">
        <v>0</v>
      </c>
      <c r="D8071" s="13">
        <v>0</v>
      </c>
      <c r="E8071" s="12">
        <v>0</v>
      </c>
      <c r="F8071" s="14">
        <v>0</v>
      </c>
      <c r="G8071" s="13">
        <v>811086.975</v>
      </c>
      <c r="H8071" s="14">
        <v>1012864001.68386</v>
      </c>
      <c r="I8071" s="14" t="e">
        <f>=Round(15401.59610000,0)</f>
        <v>#VALUE!</v>
      </c>
      <c r="J8071" s="14" t="e">
        <f>=Round(0.00000000,0)</f>
        <v>#VALUE!</v>
      </c>
    </row>
    <row r="8072">
      <c r="A8072" s="11" t="s">
        <v>55</v>
      </c>
      <c r="B8072" s="12">
        <v>1235.2708</v>
      </c>
      <c r="C8072" s="12">
        <v>0</v>
      </c>
      <c r="D8072" s="13">
        <v>0</v>
      </c>
      <c r="E8072" s="12">
        <v>0</v>
      </c>
      <c r="F8072" s="14">
        <v>0</v>
      </c>
      <c r="G8072" s="13">
        <v>811086.975</v>
      </c>
      <c r="H8072" s="14">
        <v>1001912056.47783</v>
      </c>
      <c r="I8072" s="14" t="e">
        <f>=Round(15220.63390000,0)</f>
        <v>#VALUE!</v>
      </c>
      <c r="J8072" s="14" t="e">
        <f>=Round(0.00000000,0)</f>
        <v>#VALUE!</v>
      </c>
    </row>
    <row r="8073" ht="-1">
      <c r="A8073" s="15"/>
      <c r="B8073" s="16" t="s">
        <v>56</v>
      </c>
      <c r="C8073" s="15"/>
      <c r="D8073" s="15"/>
      <c r="E8073" s="15"/>
      <c r="F8073" s="15"/>
      <c r="G8073" s="15"/>
      <c r="H8073" s="15"/>
      <c r="I8073" s="17" t="e">
        <f>=Round(SUM(I8047:I8072),0)</f>
        <v>#VALUE!</v>
      </c>
      <c r="J8073" s="17" t="e">
        <f>=Round(SUM(J8047:J8072),0)</f>
        <v>#VALUE!</v>
      </c>
    </row>
    <row r="8074">
      <c r="A8074" s="1" t="s">
        <v>0</v>
      </c>
      <c r="B8074" s="1"/>
      <c r="C8074" s="1"/>
      <c r="D8074" s="1"/>
    </row>
    <row r="8075">
      <c r="A8075" s="0" t="s">
        <v>1</v>
      </c>
      <c r="C8075" s="0" t="s">
        <v>274</v>
      </c>
      <c r="H8075" s="2" t="s">
        <v>3</v>
      </c>
    </row>
    <row r="8076">
      <c r="A8076" s="0" t="s">
        <v>4</v>
      </c>
      <c r="C8076" s="0" t="s">
        <v>281</v>
      </c>
      <c r="H8076" s="3" t="s">
        <v>6</v>
      </c>
    </row>
    <row r="8077">
      <c r="A8077" s="0" t="s">
        <v>7</v>
      </c>
      <c r="C8077" s="4" t="s">
        <v>146</v>
      </c>
      <c r="H8077" s="2" t="s">
        <v>9</v>
      </c>
    </row>
    <row r="8078">
      <c r="A8078" s="0" t="s">
        <v>10</v>
      </c>
      <c r="C8078" s="4" t="s">
        <v>11</v>
      </c>
      <c r="H8078" s="2" t="s">
        <v>12</v>
      </c>
    </row>
    <row r="8079">
      <c r="A8079" s="0" t="s">
        <v>13</v>
      </c>
      <c r="C8079" s="0" t="s">
        <v>14</v>
      </c>
    </row>
    <row r="8080">
      <c r="A8080" s="0" t="s">
        <v>15</v>
      </c>
      <c r="C8080" s="0" t="s">
        <v>16</v>
      </c>
    </row>
    <row r="8081">
      <c r="A8081" s="0" t="s">
        <v>17</v>
      </c>
      <c r="C8081" s="0" t="s">
        <v>18</v>
      </c>
    </row>
    <row r="8084">
      <c r="A8084" s="5" t="s">
        <v>19</v>
      </c>
      <c r="B8084" s="5" t="s">
        <v>20</v>
      </c>
      <c r="C8084" s="7" t="s">
        <v>21</v>
      </c>
      <c r="D8084" s="9"/>
      <c r="E8084" s="7" t="s">
        <v>22</v>
      </c>
      <c r="F8084" s="9"/>
      <c r="G8084" s="5" t="s">
        <v>23</v>
      </c>
      <c r="H8084" s="5" t="s">
        <v>24</v>
      </c>
      <c r="I8084" s="5" t="s">
        <v>147</v>
      </c>
      <c r="J8084" s="5" t="s">
        <v>26</v>
      </c>
    </row>
    <row r="8085">
      <c r="A8085" s="6"/>
      <c r="B8085" s="6"/>
      <c r="C8085" s="8" t="s">
        <v>27</v>
      </c>
      <c r="D8085" s="8" t="s">
        <v>28</v>
      </c>
      <c r="E8085" s="8" t="s">
        <v>27</v>
      </c>
      <c r="F8085" s="8" t="s">
        <v>28</v>
      </c>
      <c r="G8085" s="6"/>
      <c r="H8085" s="6"/>
      <c r="I8085" s="10" t="s">
        <v>29</v>
      </c>
      <c r="J8085" s="6"/>
    </row>
    <row r="8086">
      <c r="A8086" s="11" t="s">
        <v>30</v>
      </c>
      <c r="B8086" s="12">
        <v>1248.9282</v>
      </c>
      <c r="C8086" s="12">
        <v>0</v>
      </c>
      <c r="D8086" s="13">
        <v>0</v>
      </c>
      <c r="E8086" s="12">
        <v>0</v>
      </c>
      <c r="F8086" s="14">
        <v>0</v>
      </c>
      <c r="G8086" s="13">
        <v>792080.149</v>
      </c>
      <c r="H8086" s="14">
        <v>989251234.746302</v>
      </c>
      <c r="I8086" s="14" t="e">
        <f>=Round(14901.92480000,0)</f>
        <v>#VALUE!</v>
      </c>
      <c r="J8086" s="14" t="e">
        <f>=Round(0.00000000,0)</f>
        <v>#VALUE!</v>
      </c>
    </row>
    <row r="8087">
      <c r="A8087" s="11" t="s">
        <v>31</v>
      </c>
      <c r="B8087" s="12">
        <v>1256.528</v>
      </c>
      <c r="C8087" s="12">
        <v>0</v>
      </c>
      <c r="D8087" s="13">
        <v>0</v>
      </c>
      <c r="E8087" s="12">
        <v>0</v>
      </c>
      <c r="F8087" s="14">
        <v>0</v>
      </c>
      <c r="G8087" s="13">
        <v>792080.149</v>
      </c>
      <c r="H8087" s="14">
        <v>995270885.462672</v>
      </c>
      <c r="I8087" s="14" t="e">
        <f>=Round(14865.79720000,0)</f>
        <v>#VALUE!</v>
      </c>
      <c r="J8087" s="14" t="e">
        <f>=Round(0.00000000,0)</f>
        <v>#VALUE!</v>
      </c>
    </row>
    <row r="8088">
      <c r="A8088" s="11" t="s">
        <v>32</v>
      </c>
      <c r="B8088" s="12">
        <v>1254.6375</v>
      </c>
      <c r="C8088" s="12">
        <v>0</v>
      </c>
      <c r="D8088" s="13">
        <v>0</v>
      </c>
      <c r="E8088" s="12">
        <v>0</v>
      </c>
      <c r="F8088" s="14">
        <v>0</v>
      </c>
      <c r="G8088" s="13">
        <v>792080.149</v>
      </c>
      <c r="H8088" s="14">
        <v>993773457.940988</v>
      </c>
      <c r="I8088" s="14" t="e">
        <f>=Round(14956.25650000,0)</f>
        <v>#VALUE!</v>
      </c>
      <c r="J8088" s="14" t="e">
        <f>=Round(0.00000000,0)</f>
        <v>#VALUE!</v>
      </c>
    </row>
    <row r="8089">
      <c r="A8089" s="11" t="s">
        <v>33</v>
      </c>
      <c r="B8089" s="12">
        <v>1260.0744</v>
      </c>
      <c r="C8089" s="12">
        <v>0</v>
      </c>
      <c r="D8089" s="13">
        <v>0</v>
      </c>
      <c r="E8089" s="12">
        <v>0</v>
      </c>
      <c r="F8089" s="14">
        <v>0</v>
      </c>
      <c r="G8089" s="13">
        <v>792080.149</v>
      </c>
      <c r="H8089" s="14">
        <v>998079918.503086</v>
      </c>
      <c r="I8089" s="14" t="e">
        <f>=Round(14933.75410000,0)</f>
        <v>#VALUE!</v>
      </c>
      <c r="J8089" s="14" t="e">
        <f>=Round(0.00000000,0)</f>
        <v>#VALUE!</v>
      </c>
    </row>
    <row r="8090">
      <c r="A8090" s="11" t="s">
        <v>34</v>
      </c>
      <c r="B8090" s="12">
        <v>1262.5315</v>
      </c>
      <c r="C8090" s="12">
        <v>0</v>
      </c>
      <c r="D8090" s="13">
        <v>0</v>
      </c>
      <c r="E8090" s="12">
        <v>0</v>
      </c>
      <c r="F8090" s="14">
        <v>0</v>
      </c>
      <c r="G8090" s="13">
        <v>792080.149</v>
      </c>
      <c r="H8090" s="14">
        <v>1000026138.637194</v>
      </c>
      <c r="I8090" s="14" t="e">
        <f>=Round(14998.46870000,0)</f>
        <v>#VALUE!</v>
      </c>
      <c r="J8090" s="14" t="e">
        <f>=Round(0.00000000,0)</f>
        <v>#VALUE!</v>
      </c>
    </row>
    <row r="8091">
      <c r="A8091" s="11" t="s">
        <v>35</v>
      </c>
      <c r="B8091" s="12">
        <v>1262.5315</v>
      </c>
      <c r="C8091" s="12">
        <v>0</v>
      </c>
      <c r="D8091" s="13">
        <v>0</v>
      </c>
      <c r="E8091" s="12">
        <v>0</v>
      </c>
      <c r="F8091" s="14">
        <v>0</v>
      </c>
      <c r="G8091" s="13">
        <v>792080.149</v>
      </c>
      <c r="H8091" s="14">
        <v>1000026138.637194</v>
      </c>
      <c r="I8091" s="14" t="e">
        <f>=Round(15027.71520000,0)</f>
        <v>#VALUE!</v>
      </c>
      <c r="J8091" s="14" t="e">
        <f>=Round(0.00000000,0)</f>
        <v>#VALUE!</v>
      </c>
    </row>
    <row r="8092">
      <c r="A8092" s="11" t="s">
        <v>36</v>
      </c>
      <c r="B8092" s="12">
        <v>1262.5315</v>
      </c>
      <c r="C8092" s="12">
        <v>0</v>
      </c>
      <c r="D8092" s="13">
        <v>0</v>
      </c>
      <c r="E8092" s="12">
        <v>0</v>
      </c>
      <c r="F8092" s="14">
        <v>0</v>
      </c>
      <c r="G8092" s="13">
        <v>792080.149</v>
      </c>
      <c r="H8092" s="14">
        <v>1000026138.637194</v>
      </c>
      <c r="I8092" s="14" t="e">
        <f>=Round(15027.71520000,0)</f>
        <v>#VALUE!</v>
      </c>
      <c r="J8092" s="14" t="e">
        <f>=Round(0.00000000,0)</f>
        <v>#VALUE!</v>
      </c>
    </row>
    <row r="8093">
      <c r="A8093" s="11" t="s">
        <v>37</v>
      </c>
      <c r="B8093" s="12">
        <v>1260.7554</v>
      </c>
      <c r="C8093" s="12">
        <v>0</v>
      </c>
      <c r="D8093" s="13">
        <v>0</v>
      </c>
      <c r="E8093" s="12">
        <v>0</v>
      </c>
      <c r="F8093" s="14">
        <v>0</v>
      </c>
      <c r="G8093" s="13">
        <v>792080.149</v>
      </c>
      <c r="H8093" s="14">
        <v>998619325.084555</v>
      </c>
      <c r="I8093" s="14" t="e">
        <f>=Round(15027.71520000,0)</f>
        <v>#VALUE!</v>
      </c>
      <c r="J8093" s="14" t="e">
        <f>=Round(0.00000000,0)</f>
        <v>#VALUE!</v>
      </c>
    </row>
    <row r="8094">
      <c r="A8094" s="11" t="s">
        <v>38</v>
      </c>
      <c r="B8094" s="12">
        <v>1262.4788</v>
      </c>
      <c r="C8094" s="12">
        <v>0</v>
      </c>
      <c r="D8094" s="13">
        <v>0</v>
      </c>
      <c r="E8094" s="12">
        <v>0</v>
      </c>
      <c r="F8094" s="14">
        <v>0</v>
      </c>
      <c r="G8094" s="13">
        <v>792080.149</v>
      </c>
      <c r="H8094" s="14">
        <v>999984396.013341</v>
      </c>
      <c r="I8094" s="14" t="e">
        <f>=Round(15006.57460000,0)</f>
        <v>#VALUE!</v>
      </c>
      <c r="J8094" s="14" t="e">
        <f>=Round(0.00000000,0)</f>
        <v>#VALUE!</v>
      </c>
    </row>
    <row r="8095">
      <c r="A8095" s="11" t="s">
        <v>39</v>
      </c>
      <c r="B8095" s="12">
        <v>1266.2701</v>
      </c>
      <c r="C8095" s="12">
        <v>0</v>
      </c>
      <c r="D8095" s="13">
        <v>0</v>
      </c>
      <c r="E8095" s="12">
        <v>0</v>
      </c>
      <c r="F8095" s="14">
        <v>0</v>
      </c>
      <c r="G8095" s="13">
        <v>792080.149</v>
      </c>
      <c r="H8095" s="14">
        <v>1002987409.482245</v>
      </c>
      <c r="I8095" s="14" t="e">
        <f>=Round(15027.08790000,0)</f>
        <v>#VALUE!</v>
      </c>
      <c r="J8095" s="14" t="e">
        <f>=Round(0.00000000,0)</f>
        <v>#VALUE!</v>
      </c>
    </row>
    <row r="8096">
      <c r="A8096" s="11" t="s">
        <v>40</v>
      </c>
      <c r="B8096" s="12">
        <v>1266.9583</v>
      </c>
      <c r="C8096" s="12">
        <v>0</v>
      </c>
      <c r="D8096" s="13">
        <v>0</v>
      </c>
      <c r="E8096" s="12">
        <v>0</v>
      </c>
      <c r="F8096" s="14">
        <v>0</v>
      </c>
      <c r="G8096" s="13">
        <v>792080.149</v>
      </c>
      <c r="H8096" s="14">
        <v>1003532519.040787</v>
      </c>
      <c r="I8096" s="14" t="e">
        <f>=Round(15072.21520000,0)</f>
        <v>#VALUE!</v>
      </c>
      <c r="J8096" s="14" t="e">
        <f>=Round(0.00000000,0)</f>
        <v>#VALUE!</v>
      </c>
    </row>
    <row r="8097">
      <c r="A8097" s="11" t="s">
        <v>41</v>
      </c>
      <c r="B8097" s="12">
        <v>1266.1038</v>
      </c>
      <c r="C8097" s="12">
        <v>0</v>
      </c>
      <c r="D8097" s="13">
        <v>0</v>
      </c>
      <c r="E8097" s="12">
        <v>0</v>
      </c>
      <c r="F8097" s="14">
        <v>0</v>
      </c>
      <c r="G8097" s="13">
        <v>792080.149</v>
      </c>
      <c r="H8097" s="14">
        <v>1002855686.553466</v>
      </c>
      <c r="I8097" s="14" t="e">
        <f>=Round(15080.40670000,0)</f>
        <v>#VALUE!</v>
      </c>
      <c r="J8097" s="14" t="e">
        <f>=Round(0.00000000,0)</f>
        <v>#VALUE!</v>
      </c>
    </row>
    <row r="8098">
      <c r="A8098" s="11" t="s">
        <v>42</v>
      </c>
      <c r="B8098" s="12">
        <v>1266.1038</v>
      </c>
      <c r="C8098" s="12">
        <v>0</v>
      </c>
      <c r="D8098" s="13">
        <v>0</v>
      </c>
      <c r="E8098" s="12">
        <v>0</v>
      </c>
      <c r="F8098" s="14">
        <v>0</v>
      </c>
      <c r="G8098" s="13">
        <v>792080.149</v>
      </c>
      <c r="H8098" s="14">
        <v>1002855686.553466</v>
      </c>
      <c r="I8098" s="14" t="e">
        <f>=Round(15070.23570000,0)</f>
        <v>#VALUE!</v>
      </c>
      <c r="J8098" s="14" t="e">
        <f>=Round(0.00000000,0)</f>
        <v>#VALUE!</v>
      </c>
    </row>
    <row r="8099">
      <c r="A8099" s="11" t="s">
        <v>43</v>
      </c>
      <c r="B8099" s="12">
        <v>1266.1038</v>
      </c>
      <c r="C8099" s="12">
        <v>0</v>
      </c>
      <c r="D8099" s="13">
        <v>0</v>
      </c>
      <c r="E8099" s="12">
        <v>0</v>
      </c>
      <c r="F8099" s="14">
        <v>0</v>
      </c>
      <c r="G8099" s="13">
        <v>792080.149</v>
      </c>
      <c r="H8099" s="14">
        <v>1002855686.553466</v>
      </c>
      <c r="I8099" s="14" t="e">
        <f>=Round(15070.23570000,0)</f>
        <v>#VALUE!</v>
      </c>
      <c r="J8099" s="14" t="e">
        <f>=Round(0.00000000,0)</f>
        <v>#VALUE!</v>
      </c>
    </row>
    <row r="8100">
      <c r="A8100" s="11" t="s">
        <v>44</v>
      </c>
      <c r="B8100" s="12">
        <v>1267.4076</v>
      </c>
      <c r="C8100" s="12">
        <v>0</v>
      </c>
      <c r="D8100" s="13">
        <v>0</v>
      </c>
      <c r="E8100" s="12">
        <v>0</v>
      </c>
      <c r="F8100" s="14">
        <v>0</v>
      </c>
      <c r="G8100" s="13">
        <v>792080.149</v>
      </c>
      <c r="H8100" s="14">
        <v>1003888400.651732</v>
      </c>
      <c r="I8100" s="14" t="e">
        <f>=Round(15070.23570000,0)</f>
        <v>#VALUE!</v>
      </c>
      <c r="J8100" s="14" t="e">
        <f>=Round(0.00000000,0)</f>
        <v>#VALUE!</v>
      </c>
    </row>
    <row r="8101">
      <c r="A8101" s="11" t="s">
        <v>45</v>
      </c>
      <c r="B8101" s="12">
        <v>1270.0303</v>
      </c>
      <c r="C8101" s="12">
        <v>0</v>
      </c>
      <c r="D8101" s="13">
        <v>0</v>
      </c>
      <c r="E8101" s="12">
        <v>0</v>
      </c>
      <c r="F8101" s="14">
        <v>0</v>
      </c>
      <c r="G8101" s="13">
        <v>792080.149</v>
      </c>
      <c r="H8101" s="14">
        <v>1005965789.258515</v>
      </c>
      <c r="I8101" s="14" t="e">
        <f>=Round(15085.75470000,0)</f>
        <v>#VALUE!</v>
      </c>
      <c r="J8101" s="14" t="e">
        <f>=Round(0.00000000,0)</f>
        <v>#VALUE!</v>
      </c>
    </row>
    <row r="8102">
      <c r="A8102" s="11" t="s">
        <v>46</v>
      </c>
      <c r="B8102" s="12">
        <v>1271.8189</v>
      </c>
      <c r="C8102" s="12">
        <v>0</v>
      </c>
      <c r="D8102" s="13">
        <v>0</v>
      </c>
      <c r="E8102" s="12">
        <v>0</v>
      </c>
      <c r="F8102" s="14">
        <v>0</v>
      </c>
      <c r="G8102" s="13">
        <v>792080.149</v>
      </c>
      <c r="H8102" s="14">
        <v>1007382503.8130161</v>
      </c>
      <c r="I8102" s="14" t="e">
        <f>=Round(15116.97220000,0)</f>
        <v>#VALUE!</v>
      </c>
      <c r="J8102" s="14" t="e">
        <f>=Round(0.00000000,0)</f>
        <v>#VALUE!</v>
      </c>
    </row>
    <row r="8103">
      <c r="A8103" s="11" t="s">
        <v>47</v>
      </c>
      <c r="B8103" s="12">
        <v>1271.8524</v>
      </c>
      <c r="C8103" s="12">
        <v>0</v>
      </c>
      <c r="D8103" s="13">
        <v>0</v>
      </c>
      <c r="E8103" s="12">
        <v>0</v>
      </c>
      <c r="F8103" s="14">
        <v>0</v>
      </c>
      <c r="G8103" s="13">
        <v>792080.149</v>
      </c>
      <c r="H8103" s="14">
        <v>1007409038.498008</v>
      </c>
      <c r="I8103" s="14" t="e">
        <f>=Round(15138.26170000,0)</f>
        <v>#VALUE!</v>
      </c>
      <c r="J8103" s="14" t="e">
        <f>=Round(0.00000000,0)</f>
        <v>#VALUE!</v>
      </c>
    </row>
    <row r="8104">
      <c r="A8104" s="11" t="s">
        <v>48</v>
      </c>
      <c r="B8104" s="12">
        <v>1271.4146</v>
      </c>
      <c r="C8104" s="12">
        <v>0</v>
      </c>
      <c r="D8104" s="13">
        <v>0</v>
      </c>
      <c r="E8104" s="12">
        <v>0</v>
      </c>
      <c r="F8104" s="14">
        <v>0</v>
      </c>
      <c r="G8104" s="13">
        <v>792080.149</v>
      </c>
      <c r="H8104" s="14">
        <v>1007062265.808775</v>
      </c>
      <c r="I8104" s="14" t="e">
        <f>=Round(15138.66040000,0)</f>
        <v>#VALUE!</v>
      </c>
      <c r="J8104" s="14" t="e">
        <f>=Round(0.00000000,0)</f>
        <v>#VALUE!</v>
      </c>
    </row>
    <row r="8105">
      <c r="A8105" s="11" t="s">
        <v>49</v>
      </c>
      <c r="B8105" s="12">
        <v>1271.4146</v>
      </c>
      <c r="C8105" s="12">
        <v>0</v>
      </c>
      <c r="D8105" s="13">
        <v>0</v>
      </c>
      <c r="E8105" s="12">
        <v>0</v>
      </c>
      <c r="F8105" s="14">
        <v>0</v>
      </c>
      <c r="G8105" s="13">
        <v>792080.149</v>
      </c>
      <c r="H8105" s="14">
        <v>1007062265.808775</v>
      </c>
      <c r="I8105" s="14" t="e">
        <f>=Round(15133.44930000,0)</f>
        <v>#VALUE!</v>
      </c>
      <c r="J8105" s="14" t="e">
        <f>=Round(0.00000000,0)</f>
        <v>#VALUE!</v>
      </c>
    </row>
    <row r="8106">
      <c r="A8106" s="11" t="s">
        <v>50</v>
      </c>
      <c r="B8106" s="12">
        <v>1271.4146</v>
      </c>
      <c r="C8106" s="12">
        <v>0</v>
      </c>
      <c r="D8106" s="13">
        <v>0</v>
      </c>
      <c r="E8106" s="12">
        <v>0</v>
      </c>
      <c r="F8106" s="14">
        <v>0</v>
      </c>
      <c r="G8106" s="13">
        <v>792080.149</v>
      </c>
      <c r="H8106" s="14">
        <v>1007062265.808775</v>
      </c>
      <c r="I8106" s="14" t="e">
        <f>=Round(15133.44930000,0)</f>
        <v>#VALUE!</v>
      </c>
      <c r="J8106" s="14" t="e">
        <f>=Round(0.00000000,0)</f>
        <v>#VALUE!</v>
      </c>
    </row>
    <row r="8107">
      <c r="A8107" s="11" t="s">
        <v>51</v>
      </c>
      <c r="B8107" s="12">
        <v>1268.7515</v>
      </c>
      <c r="C8107" s="12">
        <v>0</v>
      </c>
      <c r="D8107" s="13">
        <v>0</v>
      </c>
      <c r="E8107" s="12">
        <v>0</v>
      </c>
      <c r="F8107" s="14">
        <v>0</v>
      </c>
      <c r="G8107" s="13">
        <v>792080.149</v>
      </c>
      <c r="H8107" s="14">
        <v>1004952877.1639741</v>
      </c>
      <c r="I8107" s="14" t="e">
        <f>=Round(15133.44930000,0)</f>
        <v>#VALUE!</v>
      </c>
      <c r="J8107" s="14" t="e">
        <f>=Round(0.00000000,0)</f>
        <v>#VALUE!</v>
      </c>
    </row>
    <row r="8108">
      <c r="A8108" s="11" t="s">
        <v>52</v>
      </c>
      <c r="B8108" s="12">
        <v>1268.7071</v>
      </c>
      <c r="C8108" s="12">
        <v>0</v>
      </c>
      <c r="D8108" s="13">
        <v>0</v>
      </c>
      <c r="E8108" s="12">
        <v>0</v>
      </c>
      <c r="F8108" s="14">
        <v>0</v>
      </c>
      <c r="G8108" s="13">
        <v>792080.149</v>
      </c>
      <c r="H8108" s="14">
        <v>1004917708.8053581</v>
      </c>
      <c r="I8108" s="14" t="e">
        <f>=Round(15101.75090000,0)</f>
        <v>#VALUE!</v>
      </c>
      <c r="J8108" s="14" t="e">
        <f>=Round(0.00000000,0)</f>
        <v>#VALUE!</v>
      </c>
    </row>
    <row r="8109">
      <c r="A8109" s="11" t="s">
        <v>53</v>
      </c>
      <c r="B8109" s="12">
        <v>1263.6206</v>
      </c>
      <c r="C8109" s="12">
        <v>0</v>
      </c>
      <c r="D8109" s="13">
        <v>0</v>
      </c>
      <c r="E8109" s="12">
        <v>0</v>
      </c>
      <c r="F8109" s="14">
        <v>0</v>
      </c>
      <c r="G8109" s="13">
        <v>792080.149</v>
      </c>
      <c r="H8109" s="14">
        <v>1000888793.1274689</v>
      </c>
      <c r="I8109" s="14" t="e">
        <f>=Round(15101.22240000,0)</f>
        <v>#VALUE!</v>
      </c>
      <c r="J8109" s="14" t="e">
        <f>=Round(0.00000000,0)</f>
        <v>#VALUE!</v>
      </c>
    </row>
    <row r="8110">
      <c r="A8110" s="11" t="s">
        <v>54</v>
      </c>
      <c r="B8110" s="12">
        <v>1248.7736</v>
      </c>
      <c r="C8110" s="12">
        <v>0</v>
      </c>
      <c r="D8110" s="13">
        <v>0</v>
      </c>
      <c r="E8110" s="12">
        <v>0</v>
      </c>
      <c r="F8110" s="14">
        <v>0</v>
      </c>
      <c r="G8110" s="13">
        <v>792080.149</v>
      </c>
      <c r="H8110" s="14">
        <v>989128779.155266</v>
      </c>
      <c r="I8110" s="14" t="e">
        <f>=Round(15040.67860000,0)</f>
        <v>#VALUE!</v>
      </c>
      <c r="J8110" s="14" t="e">
        <f>=Round(0.00000000,0)</f>
        <v>#VALUE!</v>
      </c>
    </row>
    <row r="8111">
      <c r="A8111" s="11" t="s">
        <v>55</v>
      </c>
      <c r="B8111" s="12">
        <v>1235.2708</v>
      </c>
      <c r="C8111" s="12">
        <v>0</v>
      </c>
      <c r="D8111" s="13">
        <v>0</v>
      </c>
      <c r="E8111" s="12">
        <v>0</v>
      </c>
      <c r="F8111" s="14">
        <v>0</v>
      </c>
      <c r="G8111" s="13">
        <v>792080.149</v>
      </c>
      <c r="H8111" s="14">
        <v>978433479.319349</v>
      </c>
      <c r="I8111" s="14" t="e">
        <f>=Round(14863.95710000,0)</f>
        <v>#VALUE!</v>
      </c>
      <c r="J8111" s="14" t="e">
        <f>=Round(0.00000000,0)</f>
        <v>#VALUE!</v>
      </c>
    </row>
    <row r="8112" ht="-1">
      <c r="A8112" s="15"/>
      <c r="B8112" s="16" t="s">
        <v>56</v>
      </c>
      <c r="C8112" s="15"/>
      <c r="D8112" s="15"/>
      <c r="E8112" s="15"/>
      <c r="F8112" s="15"/>
      <c r="G8112" s="15"/>
      <c r="H8112" s="15"/>
      <c r="I8112" s="17" t="e">
        <f>=Round(SUM(I8086:I8111),0)</f>
        <v>#VALUE!</v>
      </c>
      <c r="J8112" s="17" t="e">
        <f>=Round(SUM(J8086:J8111),0)</f>
        <v>#VALUE!</v>
      </c>
    </row>
    <row r="8113">
      <c r="A8113" s="1" t="s">
        <v>0</v>
      </c>
      <c r="B8113" s="1"/>
      <c r="C8113" s="1"/>
      <c r="D8113" s="1"/>
    </row>
    <row r="8114">
      <c r="A8114" s="0" t="s">
        <v>1</v>
      </c>
      <c r="C8114" s="0" t="s">
        <v>274</v>
      </c>
      <c r="H8114" s="2" t="s">
        <v>3</v>
      </c>
    </row>
    <row r="8115">
      <c r="A8115" s="0" t="s">
        <v>4</v>
      </c>
      <c r="C8115" s="0" t="s">
        <v>282</v>
      </c>
      <c r="H8115" s="3" t="s">
        <v>6</v>
      </c>
    </row>
    <row r="8116">
      <c r="A8116" s="0" t="s">
        <v>7</v>
      </c>
      <c r="C8116" s="4" t="s">
        <v>146</v>
      </c>
      <c r="H8116" s="2" t="s">
        <v>9</v>
      </c>
    </row>
    <row r="8117">
      <c r="A8117" s="0" t="s">
        <v>10</v>
      </c>
      <c r="C8117" s="4" t="s">
        <v>11</v>
      </c>
      <c r="H8117" s="2" t="s">
        <v>12</v>
      </c>
    </row>
    <row r="8118">
      <c r="A8118" s="0" t="s">
        <v>13</v>
      </c>
      <c r="C8118" s="0" t="s">
        <v>14</v>
      </c>
    </row>
    <row r="8119">
      <c r="A8119" s="0" t="s">
        <v>15</v>
      </c>
      <c r="C8119" s="0" t="s">
        <v>16</v>
      </c>
    </row>
    <row r="8120">
      <c r="A8120" s="0" t="s">
        <v>17</v>
      </c>
      <c r="C8120" s="0" t="s">
        <v>18</v>
      </c>
    </row>
    <row r="8123">
      <c r="A8123" s="5" t="s">
        <v>19</v>
      </c>
      <c r="B8123" s="5" t="s">
        <v>20</v>
      </c>
      <c r="C8123" s="7" t="s">
        <v>21</v>
      </c>
      <c r="D8123" s="9"/>
      <c r="E8123" s="7" t="s">
        <v>22</v>
      </c>
      <c r="F8123" s="9"/>
      <c r="G8123" s="5" t="s">
        <v>23</v>
      </c>
      <c r="H8123" s="5" t="s">
        <v>24</v>
      </c>
      <c r="I8123" s="5" t="s">
        <v>147</v>
      </c>
      <c r="J8123" s="5" t="s">
        <v>26</v>
      </c>
    </row>
    <row r="8124">
      <c r="A8124" s="6"/>
      <c r="B8124" s="6"/>
      <c r="C8124" s="8" t="s">
        <v>27</v>
      </c>
      <c r="D8124" s="8" t="s">
        <v>28</v>
      </c>
      <c r="E8124" s="8" t="s">
        <v>27</v>
      </c>
      <c r="F8124" s="8" t="s">
        <v>28</v>
      </c>
      <c r="G8124" s="6"/>
      <c r="H8124" s="6"/>
      <c r="I8124" s="10" t="s">
        <v>29</v>
      </c>
      <c r="J8124" s="6"/>
    </row>
    <row r="8125">
      <c r="A8125" s="11" t="s">
        <v>30</v>
      </c>
      <c r="B8125" s="12">
        <v>1248.9282</v>
      </c>
      <c r="C8125" s="12">
        <v>0</v>
      </c>
      <c r="D8125" s="13">
        <v>0</v>
      </c>
      <c r="E8125" s="12">
        <v>0</v>
      </c>
      <c r="F8125" s="14">
        <v>0</v>
      </c>
      <c r="G8125" s="13">
        <v>1854407.5433</v>
      </c>
      <c r="H8125" s="14">
        <v>2316021875.120091</v>
      </c>
      <c r="I8125" s="14" t="e">
        <f>=Round(34888.18870000,0)</f>
        <v>#VALUE!</v>
      </c>
      <c r="J8125" s="14" t="e">
        <f>=Round(0.00000000,0)</f>
        <v>#VALUE!</v>
      </c>
    </row>
    <row r="8126">
      <c r="A8126" s="11" t="s">
        <v>31</v>
      </c>
      <c r="B8126" s="12">
        <v>1256.528</v>
      </c>
      <c r="C8126" s="12">
        <v>0</v>
      </c>
      <c r="D8126" s="13">
        <v>0</v>
      </c>
      <c r="E8126" s="12">
        <v>0</v>
      </c>
      <c r="F8126" s="14">
        <v>0</v>
      </c>
      <c r="G8126" s="13">
        <v>1854407.5433</v>
      </c>
      <c r="H8126" s="14">
        <v>2330115001.5676618</v>
      </c>
      <c r="I8126" s="14" t="e">
        <f>=Round(34803.60740000,0)</f>
        <v>#VALUE!</v>
      </c>
      <c r="J8126" s="14" t="e">
        <f>=Round(0.00000000,0)</f>
        <v>#VALUE!</v>
      </c>
    </row>
    <row r="8127">
      <c r="A8127" s="11" t="s">
        <v>32</v>
      </c>
      <c r="B8127" s="12">
        <v>1254.6375</v>
      </c>
      <c r="C8127" s="12">
        <v>0</v>
      </c>
      <c r="D8127" s="13">
        <v>0</v>
      </c>
      <c r="E8127" s="12">
        <v>0</v>
      </c>
      <c r="F8127" s="14">
        <v>0</v>
      </c>
      <c r="G8127" s="13">
        <v>1854407.5433</v>
      </c>
      <c r="H8127" s="14">
        <v>2326609244.1070542</v>
      </c>
      <c r="I8127" s="14" t="e">
        <f>=Round(35015.38940000,0)</f>
        <v>#VALUE!</v>
      </c>
      <c r="J8127" s="14" t="e">
        <f>=Round(0.00000000,0)</f>
        <v>#VALUE!</v>
      </c>
    </row>
    <row r="8128">
      <c r="A8128" s="11" t="s">
        <v>33</v>
      </c>
      <c r="B8128" s="12">
        <v>1260.0744</v>
      </c>
      <c r="C8128" s="12">
        <v>0</v>
      </c>
      <c r="D8128" s="13">
        <v>0</v>
      </c>
      <c r="E8128" s="12">
        <v>0</v>
      </c>
      <c r="F8128" s="14">
        <v>0</v>
      </c>
      <c r="G8128" s="13">
        <v>1854407.5433</v>
      </c>
      <c r="H8128" s="14">
        <v>2336691472.4792218</v>
      </c>
      <c r="I8128" s="14" t="e">
        <f>=Round(34962.70720000,0)</f>
        <v>#VALUE!</v>
      </c>
      <c r="J8128" s="14" t="e">
        <f>=Round(0.00000000,0)</f>
        <v>#VALUE!</v>
      </c>
    </row>
    <row r="8129">
      <c r="A8129" s="11" t="s">
        <v>34</v>
      </c>
      <c r="B8129" s="12">
        <v>1262.5315</v>
      </c>
      <c r="C8129" s="12">
        <v>0</v>
      </c>
      <c r="D8129" s="13">
        <v>0</v>
      </c>
      <c r="E8129" s="12">
        <v>0</v>
      </c>
      <c r="F8129" s="14">
        <v>0</v>
      </c>
      <c r="G8129" s="13">
        <v>1854407.5433</v>
      </c>
      <c r="H8129" s="14">
        <v>2341247937.2538638</v>
      </c>
      <c r="I8129" s="14" t="e">
        <f>=Round(35114.21610000,0)</f>
        <v>#VALUE!</v>
      </c>
      <c r="J8129" s="14" t="e">
        <f>=Round(0.00000000,0)</f>
        <v>#VALUE!</v>
      </c>
    </row>
    <row r="8130">
      <c r="A8130" s="11" t="s">
        <v>35</v>
      </c>
      <c r="B8130" s="12">
        <v>1262.5315</v>
      </c>
      <c r="C8130" s="12">
        <v>0</v>
      </c>
      <c r="D8130" s="13">
        <v>0</v>
      </c>
      <c r="E8130" s="12">
        <v>0</v>
      </c>
      <c r="F8130" s="14">
        <v>0</v>
      </c>
      <c r="G8130" s="13">
        <v>1854407.5433</v>
      </c>
      <c r="H8130" s="14">
        <v>2341247937.2538638</v>
      </c>
      <c r="I8130" s="14" t="e">
        <f>=Round(35182.68760000,0)</f>
        <v>#VALUE!</v>
      </c>
      <c r="J8130" s="14" t="e">
        <f>=Round(0.00000000,0)</f>
        <v>#VALUE!</v>
      </c>
    </row>
    <row r="8131">
      <c r="A8131" s="11" t="s">
        <v>36</v>
      </c>
      <c r="B8131" s="12">
        <v>1262.5315</v>
      </c>
      <c r="C8131" s="12">
        <v>0</v>
      </c>
      <c r="D8131" s="13">
        <v>0</v>
      </c>
      <c r="E8131" s="12">
        <v>0</v>
      </c>
      <c r="F8131" s="14">
        <v>0</v>
      </c>
      <c r="G8131" s="13">
        <v>1854407.5433</v>
      </c>
      <c r="H8131" s="14">
        <v>2341247937.2538638</v>
      </c>
      <c r="I8131" s="14" t="e">
        <f>=Round(35182.68760000,0)</f>
        <v>#VALUE!</v>
      </c>
      <c r="J8131" s="14" t="e">
        <f>=Round(0.00000000,0)</f>
        <v>#VALUE!</v>
      </c>
    </row>
    <row r="8132">
      <c r="A8132" s="11" t="s">
        <v>37</v>
      </c>
      <c r="B8132" s="12">
        <v>1260.7554</v>
      </c>
      <c r="C8132" s="12">
        <v>0</v>
      </c>
      <c r="D8132" s="13">
        <v>0</v>
      </c>
      <c r="E8132" s="12">
        <v>0</v>
      </c>
      <c r="F8132" s="14">
        <v>0</v>
      </c>
      <c r="G8132" s="13">
        <v>1854407.5433</v>
      </c>
      <c r="H8132" s="14">
        <v>2337954324.0162091</v>
      </c>
      <c r="I8132" s="14" t="e">
        <f>=Round(35182.68760000,0)</f>
        <v>#VALUE!</v>
      </c>
      <c r="J8132" s="14" t="e">
        <f>=Round(0.00000000,0)</f>
        <v>#VALUE!</v>
      </c>
    </row>
    <row r="8133">
      <c r="A8133" s="11" t="s">
        <v>38</v>
      </c>
      <c r="B8133" s="12">
        <v>1262.4788</v>
      </c>
      <c r="C8133" s="12">
        <v>0</v>
      </c>
      <c r="D8133" s="13">
        <v>0</v>
      </c>
      <c r="E8133" s="12">
        <v>0</v>
      </c>
      <c r="F8133" s="14">
        <v>0</v>
      </c>
      <c r="G8133" s="13">
        <v>1854407.5433</v>
      </c>
      <c r="H8133" s="14">
        <v>2341150209.9763322</v>
      </c>
      <c r="I8133" s="14" t="e">
        <f>=Round(35133.19340000,0)</f>
        <v>#VALUE!</v>
      </c>
      <c r="J8133" s="14" t="e">
        <f>=Round(0.00000000,0)</f>
        <v>#VALUE!</v>
      </c>
    </row>
    <row r="8134">
      <c r="A8134" s="11" t="s">
        <v>39</v>
      </c>
      <c r="B8134" s="12">
        <v>1266.2701</v>
      </c>
      <c r="C8134" s="12">
        <v>0</v>
      </c>
      <c r="D8134" s="13">
        <v>0</v>
      </c>
      <c r="E8134" s="12">
        <v>0</v>
      </c>
      <c r="F8134" s="14">
        <v>0</v>
      </c>
      <c r="G8134" s="13">
        <v>1854407.5433</v>
      </c>
      <c r="H8134" s="14">
        <v>2348180825.2952452</v>
      </c>
      <c r="I8134" s="14" t="e">
        <f>=Round(35181.21900000,0)</f>
        <v>#VALUE!</v>
      </c>
      <c r="J8134" s="14" t="e">
        <f>=Round(0.00000000,0)</f>
        <v>#VALUE!</v>
      </c>
    </row>
    <row r="8135">
      <c r="A8135" s="11" t="s">
        <v>40</v>
      </c>
      <c r="B8135" s="12">
        <v>1266.9583</v>
      </c>
      <c r="C8135" s="12">
        <v>0</v>
      </c>
      <c r="D8135" s="13">
        <v>0</v>
      </c>
      <c r="E8135" s="12">
        <v>0</v>
      </c>
      <c r="F8135" s="14">
        <v>0</v>
      </c>
      <c r="G8135" s="13">
        <v>1854407.5433</v>
      </c>
      <c r="H8135" s="14">
        <v>2349457028.5665441</v>
      </c>
      <c r="I8135" s="14" t="e">
        <f>=Round(35286.87030000,0)</f>
        <v>#VALUE!</v>
      </c>
      <c r="J8135" s="14" t="e">
        <f>=Round(0.00000000,0)</f>
        <v>#VALUE!</v>
      </c>
    </row>
    <row r="8136">
      <c r="A8136" s="11" t="s">
        <v>41</v>
      </c>
      <c r="B8136" s="12">
        <v>1266.1038</v>
      </c>
      <c r="C8136" s="12">
        <v>0</v>
      </c>
      <c r="D8136" s="13">
        <v>0</v>
      </c>
      <c r="E8136" s="12">
        <v>0</v>
      </c>
      <c r="F8136" s="14">
        <v>0</v>
      </c>
      <c r="G8136" s="13">
        <v>1854407.5433</v>
      </c>
      <c r="H8136" s="14">
        <v>2347872437.3207951</v>
      </c>
      <c r="I8136" s="14" t="e">
        <f>=Round(35306.04820000,0)</f>
        <v>#VALUE!</v>
      </c>
      <c r="J8136" s="14" t="e">
        <f>=Round(0.00000000,0)</f>
        <v>#VALUE!</v>
      </c>
    </row>
    <row r="8137">
      <c r="A8137" s="11" t="s">
        <v>42</v>
      </c>
      <c r="B8137" s="12">
        <v>1266.1038</v>
      </c>
      <c r="C8137" s="12">
        <v>0</v>
      </c>
      <c r="D8137" s="13">
        <v>0</v>
      </c>
      <c r="E8137" s="12">
        <v>0</v>
      </c>
      <c r="F8137" s="14">
        <v>0</v>
      </c>
      <c r="G8137" s="13">
        <v>1854407.5433</v>
      </c>
      <c r="H8137" s="14">
        <v>2347872437.3207951</v>
      </c>
      <c r="I8137" s="14" t="e">
        <f>=Round(35282.23610000,0)</f>
        <v>#VALUE!</v>
      </c>
      <c r="J8137" s="14" t="e">
        <f>=Round(0.00000000,0)</f>
        <v>#VALUE!</v>
      </c>
    </row>
    <row r="8138">
      <c r="A8138" s="11" t="s">
        <v>43</v>
      </c>
      <c r="B8138" s="12">
        <v>1266.1038</v>
      </c>
      <c r="C8138" s="12">
        <v>0</v>
      </c>
      <c r="D8138" s="13">
        <v>0</v>
      </c>
      <c r="E8138" s="12">
        <v>0</v>
      </c>
      <c r="F8138" s="14">
        <v>0</v>
      </c>
      <c r="G8138" s="13">
        <v>1854407.5433</v>
      </c>
      <c r="H8138" s="14">
        <v>2347872437.3207951</v>
      </c>
      <c r="I8138" s="14" t="e">
        <f>=Round(35282.23610000,0)</f>
        <v>#VALUE!</v>
      </c>
      <c r="J8138" s="14" t="e">
        <f>=Round(0.00000000,0)</f>
        <v>#VALUE!</v>
      </c>
    </row>
    <row r="8139">
      <c r="A8139" s="11" t="s">
        <v>44</v>
      </c>
      <c r="B8139" s="12">
        <v>1267.4076</v>
      </c>
      <c r="C8139" s="12">
        <v>0</v>
      </c>
      <c r="D8139" s="13">
        <v>0</v>
      </c>
      <c r="E8139" s="12">
        <v>0</v>
      </c>
      <c r="F8139" s="14">
        <v>0</v>
      </c>
      <c r="G8139" s="13">
        <v>1854407.5433</v>
      </c>
      <c r="H8139" s="14">
        <v>2350290213.8757491</v>
      </c>
      <c r="I8139" s="14" t="e">
        <f>=Round(35282.23610000,0)</f>
        <v>#VALUE!</v>
      </c>
      <c r="J8139" s="14" t="e">
        <f>=Round(0.00000000,0)</f>
        <v>#VALUE!</v>
      </c>
    </row>
    <row r="8140">
      <c r="A8140" s="11" t="s">
        <v>45</v>
      </c>
      <c r="B8140" s="12">
        <v>1270.0303</v>
      </c>
      <c r="C8140" s="12">
        <v>0</v>
      </c>
      <c r="D8140" s="13">
        <v>0</v>
      </c>
      <c r="E8140" s="12">
        <v>0</v>
      </c>
      <c r="F8140" s="14">
        <v>0</v>
      </c>
      <c r="G8140" s="13">
        <v>1854407.5433</v>
      </c>
      <c r="H8140" s="14">
        <v>2355153768.5395622</v>
      </c>
      <c r="I8140" s="14" t="e">
        <f>=Round(35318.56880000,0)</f>
        <v>#VALUE!</v>
      </c>
      <c r="J8140" s="14" t="e">
        <f>=Round(0.00000000,0)</f>
        <v>#VALUE!</v>
      </c>
    </row>
    <row r="8141">
      <c r="A8141" s="11" t="s">
        <v>46</v>
      </c>
      <c r="B8141" s="12">
        <v>1271.8189</v>
      </c>
      <c r="C8141" s="12">
        <v>0</v>
      </c>
      <c r="D8141" s="13">
        <v>0</v>
      </c>
      <c r="E8141" s="12">
        <v>0</v>
      </c>
      <c r="F8141" s="14">
        <v>0</v>
      </c>
      <c r="G8141" s="13">
        <v>1854407.5433</v>
      </c>
      <c r="H8141" s="14">
        <v>2358470561.8715081</v>
      </c>
      <c r="I8141" s="14" t="e">
        <f>=Round(35391.65500000,0)</f>
        <v>#VALUE!</v>
      </c>
      <c r="J8141" s="14" t="e">
        <f>=Round(0.00000000,0)</f>
        <v>#VALUE!</v>
      </c>
    </row>
    <row r="8142">
      <c r="A8142" s="11" t="s">
        <v>47</v>
      </c>
      <c r="B8142" s="12">
        <v>1271.8524</v>
      </c>
      <c r="C8142" s="12">
        <v>0</v>
      </c>
      <c r="D8142" s="13">
        <v>0</v>
      </c>
      <c r="E8142" s="12">
        <v>0</v>
      </c>
      <c r="F8142" s="14">
        <v>0</v>
      </c>
      <c r="G8142" s="13">
        <v>1854407.5433</v>
      </c>
      <c r="H8142" s="14">
        <v>2358532684.524209</v>
      </c>
      <c r="I8142" s="14" t="e">
        <f>=Round(35441.49750000,0)</f>
        <v>#VALUE!</v>
      </c>
      <c r="J8142" s="14" t="e">
        <f>=Round(0.00000000,0)</f>
        <v>#VALUE!</v>
      </c>
    </row>
    <row r="8143">
      <c r="A8143" s="11" t="s">
        <v>48</v>
      </c>
      <c r="B8143" s="12">
        <v>1271.4146</v>
      </c>
      <c r="C8143" s="12">
        <v>0</v>
      </c>
      <c r="D8143" s="13">
        <v>0</v>
      </c>
      <c r="E8143" s="12">
        <v>0</v>
      </c>
      <c r="F8143" s="14">
        <v>0</v>
      </c>
      <c r="G8143" s="13">
        <v>1854407.5433</v>
      </c>
      <c r="H8143" s="14">
        <v>2357720824.901752</v>
      </c>
      <c r="I8143" s="14" t="e">
        <f>=Round(35442.43110000,0)</f>
        <v>#VALUE!</v>
      </c>
      <c r="J8143" s="14" t="e">
        <f>=Round(0.00000000,0)</f>
        <v>#VALUE!</v>
      </c>
    </row>
    <row r="8144">
      <c r="A8144" s="11" t="s">
        <v>49</v>
      </c>
      <c r="B8144" s="12">
        <v>1271.4146</v>
      </c>
      <c r="C8144" s="12">
        <v>0</v>
      </c>
      <c r="D8144" s="13">
        <v>0</v>
      </c>
      <c r="E8144" s="12">
        <v>0</v>
      </c>
      <c r="F8144" s="14">
        <v>0</v>
      </c>
      <c r="G8144" s="13">
        <v>1854407.5433</v>
      </c>
      <c r="H8144" s="14">
        <v>2357720824.901752</v>
      </c>
      <c r="I8144" s="14" t="e">
        <f>=Round(35430.23100000,0)</f>
        <v>#VALUE!</v>
      </c>
      <c r="J8144" s="14" t="e">
        <f>=Round(0.00000000,0)</f>
        <v>#VALUE!</v>
      </c>
    </row>
    <row r="8145">
      <c r="A8145" s="11" t="s">
        <v>50</v>
      </c>
      <c r="B8145" s="12">
        <v>1271.4146</v>
      </c>
      <c r="C8145" s="12">
        <v>0</v>
      </c>
      <c r="D8145" s="13">
        <v>0</v>
      </c>
      <c r="E8145" s="12">
        <v>0</v>
      </c>
      <c r="F8145" s="14">
        <v>0</v>
      </c>
      <c r="G8145" s="13">
        <v>1854407.5433</v>
      </c>
      <c r="H8145" s="14">
        <v>2357720824.901752</v>
      </c>
      <c r="I8145" s="14" t="e">
        <f>=Round(35430.23100000,0)</f>
        <v>#VALUE!</v>
      </c>
      <c r="J8145" s="14" t="e">
        <f>=Round(0.00000000,0)</f>
        <v>#VALUE!</v>
      </c>
    </row>
    <row r="8146">
      <c r="A8146" s="11" t="s">
        <v>51</v>
      </c>
      <c r="B8146" s="12">
        <v>1268.7515</v>
      </c>
      <c r="C8146" s="12">
        <v>0</v>
      </c>
      <c r="D8146" s="13">
        <v>0</v>
      </c>
      <c r="E8146" s="12">
        <v>0</v>
      </c>
      <c r="F8146" s="14">
        <v>0</v>
      </c>
      <c r="G8146" s="13">
        <v>1854407.5433</v>
      </c>
      <c r="H8146" s="14">
        <v>2352782352.17319</v>
      </c>
      <c r="I8146" s="14" t="e">
        <f>=Round(35430.23100000,0)</f>
        <v>#VALUE!</v>
      </c>
      <c r="J8146" s="14" t="e">
        <f>=Round(0.00000000,0)</f>
        <v>#VALUE!</v>
      </c>
    </row>
    <row r="8147">
      <c r="A8147" s="11" t="s">
        <v>52</v>
      </c>
      <c r="B8147" s="12">
        <v>1268.7071</v>
      </c>
      <c r="C8147" s="12">
        <v>0</v>
      </c>
      <c r="D8147" s="13">
        <v>0</v>
      </c>
      <c r="E8147" s="12">
        <v>0</v>
      </c>
      <c r="F8147" s="14">
        <v>0</v>
      </c>
      <c r="G8147" s="13">
        <v>1854407.5433</v>
      </c>
      <c r="H8147" s="14">
        <v>2352700016.4782672</v>
      </c>
      <c r="I8147" s="14" t="e">
        <f>=Round(35356.01900000,0)</f>
        <v>#VALUE!</v>
      </c>
      <c r="J8147" s="14" t="e">
        <f>=Round(0.00000000,0)</f>
        <v>#VALUE!</v>
      </c>
    </row>
    <row r="8148">
      <c r="A8148" s="11" t="s">
        <v>53</v>
      </c>
      <c r="B8148" s="12">
        <v>1263.6206</v>
      </c>
      <c r="C8148" s="12">
        <v>0</v>
      </c>
      <c r="D8148" s="13">
        <v>0</v>
      </c>
      <c r="E8148" s="12">
        <v>0</v>
      </c>
      <c r="F8148" s="14">
        <v>0</v>
      </c>
      <c r="G8148" s="13">
        <v>1854407.5433</v>
      </c>
      <c r="H8148" s="14">
        <v>2343267572.5092721</v>
      </c>
      <c r="I8148" s="14" t="e">
        <f>=Round(35354.78170000,0)</f>
        <v>#VALUE!</v>
      </c>
      <c r="J8148" s="14" t="e">
        <f>=Round(0.00000000,0)</f>
        <v>#VALUE!</v>
      </c>
    </row>
    <row r="8149">
      <c r="A8149" s="11" t="s">
        <v>54</v>
      </c>
      <c r="B8149" s="12">
        <v>1248.7736</v>
      </c>
      <c r="C8149" s="12">
        <v>0</v>
      </c>
      <c r="D8149" s="13">
        <v>0</v>
      </c>
      <c r="E8149" s="12">
        <v>0</v>
      </c>
      <c r="F8149" s="14">
        <v>0</v>
      </c>
      <c r="G8149" s="13">
        <v>1854407.5433</v>
      </c>
      <c r="H8149" s="14">
        <v>2315735183.7138972</v>
      </c>
      <c r="I8149" s="14" t="e">
        <f>=Round(35213.03730000,0)</f>
        <v>#VALUE!</v>
      </c>
      <c r="J8149" s="14" t="e">
        <f>=Round(0.00000000,0)</f>
        <v>#VALUE!</v>
      </c>
    </row>
    <row r="8150">
      <c r="A8150" s="11" t="s">
        <v>55</v>
      </c>
      <c r="B8150" s="12">
        <v>1235.2708</v>
      </c>
      <c r="C8150" s="12">
        <v>0</v>
      </c>
      <c r="D8150" s="13">
        <v>0</v>
      </c>
      <c r="E8150" s="12">
        <v>0</v>
      </c>
      <c r="F8150" s="14">
        <v>0</v>
      </c>
      <c r="G8150" s="13">
        <v>1854407.5433</v>
      </c>
      <c r="H8150" s="14">
        <v>2290695489.5382261</v>
      </c>
      <c r="I8150" s="14" t="e">
        <f>=Round(34799.29920000,0)</f>
        <v>#VALUE!</v>
      </c>
      <c r="J8150" s="14" t="e">
        <f>=Round(0.00000000,0)</f>
        <v>#VALUE!</v>
      </c>
    </row>
    <row r="8151" ht="-1">
      <c r="A8151" s="15"/>
      <c r="B8151" s="16" t="s">
        <v>56</v>
      </c>
      <c r="C8151" s="15"/>
      <c r="D8151" s="15"/>
      <c r="E8151" s="15"/>
      <c r="F8151" s="15"/>
      <c r="G8151" s="15"/>
      <c r="H8151" s="15"/>
      <c r="I8151" s="17" t="e">
        <f>=Round(SUM(I8125:I8150),0)</f>
        <v>#VALUE!</v>
      </c>
      <c r="J8151" s="17" t="e">
        <f>=Round(SUM(J8125:J8150),0)</f>
        <v>#VALUE!</v>
      </c>
    </row>
    <row r="8152">
      <c r="A8152" s="1" t="s">
        <v>0</v>
      </c>
      <c r="B8152" s="1"/>
      <c r="C8152" s="1"/>
      <c r="D8152" s="1"/>
    </row>
    <row r="8153">
      <c r="A8153" s="0" t="s">
        <v>1</v>
      </c>
      <c r="C8153" s="0" t="s">
        <v>274</v>
      </c>
      <c r="H8153" s="2" t="s">
        <v>3</v>
      </c>
    </row>
    <row r="8154">
      <c r="A8154" s="0" t="s">
        <v>4</v>
      </c>
      <c r="C8154" s="0" t="s">
        <v>222</v>
      </c>
      <c r="H8154" s="3" t="s">
        <v>6</v>
      </c>
    </row>
    <row r="8155">
      <c r="A8155" s="0" t="s">
        <v>7</v>
      </c>
      <c r="C8155" s="4" t="s">
        <v>146</v>
      </c>
      <c r="H8155" s="2" t="s">
        <v>9</v>
      </c>
    </row>
    <row r="8156">
      <c r="A8156" s="0" t="s">
        <v>10</v>
      </c>
      <c r="C8156" s="4" t="s">
        <v>11</v>
      </c>
      <c r="H8156" s="2" t="s">
        <v>12</v>
      </c>
    </row>
    <row r="8157">
      <c r="A8157" s="0" t="s">
        <v>13</v>
      </c>
      <c r="C8157" s="0" t="s">
        <v>14</v>
      </c>
    </row>
    <row r="8158">
      <c r="A8158" s="0" t="s">
        <v>15</v>
      </c>
      <c r="C8158" s="0" t="s">
        <v>16</v>
      </c>
    </row>
    <row r="8159">
      <c r="A8159" s="0" t="s">
        <v>17</v>
      </c>
      <c r="C8159" s="0" t="s">
        <v>18</v>
      </c>
    </row>
    <row r="8162">
      <c r="A8162" s="5" t="s">
        <v>19</v>
      </c>
      <c r="B8162" s="5" t="s">
        <v>20</v>
      </c>
      <c r="C8162" s="7" t="s">
        <v>21</v>
      </c>
      <c r="D8162" s="9"/>
      <c r="E8162" s="7" t="s">
        <v>22</v>
      </c>
      <c r="F8162" s="9"/>
      <c r="G8162" s="5" t="s">
        <v>23</v>
      </c>
      <c r="H8162" s="5" t="s">
        <v>24</v>
      </c>
      <c r="I8162" s="5" t="s">
        <v>147</v>
      </c>
      <c r="J8162" s="5" t="s">
        <v>26</v>
      </c>
    </row>
    <row r="8163">
      <c r="A8163" s="6"/>
      <c r="B8163" s="6"/>
      <c r="C8163" s="8" t="s">
        <v>27</v>
      </c>
      <c r="D8163" s="8" t="s">
        <v>28</v>
      </c>
      <c r="E8163" s="8" t="s">
        <v>27</v>
      </c>
      <c r="F8163" s="8" t="s">
        <v>28</v>
      </c>
      <c r="G8163" s="6"/>
      <c r="H8163" s="6"/>
      <c r="I8163" s="10" t="s">
        <v>29</v>
      </c>
      <c r="J8163" s="6"/>
    </row>
    <row r="8164">
      <c r="A8164" s="11" t="s">
        <v>30</v>
      </c>
      <c r="B8164" s="12">
        <v>1248.9282</v>
      </c>
      <c r="C8164" s="12">
        <v>0</v>
      </c>
      <c r="D8164" s="13">
        <v>0</v>
      </c>
      <c r="E8164" s="12">
        <v>0</v>
      </c>
      <c r="F8164" s="14">
        <v>0</v>
      </c>
      <c r="G8164" s="13">
        <v>9384348.2771999985</v>
      </c>
      <c r="H8164" s="14">
        <v>11720377202.016497</v>
      </c>
      <c r="I8164" s="14" t="e">
        <f>=Round(176553.91580000,0)</f>
        <v>#VALUE!</v>
      </c>
      <c r="J8164" s="14" t="e">
        <f>=Round(0.00000000,0)</f>
        <v>#VALUE!</v>
      </c>
    </row>
    <row r="8165">
      <c r="A8165" s="11" t="s">
        <v>31</v>
      </c>
      <c r="B8165" s="12">
        <v>1256.528</v>
      </c>
      <c r="C8165" s="12">
        <v>0</v>
      </c>
      <c r="D8165" s="13">
        <v>0</v>
      </c>
      <c r="E8165" s="12">
        <v>0</v>
      </c>
      <c r="F8165" s="14">
        <v>0</v>
      </c>
      <c r="G8165" s="13">
        <v>9384348.2771999985</v>
      </c>
      <c r="H8165" s="14">
        <v>11791696372.053562</v>
      </c>
      <c r="I8165" s="14" t="e">
        <f>=Round(176125.88690000,0)</f>
        <v>#VALUE!</v>
      </c>
      <c r="J8165" s="14" t="e">
        <f>=Round(0.00000000,0)</f>
        <v>#VALUE!</v>
      </c>
    </row>
    <row r="8166">
      <c r="A8166" s="11" t="s">
        <v>32</v>
      </c>
      <c r="B8166" s="12">
        <v>1254.6375</v>
      </c>
      <c r="C8166" s="12">
        <v>0</v>
      </c>
      <c r="D8166" s="13">
        <v>0</v>
      </c>
      <c r="E8166" s="12">
        <v>0</v>
      </c>
      <c r="F8166" s="14">
        <v>0</v>
      </c>
      <c r="G8166" s="13">
        <v>9384348.2771999985</v>
      </c>
      <c r="H8166" s="14">
        <v>11773955261.635515</v>
      </c>
      <c r="I8166" s="14" t="e">
        <f>=Round(177197.62310000,0)</f>
        <v>#VALUE!</v>
      </c>
      <c r="J8166" s="14" t="e">
        <f>=Round(0.00000000,0)</f>
        <v>#VALUE!</v>
      </c>
    </row>
    <row r="8167">
      <c r="A8167" s="11" t="s">
        <v>33</v>
      </c>
      <c r="B8167" s="12">
        <v>1260.0744</v>
      </c>
      <c r="C8167" s="12">
        <v>0</v>
      </c>
      <c r="D8167" s="13">
        <v>0</v>
      </c>
      <c r="E8167" s="12">
        <v>0</v>
      </c>
      <c r="F8167" s="14">
        <v>0</v>
      </c>
      <c r="G8167" s="13">
        <v>9384348.2771999985</v>
      </c>
      <c r="H8167" s="14">
        <v>11824977024.783825</v>
      </c>
      <c r="I8167" s="14" t="e">
        <f>=Round(176931.02170000,0)</f>
        <v>#VALUE!</v>
      </c>
      <c r="J8167" s="14" t="e">
        <f>=Round(0.00000000,0)</f>
        <v>#VALUE!</v>
      </c>
    </row>
    <row r="8168">
      <c r="A8168" s="11" t="s">
        <v>34</v>
      </c>
      <c r="B8168" s="12">
        <v>1262.5315</v>
      </c>
      <c r="C8168" s="12">
        <v>0</v>
      </c>
      <c r="D8168" s="13">
        <v>0</v>
      </c>
      <c r="E8168" s="12">
        <v>0</v>
      </c>
      <c r="F8168" s="14">
        <v>0</v>
      </c>
      <c r="G8168" s="13">
        <v>9384348.2771999985</v>
      </c>
      <c r="H8168" s="14">
        <v>11848035306.935732</v>
      </c>
      <c r="I8168" s="14" t="e">
        <f>=Round(177697.74220000,0)</f>
        <v>#VALUE!</v>
      </c>
      <c r="J8168" s="14" t="e">
        <f>=Round(0.00000000,0)</f>
        <v>#VALUE!</v>
      </c>
    </row>
    <row r="8169">
      <c r="A8169" s="11" t="s">
        <v>35</v>
      </c>
      <c r="B8169" s="12">
        <v>1262.5315</v>
      </c>
      <c r="C8169" s="12">
        <v>0</v>
      </c>
      <c r="D8169" s="13">
        <v>0</v>
      </c>
      <c r="E8169" s="12">
        <v>0</v>
      </c>
      <c r="F8169" s="14">
        <v>0</v>
      </c>
      <c r="G8169" s="13">
        <v>9384348.2771999985</v>
      </c>
      <c r="H8169" s="14">
        <v>11848035306.935732</v>
      </c>
      <c r="I8169" s="14" t="e">
        <f>=Round(178044.24640000,0)</f>
        <v>#VALUE!</v>
      </c>
      <c r="J8169" s="14" t="e">
        <f>=Round(0.00000000,0)</f>
        <v>#VALUE!</v>
      </c>
    </row>
    <row r="8170">
      <c r="A8170" s="11" t="s">
        <v>36</v>
      </c>
      <c r="B8170" s="12">
        <v>1262.5315</v>
      </c>
      <c r="C8170" s="12">
        <v>0</v>
      </c>
      <c r="D8170" s="13">
        <v>0</v>
      </c>
      <c r="E8170" s="12">
        <v>0</v>
      </c>
      <c r="F8170" s="14">
        <v>0</v>
      </c>
      <c r="G8170" s="13">
        <v>9384348.2771999985</v>
      </c>
      <c r="H8170" s="14">
        <v>11848035306.935732</v>
      </c>
      <c r="I8170" s="14" t="e">
        <f>=Round(178044.24640000,0)</f>
        <v>#VALUE!</v>
      </c>
      <c r="J8170" s="14" t="e">
        <f>=Round(0.00000000,0)</f>
        <v>#VALUE!</v>
      </c>
    </row>
    <row r="8171">
      <c r="A8171" s="11" t="s">
        <v>37</v>
      </c>
      <c r="B8171" s="12">
        <v>1260.7554</v>
      </c>
      <c r="C8171" s="12">
        <v>0</v>
      </c>
      <c r="D8171" s="13">
        <v>0</v>
      </c>
      <c r="E8171" s="12">
        <v>0</v>
      </c>
      <c r="F8171" s="14">
        <v>0</v>
      </c>
      <c r="G8171" s="13">
        <v>9384348.2771999985</v>
      </c>
      <c r="H8171" s="14">
        <v>11831367765.960596</v>
      </c>
      <c r="I8171" s="14" t="e">
        <f>=Round(178044.24640000,0)</f>
        <v>#VALUE!</v>
      </c>
      <c r="J8171" s="14" t="e">
        <f>=Round(0.00000000,0)</f>
        <v>#VALUE!</v>
      </c>
    </row>
    <row r="8172">
      <c r="A8172" s="11" t="s">
        <v>38</v>
      </c>
      <c r="B8172" s="12">
        <v>1262.4788</v>
      </c>
      <c r="C8172" s="12">
        <v>0</v>
      </c>
      <c r="D8172" s="13">
        <v>0</v>
      </c>
      <c r="E8172" s="12">
        <v>0</v>
      </c>
      <c r="F8172" s="14">
        <v>0</v>
      </c>
      <c r="G8172" s="13">
        <v>9384348.2771999985</v>
      </c>
      <c r="H8172" s="14">
        <v>11847540751.781525</v>
      </c>
      <c r="I8172" s="14" t="e">
        <f>=Round(177793.77790000,0)</f>
        <v>#VALUE!</v>
      </c>
      <c r="J8172" s="14" t="e">
        <f>=Round(0.00000000,0)</f>
        <v>#VALUE!</v>
      </c>
    </row>
    <row r="8173">
      <c r="A8173" s="11" t="s">
        <v>39</v>
      </c>
      <c r="B8173" s="12">
        <v>1266.2701</v>
      </c>
      <c r="C8173" s="12">
        <v>0</v>
      </c>
      <c r="D8173" s="13">
        <v>0</v>
      </c>
      <c r="E8173" s="12">
        <v>0</v>
      </c>
      <c r="F8173" s="14">
        <v>0</v>
      </c>
      <c r="G8173" s="13">
        <v>9384348.2771999985</v>
      </c>
      <c r="H8173" s="14">
        <v>11883119631.404873</v>
      </c>
      <c r="I8173" s="14" t="e">
        <f>=Round(178036.81460000,0)</f>
        <v>#VALUE!</v>
      </c>
      <c r="J8173" s="14" t="e">
        <f>=Round(0.00000000,0)</f>
        <v>#VALUE!</v>
      </c>
    </row>
    <row r="8174">
      <c r="A8174" s="11" t="s">
        <v>40</v>
      </c>
      <c r="B8174" s="12">
        <v>1266.9583</v>
      </c>
      <c r="C8174" s="12">
        <v>0</v>
      </c>
      <c r="D8174" s="13">
        <v>0</v>
      </c>
      <c r="E8174" s="12">
        <v>0</v>
      </c>
      <c r="F8174" s="14">
        <v>0</v>
      </c>
      <c r="G8174" s="13">
        <v>9384348.2771999985</v>
      </c>
      <c r="H8174" s="14">
        <v>11889577939.88924</v>
      </c>
      <c r="I8174" s="14" t="e">
        <f>=Round(178571.46990000,0)</f>
        <v>#VALUE!</v>
      </c>
      <c r="J8174" s="14" t="e">
        <f>=Round(0.00000000,0)</f>
        <v>#VALUE!</v>
      </c>
    </row>
    <row r="8175">
      <c r="A8175" s="11" t="s">
        <v>41</v>
      </c>
      <c r="B8175" s="12">
        <v>1266.1038</v>
      </c>
      <c r="C8175" s="12">
        <v>0</v>
      </c>
      <c r="D8175" s="13">
        <v>0</v>
      </c>
      <c r="E8175" s="12">
        <v>0</v>
      </c>
      <c r="F8175" s="14">
        <v>0</v>
      </c>
      <c r="G8175" s="13">
        <v>9384348.2771999985</v>
      </c>
      <c r="H8175" s="14">
        <v>11881559014.286371</v>
      </c>
      <c r="I8175" s="14" t="e">
        <f>=Round(178668.52100000,0)</f>
        <v>#VALUE!</v>
      </c>
      <c r="J8175" s="14" t="e">
        <f>=Round(0.00000000,0)</f>
        <v>#VALUE!</v>
      </c>
    </row>
    <row r="8176">
      <c r="A8176" s="11" t="s">
        <v>42</v>
      </c>
      <c r="B8176" s="12">
        <v>1266.1038</v>
      </c>
      <c r="C8176" s="12">
        <v>0</v>
      </c>
      <c r="D8176" s="13">
        <v>0</v>
      </c>
      <c r="E8176" s="12">
        <v>0</v>
      </c>
      <c r="F8176" s="14">
        <v>0</v>
      </c>
      <c r="G8176" s="13">
        <v>9384348.2771999985</v>
      </c>
      <c r="H8176" s="14">
        <v>11881559014.286371</v>
      </c>
      <c r="I8176" s="14" t="e">
        <f>=Round(178548.01800000,0)</f>
        <v>#VALUE!</v>
      </c>
      <c r="J8176" s="14" t="e">
        <f>=Round(0.00000000,0)</f>
        <v>#VALUE!</v>
      </c>
    </row>
    <row r="8177">
      <c r="A8177" s="11" t="s">
        <v>43</v>
      </c>
      <c r="B8177" s="12">
        <v>1266.1038</v>
      </c>
      <c r="C8177" s="12">
        <v>0</v>
      </c>
      <c r="D8177" s="13">
        <v>0</v>
      </c>
      <c r="E8177" s="12">
        <v>0</v>
      </c>
      <c r="F8177" s="14">
        <v>0</v>
      </c>
      <c r="G8177" s="13">
        <v>9384348.2771999985</v>
      </c>
      <c r="H8177" s="14">
        <v>11881559014.286371</v>
      </c>
      <c r="I8177" s="14" t="e">
        <f>=Round(178548.01800000,0)</f>
        <v>#VALUE!</v>
      </c>
      <c r="J8177" s="14" t="e">
        <f>=Round(0.00000000,0)</f>
        <v>#VALUE!</v>
      </c>
    </row>
    <row r="8178">
      <c r="A8178" s="11" t="s">
        <v>44</v>
      </c>
      <c r="B8178" s="12">
        <v>1267.4076</v>
      </c>
      <c r="C8178" s="12">
        <v>0</v>
      </c>
      <c r="D8178" s="13">
        <v>0</v>
      </c>
      <c r="E8178" s="12">
        <v>0</v>
      </c>
      <c r="F8178" s="14">
        <v>0</v>
      </c>
      <c r="G8178" s="13">
        <v>9384348.2771999985</v>
      </c>
      <c r="H8178" s="14">
        <v>11893794327.570189</v>
      </c>
      <c r="I8178" s="14" t="e">
        <f>=Round(178548.01800000,0)</f>
        <v>#VALUE!</v>
      </c>
      <c r="J8178" s="14" t="e">
        <f>=Round(0.00000000,0)</f>
        <v>#VALUE!</v>
      </c>
    </row>
    <row r="8179">
      <c r="A8179" s="11" t="s">
        <v>45</v>
      </c>
      <c r="B8179" s="12">
        <v>1270.0303</v>
      </c>
      <c r="C8179" s="12">
        <v>0</v>
      </c>
      <c r="D8179" s="13">
        <v>0</v>
      </c>
      <c r="E8179" s="12">
        <v>0</v>
      </c>
      <c r="F8179" s="14">
        <v>0</v>
      </c>
      <c r="G8179" s="13">
        <v>9384348.2771999985</v>
      </c>
      <c r="H8179" s="14">
        <v>11918406657.7968</v>
      </c>
      <c r="I8179" s="14" t="e">
        <f>=Round(178731.88200000,0)</f>
        <v>#VALUE!</v>
      </c>
      <c r="J8179" s="14" t="e">
        <f>=Round(0.00000000,0)</f>
        <v>#VALUE!</v>
      </c>
    </row>
    <row r="8180">
      <c r="A8180" s="11" t="s">
        <v>46</v>
      </c>
      <c r="B8180" s="12">
        <v>1271.8189</v>
      </c>
      <c r="C8180" s="12">
        <v>0</v>
      </c>
      <c r="D8180" s="13">
        <v>0</v>
      </c>
      <c r="E8180" s="12">
        <v>0</v>
      </c>
      <c r="F8180" s="14">
        <v>0</v>
      </c>
      <c r="G8180" s="13">
        <v>9384348.2771999985</v>
      </c>
      <c r="H8180" s="14">
        <v>11935191503.1254</v>
      </c>
      <c r="I8180" s="14" t="e">
        <f>=Round(179101.73940000,0)</f>
        <v>#VALUE!</v>
      </c>
      <c r="J8180" s="14" t="e">
        <f>=Round(0.00000000,0)</f>
        <v>#VALUE!</v>
      </c>
    </row>
    <row r="8181">
      <c r="A8181" s="11" t="s">
        <v>47</v>
      </c>
      <c r="B8181" s="12">
        <v>1271.8524</v>
      </c>
      <c r="C8181" s="12">
        <v>0</v>
      </c>
      <c r="D8181" s="13">
        <v>0</v>
      </c>
      <c r="E8181" s="12">
        <v>0</v>
      </c>
      <c r="F8181" s="14">
        <v>0</v>
      </c>
      <c r="G8181" s="13">
        <v>9384348.2771999985</v>
      </c>
      <c r="H8181" s="14">
        <v>11935505878.792685</v>
      </c>
      <c r="I8181" s="14" t="e">
        <f>=Round(179353.97070000,0)</f>
        <v>#VALUE!</v>
      </c>
      <c r="J8181" s="14" t="e">
        <f>=Round(0.00000000,0)</f>
        <v>#VALUE!</v>
      </c>
    </row>
    <row r="8182">
      <c r="A8182" s="11" t="s">
        <v>48</v>
      </c>
      <c r="B8182" s="12">
        <v>1271.4146</v>
      </c>
      <c r="C8182" s="12">
        <v>0</v>
      </c>
      <c r="D8182" s="13">
        <v>0</v>
      </c>
      <c r="E8182" s="12">
        <v>0</v>
      </c>
      <c r="F8182" s="14">
        <v>0</v>
      </c>
      <c r="G8182" s="13">
        <v>9384348.2771999985</v>
      </c>
      <c r="H8182" s="14">
        <v>11931397411.116928</v>
      </c>
      <c r="I8182" s="14" t="e">
        <f>=Round(179358.69490000,0)</f>
        <v>#VALUE!</v>
      </c>
      <c r="J8182" s="14" t="e">
        <f>=Round(0.00000000,0)</f>
        <v>#VALUE!</v>
      </c>
    </row>
    <row r="8183">
      <c r="A8183" s="11" t="s">
        <v>49</v>
      </c>
      <c r="B8183" s="12">
        <v>1271.4146</v>
      </c>
      <c r="C8183" s="12">
        <v>0</v>
      </c>
      <c r="D8183" s="13">
        <v>0</v>
      </c>
      <c r="E8183" s="12">
        <v>0</v>
      </c>
      <c r="F8183" s="14">
        <v>0</v>
      </c>
      <c r="G8183" s="13">
        <v>9384348.2771999985</v>
      </c>
      <c r="H8183" s="14">
        <v>11931397411.116928</v>
      </c>
      <c r="I8183" s="14" t="e">
        <f>=Round(179296.95560000,0)</f>
        <v>#VALUE!</v>
      </c>
      <c r="J8183" s="14" t="e">
        <f>=Round(0.00000000,0)</f>
        <v>#VALUE!</v>
      </c>
    </row>
    <row r="8184">
      <c r="A8184" s="11" t="s">
        <v>50</v>
      </c>
      <c r="B8184" s="12">
        <v>1271.4146</v>
      </c>
      <c r="C8184" s="12">
        <v>0</v>
      </c>
      <c r="D8184" s="13">
        <v>0</v>
      </c>
      <c r="E8184" s="12">
        <v>0</v>
      </c>
      <c r="F8184" s="14">
        <v>0</v>
      </c>
      <c r="G8184" s="13">
        <v>9384348.2771999985</v>
      </c>
      <c r="H8184" s="14">
        <v>11931397411.116928</v>
      </c>
      <c r="I8184" s="14" t="e">
        <f>=Round(179296.95560000,0)</f>
        <v>#VALUE!</v>
      </c>
      <c r="J8184" s="14" t="e">
        <f>=Round(0.00000000,0)</f>
        <v>#VALUE!</v>
      </c>
    </row>
    <row r="8185">
      <c r="A8185" s="11" t="s">
        <v>51</v>
      </c>
      <c r="B8185" s="12">
        <v>1268.7515</v>
      </c>
      <c r="C8185" s="12">
        <v>0</v>
      </c>
      <c r="D8185" s="13">
        <v>0</v>
      </c>
      <c r="E8185" s="12">
        <v>0</v>
      </c>
      <c r="F8185" s="14">
        <v>0</v>
      </c>
      <c r="G8185" s="13">
        <v>9384348.2771999985</v>
      </c>
      <c r="H8185" s="14">
        <v>11906405953.219915</v>
      </c>
      <c r="I8185" s="14" t="e">
        <f>=Round(179296.95560000,0)</f>
        <v>#VALUE!</v>
      </c>
      <c r="J8185" s="14" t="e">
        <f>=Round(0.00000000,0)</f>
        <v>#VALUE!</v>
      </c>
    </row>
    <row r="8186">
      <c r="A8186" s="11" t="s">
        <v>52</v>
      </c>
      <c r="B8186" s="12">
        <v>1268.7071</v>
      </c>
      <c r="C8186" s="12">
        <v>0</v>
      </c>
      <c r="D8186" s="13">
        <v>0</v>
      </c>
      <c r="E8186" s="12">
        <v>0</v>
      </c>
      <c r="F8186" s="14">
        <v>0</v>
      </c>
      <c r="G8186" s="13">
        <v>9384348.2771999985</v>
      </c>
      <c r="H8186" s="14">
        <v>11905989288.156408</v>
      </c>
      <c r="I8186" s="14" t="e">
        <f>=Round(178921.40090000,0)</f>
        <v>#VALUE!</v>
      </c>
      <c r="J8186" s="14" t="e">
        <f>=Round(0.00000000,0)</f>
        <v>#VALUE!</v>
      </c>
    </row>
    <row r="8187">
      <c r="A8187" s="11" t="s">
        <v>53</v>
      </c>
      <c r="B8187" s="12">
        <v>1263.6206</v>
      </c>
      <c r="C8187" s="12">
        <v>0</v>
      </c>
      <c r="D8187" s="13">
        <v>0</v>
      </c>
      <c r="E8187" s="12">
        <v>0</v>
      </c>
      <c r="F8187" s="14">
        <v>0</v>
      </c>
      <c r="G8187" s="13">
        <v>9384348.2771999985</v>
      </c>
      <c r="H8187" s="14">
        <v>11858255800.64443</v>
      </c>
      <c r="I8187" s="14" t="e">
        <f>=Round(178915.13960000,0)</f>
        <v>#VALUE!</v>
      </c>
      <c r="J8187" s="14" t="e">
        <f>=Round(0.00000000,0)</f>
        <v>#VALUE!</v>
      </c>
    </row>
    <row r="8188">
      <c r="A8188" s="11" t="s">
        <v>54</v>
      </c>
      <c r="B8188" s="12">
        <v>1248.7736</v>
      </c>
      <c r="C8188" s="12">
        <v>0</v>
      </c>
      <c r="D8188" s="13">
        <v>0</v>
      </c>
      <c r="E8188" s="12">
        <v>0</v>
      </c>
      <c r="F8188" s="14">
        <v>0</v>
      </c>
      <c r="G8188" s="13">
        <v>9384348.2771999985</v>
      </c>
      <c r="H8188" s="14">
        <v>11718926381.772842</v>
      </c>
      <c r="I8188" s="14" t="e">
        <f>=Round(178197.83310000,0)</f>
        <v>#VALUE!</v>
      </c>
      <c r="J8188" s="14" t="e">
        <f>=Round(0.00000000,0)</f>
        <v>#VALUE!</v>
      </c>
    </row>
    <row r="8189">
      <c r="A8189" s="11" t="s">
        <v>55</v>
      </c>
      <c r="B8189" s="12">
        <v>1235.2708</v>
      </c>
      <c r="C8189" s="12">
        <v>0</v>
      </c>
      <c r="D8189" s="13">
        <v>0</v>
      </c>
      <c r="E8189" s="12">
        <v>0</v>
      </c>
      <c r="F8189" s="14">
        <v>0</v>
      </c>
      <c r="G8189" s="13">
        <v>9384348.2771999985</v>
      </c>
      <c r="H8189" s="14">
        <v>11592211403.855467</v>
      </c>
      <c r="I8189" s="14" t="e">
        <f>=Round(176104.08500000,0)</f>
        <v>#VALUE!</v>
      </c>
      <c r="J8189" s="14" t="e">
        <f>=Round(0.00000000,0)</f>
        <v>#VALUE!</v>
      </c>
    </row>
    <row r="8190" ht="-1">
      <c r="A8190" s="15"/>
      <c r="B8190" s="16" t="s">
        <v>56</v>
      </c>
      <c r="C8190" s="15"/>
      <c r="D8190" s="15"/>
      <c r="E8190" s="15"/>
      <c r="F8190" s="15"/>
      <c r="G8190" s="15"/>
      <c r="H8190" s="15"/>
      <c r="I8190" s="17" t="e">
        <f>=Round(SUM(I8164:I8189),0)</f>
        <v>#VALUE!</v>
      </c>
      <c r="J8190" s="17" t="e">
        <f>=Round(SUM(J8164:J8189),0)</f>
        <v>#VALUE!</v>
      </c>
    </row>
    <row r="8191">
      <c r="A8191" s="1" t="s">
        <v>0</v>
      </c>
      <c r="B8191" s="1"/>
      <c r="C8191" s="1"/>
      <c r="D8191" s="1"/>
    </row>
    <row r="8192">
      <c r="A8192" s="0" t="s">
        <v>1</v>
      </c>
      <c r="C8192" s="0" t="s">
        <v>274</v>
      </c>
      <c r="H8192" s="2" t="s">
        <v>3</v>
      </c>
    </row>
    <row r="8193">
      <c r="A8193" s="0" t="s">
        <v>4</v>
      </c>
      <c r="C8193" s="0" t="s">
        <v>283</v>
      </c>
      <c r="H8193" s="3" t="s">
        <v>6</v>
      </c>
    </row>
    <row r="8194">
      <c r="A8194" s="0" t="s">
        <v>7</v>
      </c>
      <c r="C8194" s="4" t="s">
        <v>146</v>
      </c>
      <c r="H8194" s="2" t="s">
        <v>9</v>
      </c>
    </row>
    <row r="8195">
      <c r="A8195" s="0" t="s">
        <v>10</v>
      </c>
      <c r="C8195" s="4" t="s">
        <v>11</v>
      </c>
      <c r="H8195" s="2" t="s">
        <v>12</v>
      </c>
    </row>
    <row r="8196">
      <c r="A8196" s="0" t="s">
        <v>13</v>
      </c>
      <c r="C8196" s="0" t="s">
        <v>14</v>
      </c>
    </row>
    <row r="8197">
      <c r="A8197" s="0" t="s">
        <v>15</v>
      </c>
      <c r="C8197" s="0" t="s">
        <v>16</v>
      </c>
    </row>
    <row r="8198">
      <c r="A8198" s="0" t="s">
        <v>17</v>
      </c>
      <c r="C8198" s="0" t="s">
        <v>18</v>
      </c>
    </row>
    <row r="8201">
      <c r="A8201" s="5" t="s">
        <v>19</v>
      </c>
      <c r="B8201" s="5" t="s">
        <v>20</v>
      </c>
      <c r="C8201" s="7" t="s">
        <v>21</v>
      </c>
      <c r="D8201" s="9"/>
      <c r="E8201" s="7" t="s">
        <v>22</v>
      </c>
      <c r="F8201" s="9"/>
      <c r="G8201" s="5" t="s">
        <v>23</v>
      </c>
      <c r="H8201" s="5" t="s">
        <v>24</v>
      </c>
      <c r="I8201" s="5" t="s">
        <v>147</v>
      </c>
      <c r="J8201" s="5" t="s">
        <v>26</v>
      </c>
    </row>
    <row r="8202">
      <c r="A8202" s="6"/>
      <c r="B8202" s="6"/>
      <c r="C8202" s="8" t="s">
        <v>27</v>
      </c>
      <c r="D8202" s="8" t="s">
        <v>28</v>
      </c>
      <c r="E8202" s="8" t="s">
        <v>27</v>
      </c>
      <c r="F8202" s="8" t="s">
        <v>28</v>
      </c>
      <c r="G8202" s="6"/>
      <c r="H8202" s="6"/>
      <c r="I8202" s="10" t="s">
        <v>29</v>
      </c>
      <c r="J8202" s="6"/>
    </row>
    <row r="8203">
      <c r="A8203" s="11" t="s">
        <v>30</v>
      </c>
      <c r="B8203" s="12">
        <v>1248.9282</v>
      </c>
      <c r="C8203" s="12">
        <v>0</v>
      </c>
      <c r="D8203" s="13">
        <v>0</v>
      </c>
      <c r="E8203" s="12">
        <v>0</v>
      </c>
      <c r="F8203" s="14">
        <v>0</v>
      </c>
      <c r="G8203" s="13">
        <v>19979391.5585</v>
      </c>
      <c r="H8203" s="14">
        <v>24952825536.2526</v>
      </c>
      <c r="I8203" s="14" t="e">
        <f>=Round(375885.43280000,0)</f>
        <v>#VALUE!</v>
      </c>
      <c r="J8203" s="14" t="e">
        <f>=Round(0.00000000,0)</f>
        <v>#VALUE!</v>
      </c>
    </row>
    <row r="8204">
      <c r="A8204" s="11" t="s">
        <v>31</v>
      </c>
      <c r="B8204" s="12">
        <v>1256.528</v>
      </c>
      <c r="C8204" s="12">
        <v>0</v>
      </c>
      <c r="D8204" s="13">
        <v>0</v>
      </c>
      <c r="E8204" s="12">
        <v>0</v>
      </c>
      <c r="F8204" s="14">
        <v>0</v>
      </c>
      <c r="G8204" s="13">
        <v>19979391.5585</v>
      </c>
      <c r="H8204" s="14">
        <v>25104664916.218887</v>
      </c>
      <c r="I8204" s="14" t="e">
        <f>=Round(374974.15420000,0)</f>
        <v>#VALUE!</v>
      </c>
      <c r="J8204" s="14" t="e">
        <f>=Round(0.00000000,0)</f>
        <v>#VALUE!</v>
      </c>
    </row>
    <row r="8205">
      <c r="A8205" s="11" t="s">
        <v>32</v>
      </c>
      <c r="B8205" s="12">
        <v>1254.6375</v>
      </c>
      <c r="C8205" s="12">
        <v>0</v>
      </c>
      <c r="D8205" s="13">
        <v>0</v>
      </c>
      <c r="E8205" s="12">
        <v>0</v>
      </c>
      <c r="F8205" s="14">
        <v>0</v>
      </c>
      <c r="G8205" s="13">
        <v>19979391.5585</v>
      </c>
      <c r="H8205" s="14">
        <v>25066893876.477543</v>
      </c>
      <c r="I8205" s="14" t="e">
        <f>=Round(377255.89350000,0)</f>
        <v>#VALUE!</v>
      </c>
      <c r="J8205" s="14" t="e">
        <f>=Round(0.00000000,0)</f>
        <v>#VALUE!</v>
      </c>
    </row>
    <row r="8206">
      <c r="A8206" s="11" t="s">
        <v>33</v>
      </c>
      <c r="B8206" s="12">
        <v>1260.0744</v>
      </c>
      <c r="C8206" s="12">
        <v>0</v>
      </c>
      <c r="D8206" s="13">
        <v>0</v>
      </c>
      <c r="E8206" s="12">
        <v>0</v>
      </c>
      <c r="F8206" s="14">
        <v>0</v>
      </c>
      <c r="G8206" s="13">
        <v>19979391.5585</v>
      </c>
      <c r="H8206" s="14">
        <v>25175519830.441952</v>
      </c>
      <c r="I8206" s="14" t="e">
        <f>=Round(376688.29600000,0)</f>
        <v>#VALUE!</v>
      </c>
      <c r="J8206" s="14" t="e">
        <f>=Round(0.00000000,0)</f>
        <v>#VALUE!</v>
      </c>
    </row>
    <row r="8207">
      <c r="A8207" s="11" t="s">
        <v>34</v>
      </c>
      <c r="B8207" s="12">
        <v>1262.5315</v>
      </c>
      <c r="C8207" s="12">
        <v>0</v>
      </c>
      <c r="D8207" s="13">
        <v>0</v>
      </c>
      <c r="E8207" s="12">
        <v>0</v>
      </c>
      <c r="F8207" s="14">
        <v>0</v>
      </c>
      <c r="G8207" s="13">
        <v>19979391.5585</v>
      </c>
      <c r="H8207" s="14">
        <v>25224611193.440346</v>
      </c>
      <c r="I8207" s="14" t="e">
        <f>=Round(378320.65320000,0)</f>
        <v>#VALUE!</v>
      </c>
      <c r="J8207" s="14" t="e">
        <f>=Round(0.00000000,0)</f>
        <v>#VALUE!</v>
      </c>
    </row>
    <row r="8208">
      <c r="A8208" s="11" t="s">
        <v>35</v>
      </c>
      <c r="B8208" s="12">
        <v>1262.5315</v>
      </c>
      <c r="C8208" s="12">
        <v>0</v>
      </c>
      <c r="D8208" s="13">
        <v>0</v>
      </c>
      <c r="E8208" s="12">
        <v>0</v>
      </c>
      <c r="F8208" s="14">
        <v>0</v>
      </c>
      <c r="G8208" s="13">
        <v>19979391.5585</v>
      </c>
      <c r="H8208" s="14">
        <v>25224611193.440346</v>
      </c>
      <c r="I8208" s="14" t="e">
        <f>=Round(379058.36490000,0)</f>
        <v>#VALUE!</v>
      </c>
      <c r="J8208" s="14" t="e">
        <f>=Round(0.00000000,0)</f>
        <v>#VALUE!</v>
      </c>
    </row>
    <row r="8209">
      <c r="A8209" s="11" t="s">
        <v>36</v>
      </c>
      <c r="B8209" s="12">
        <v>1262.5315</v>
      </c>
      <c r="C8209" s="12">
        <v>0</v>
      </c>
      <c r="D8209" s="13">
        <v>0</v>
      </c>
      <c r="E8209" s="12">
        <v>0</v>
      </c>
      <c r="F8209" s="14">
        <v>0</v>
      </c>
      <c r="G8209" s="13">
        <v>19979391.5585</v>
      </c>
      <c r="H8209" s="14">
        <v>25224611193.440346</v>
      </c>
      <c r="I8209" s="14" t="e">
        <f>=Round(379058.36490000,0)</f>
        <v>#VALUE!</v>
      </c>
      <c r="J8209" s="14" t="e">
        <f>=Round(0.00000000,0)</f>
        <v>#VALUE!</v>
      </c>
    </row>
    <row r="8210">
      <c r="A8210" s="11" t="s">
        <v>37</v>
      </c>
      <c r="B8210" s="12">
        <v>1260.7554</v>
      </c>
      <c r="C8210" s="12">
        <v>0</v>
      </c>
      <c r="D8210" s="13">
        <v>0</v>
      </c>
      <c r="E8210" s="12">
        <v>0</v>
      </c>
      <c r="F8210" s="14">
        <v>0</v>
      </c>
      <c r="G8210" s="13">
        <v>19979391.5585</v>
      </c>
      <c r="H8210" s="14">
        <v>25189125796.093292</v>
      </c>
      <c r="I8210" s="14" t="e">
        <f>=Round(379058.36490000,0)</f>
        <v>#VALUE!</v>
      </c>
      <c r="J8210" s="14" t="e">
        <f>=Round(0.00000000,0)</f>
        <v>#VALUE!</v>
      </c>
    </row>
    <row r="8211">
      <c r="A8211" s="11" t="s">
        <v>38</v>
      </c>
      <c r="B8211" s="12">
        <v>1262.4788</v>
      </c>
      <c r="C8211" s="12">
        <v>0</v>
      </c>
      <c r="D8211" s="13">
        <v>0</v>
      </c>
      <c r="E8211" s="12">
        <v>0</v>
      </c>
      <c r="F8211" s="14">
        <v>0</v>
      </c>
      <c r="G8211" s="13">
        <v>19979391.5585</v>
      </c>
      <c r="H8211" s="14">
        <v>25223558279.505207</v>
      </c>
      <c r="I8211" s="14" t="e">
        <f>=Round(378525.11440000,0)</f>
        <v>#VALUE!</v>
      </c>
      <c r="J8211" s="14" t="e">
        <f>=Round(0.00000000,0)</f>
        <v>#VALUE!</v>
      </c>
    </row>
    <row r="8212">
      <c r="A8212" s="11" t="s">
        <v>39</v>
      </c>
      <c r="B8212" s="12">
        <v>1266.2701</v>
      </c>
      <c r="C8212" s="12">
        <v>0</v>
      </c>
      <c r="D8212" s="13">
        <v>0</v>
      </c>
      <c r="E8212" s="12">
        <v>0</v>
      </c>
      <c r="F8212" s="14">
        <v>0</v>
      </c>
      <c r="G8212" s="13">
        <v>19979391.5585</v>
      </c>
      <c r="H8212" s="14">
        <v>25299306146.720951</v>
      </c>
      <c r="I8212" s="14" t="e">
        <f>=Round(379042.54250000,0)</f>
        <v>#VALUE!</v>
      </c>
      <c r="J8212" s="14" t="e">
        <f>=Round(0.00000000,0)</f>
        <v>#VALUE!</v>
      </c>
    </row>
    <row r="8213">
      <c r="A8213" s="11" t="s">
        <v>40</v>
      </c>
      <c r="B8213" s="12">
        <v>1266.9583</v>
      </c>
      <c r="C8213" s="12">
        <v>0</v>
      </c>
      <c r="D8213" s="13">
        <v>0</v>
      </c>
      <c r="E8213" s="12">
        <v>0</v>
      </c>
      <c r="F8213" s="14">
        <v>0</v>
      </c>
      <c r="G8213" s="13">
        <v>19979391.5585</v>
      </c>
      <c r="H8213" s="14">
        <v>25313055963.991512</v>
      </c>
      <c r="I8213" s="14" t="e">
        <f>=Round(380180.83010000,0)</f>
        <v>#VALUE!</v>
      </c>
      <c r="J8213" s="14" t="e">
        <f>=Round(0.00000000,0)</f>
        <v>#VALUE!</v>
      </c>
    </row>
    <row r="8214">
      <c r="A8214" s="11" t="s">
        <v>41</v>
      </c>
      <c r="B8214" s="12">
        <v>1266.1038</v>
      </c>
      <c r="C8214" s="12">
        <v>0</v>
      </c>
      <c r="D8214" s="13">
        <v>0</v>
      </c>
      <c r="E8214" s="12">
        <v>0</v>
      </c>
      <c r="F8214" s="14">
        <v>0</v>
      </c>
      <c r="G8214" s="13">
        <v>19979391.5585</v>
      </c>
      <c r="H8214" s="14">
        <v>25295983573.904774</v>
      </c>
      <c r="I8214" s="14" t="e">
        <f>=Round(380387.45300000,0)</f>
        <v>#VALUE!</v>
      </c>
      <c r="J8214" s="14" t="e">
        <f>=Round(0.00000000,0)</f>
        <v>#VALUE!</v>
      </c>
    </row>
    <row r="8215">
      <c r="A8215" s="11" t="s">
        <v>42</v>
      </c>
      <c r="B8215" s="12">
        <v>1266.1038</v>
      </c>
      <c r="C8215" s="12">
        <v>0</v>
      </c>
      <c r="D8215" s="13">
        <v>0</v>
      </c>
      <c r="E8215" s="12">
        <v>0</v>
      </c>
      <c r="F8215" s="14">
        <v>0</v>
      </c>
      <c r="G8215" s="13">
        <v>19979391.5585</v>
      </c>
      <c r="H8215" s="14">
        <v>25295983573.904774</v>
      </c>
      <c r="I8215" s="14" t="e">
        <f>=Round(380130.90070000,0)</f>
        <v>#VALUE!</v>
      </c>
      <c r="J8215" s="14" t="e">
        <f>=Round(0.00000000,0)</f>
        <v>#VALUE!</v>
      </c>
    </row>
    <row r="8216">
      <c r="A8216" s="11" t="s">
        <v>43</v>
      </c>
      <c r="B8216" s="12">
        <v>1266.1038</v>
      </c>
      <c r="C8216" s="12">
        <v>0</v>
      </c>
      <c r="D8216" s="13">
        <v>0</v>
      </c>
      <c r="E8216" s="12">
        <v>0</v>
      </c>
      <c r="F8216" s="14">
        <v>0</v>
      </c>
      <c r="G8216" s="13">
        <v>19979391.5585</v>
      </c>
      <c r="H8216" s="14">
        <v>25295983573.904774</v>
      </c>
      <c r="I8216" s="14" t="e">
        <f>=Round(380130.90070000,0)</f>
        <v>#VALUE!</v>
      </c>
      <c r="J8216" s="14" t="e">
        <f>=Round(0.00000000,0)</f>
        <v>#VALUE!</v>
      </c>
    </row>
    <row r="8217">
      <c r="A8217" s="11" t="s">
        <v>44</v>
      </c>
      <c r="B8217" s="12">
        <v>1267.4076</v>
      </c>
      <c r="C8217" s="12">
        <v>0</v>
      </c>
      <c r="D8217" s="13">
        <v>0</v>
      </c>
      <c r="E8217" s="12">
        <v>0</v>
      </c>
      <c r="F8217" s="14">
        <v>0</v>
      </c>
      <c r="G8217" s="13">
        <v>19979391.5585</v>
      </c>
      <c r="H8217" s="14">
        <v>25322032704.618744</v>
      </c>
      <c r="I8217" s="14" t="e">
        <f>=Round(380130.90070000,0)</f>
        <v>#VALUE!</v>
      </c>
      <c r="J8217" s="14" t="e">
        <f>=Round(0.00000000,0)</f>
        <v>#VALUE!</v>
      </c>
    </row>
    <row r="8218">
      <c r="A8218" s="11" t="s">
        <v>45</v>
      </c>
      <c r="B8218" s="12">
        <v>1270.0303</v>
      </c>
      <c r="C8218" s="12">
        <v>0</v>
      </c>
      <c r="D8218" s="13">
        <v>0</v>
      </c>
      <c r="E8218" s="12">
        <v>0</v>
      </c>
      <c r="F8218" s="14">
        <v>0</v>
      </c>
      <c r="G8218" s="13">
        <v>19979391.5585</v>
      </c>
      <c r="H8218" s="14">
        <v>25374432654.859222</v>
      </c>
      <c r="I8218" s="14" t="e">
        <f>=Round(380522.34940000,0)</f>
        <v>#VALUE!</v>
      </c>
      <c r="J8218" s="14" t="e">
        <f>=Round(0.00000000,0)</f>
        <v>#VALUE!</v>
      </c>
    </row>
    <row r="8219">
      <c r="A8219" s="11" t="s">
        <v>46</v>
      </c>
      <c r="B8219" s="12">
        <v>1271.8189</v>
      </c>
      <c r="C8219" s="12">
        <v>0</v>
      </c>
      <c r="D8219" s="13">
        <v>0</v>
      </c>
      <c r="E8219" s="12">
        <v>0</v>
      </c>
      <c r="F8219" s="14">
        <v>0</v>
      </c>
      <c r="G8219" s="13">
        <v>19979391.5585</v>
      </c>
      <c r="H8219" s="14">
        <v>25410167794.600758</v>
      </c>
      <c r="I8219" s="14" t="e">
        <f>=Round(381309.78030000,0)</f>
        <v>#VALUE!</v>
      </c>
      <c r="J8219" s="14" t="e">
        <f>=Round(0.00000000,0)</f>
        <v>#VALUE!</v>
      </c>
    </row>
    <row r="8220">
      <c r="A8220" s="11" t="s">
        <v>47</v>
      </c>
      <c r="B8220" s="12">
        <v>1271.8524</v>
      </c>
      <c r="C8220" s="12">
        <v>0</v>
      </c>
      <c r="D8220" s="13">
        <v>0</v>
      </c>
      <c r="E8220" s="12">
        <v>0</v>
      </c>
      <c r="F8220" s="14">
        <v>0</v>
      </c>
      <c r="G8220" s="13">
        <v>19979391.5585</v>
      </c>
      <c r="H8220" s="14">
        <v>25410837104.217964</v>
      </c>
      <c r="I8220" s="14" t="e">
        <f>=Round(381846.78380000,0)</f>
        <v>#VALUE!</v>
      </c>
      <c r="J8220" s="14" t="e">
        <f>=Round(0.00000000,0)</f>
        <v>#VALUE!</v>
      </c>
    </row>
    <row r="8221">
      <c r="A8221" s="11" t="s">
        <v>48</v>
      </c>
      <c r="B8221" s="12">
        <v>1271.4146</v>
      </c>
      <c r="C8221" s="12">
        <v>0</v>
      </c>
      <c r="D8221" s="13">
        <v>0</v>
      </c>
      <c r="E8221" s="12">
        <v>0</v>
      </c>
      <c r="F8221" s="14">
        <v>0</v>
      </c>
      <c r="G8221" s="13">
        <v>19979391.5585</v>
      </c>
      <c r="H8221" s="14">
        <v>25402090126.593655</v>
      </c>
      <c r="I8221" s="14" t="e">
        <f>=Round(381856.84170000,0)</f>
        <v>#VALUE!</v>
      </c>
      <c r="J8221" s="14" t="e">
        <f>=Round(0.00000000,0)</f>
        <v>#VALUE!</v>
      </c>
    </row>
    <row r="8222">
      <c r="A8222" s="11" t="s">
        <v>49</v>
      </c>
      <c r="B8222" s="12">
        <v>1271.4146</v>
      </c>
      <c r="C8222" s="12">
        <v>0</v>
      </c>
      <c r="D8222" s="13">
        <v>0</v>
      </c>
      <c r="E8222" s="12">
        <v>0</v>
      </c>
      <c r="F8222" s="14">
        <v>0</v>
      </c>
      <c r="G8222" s="13">
        <v>19979391.5585</v>
      </c>
      <c r="H8222" s="14">
        <v>25402090126.593655</v>
      </c>
      <c r="I8222" s="14" t="e">
        <f>=Round(381725.39810000,0)</f>
        <v>#VALUE!</v>
      </c>
      <c r="J8222" s="14" t="e">
        <f>=Round(0.00000000,0)</f>
        <v>#VALUE!</v>
      </c>
    </row>
    <row r="8223">
      <c r="A8223" s="11" t="s">
        <v>50</v>
      </c>
      <c r="B8223" s="12">
        <v>1271.4146</v>
      </c>
      <c r="C8223" s="12">
        <v>0</v>
      </c>
      <c r="D8223" s="13">
        <v>0</v>
      </c>
      <c r="E8223" s="12">
        <v>0</v>
      </c>
      <c r="F8223" s="14">
        <v>0</v>
      </c>
      <c r="G8223" s="13">
        <v>19979391.5585</v>
      </c>
      <c r="H8223" s="14">
        <v>25402090126.593655</v>
      </c>
      <c r="I8223" s="14" t="e">
        <f>=Round(381725.39810000,0)</f>
        <v>#VALUE!</v>
      </c>
      <c r="J8223" s="14" t="e">
        <f>=Round(0.00000000,0)</f>
        <v>#VALUE!</v>
      </c>
    </row>
    <row r="8224">
      <c r="A8224" s="11" t="s">
        <v>51</v>
      </c>
      <c r="B8224" s="12">
        <v>1268.7515</v>
      </c>
      <c r="C8224" s="12">
        <v>0</v>
      </c>
      <c r="D8224" s="13">
        <v>0</v>
      </c>
      <c r="E8224" s="12">
        <v>0</v>
      </c>
      <c r="F8224" s="14">
        <v>0</v>
      </c>
      <c r="G8224" s="13">
        <v>19979391.5585</v>
      </c>
      <c r="H8224" s="14">
        <v>25348883008.934212</v>
      </c>
      <c r="I8224" s="14" t="e">
        <f>=Round(381725.39810000,0)</f>
        <v>#VALUE!</v>
      </c>
      <c r="J8224" s="14" t="e">
        <f>=Round(0.00000000,0)</f>
        <v>#VALUE!</v>
      </c>
    </row>
    <row r="8225">
      <c r="A8225" s="11" t="s">
        <v>52</v>
      </c>
      <c r="B8225" s="12">
        <v>1268.7071</v>
      </c>
      <c r="C8225" s="12">
        <v>0</v>
      </c>
      <c r="D8225" s="13">
        <v>0</v>
      </c>
      <c r="E8225" s="12">
        <v>0</v>
      </c>
      <c r="F8225" s="14">
        <v>0</v>
      </c>
      <c r="G8225" s="13">
        <v>19979391.5585</v>
      </c>
      <c r="H8225" s="14">
        <v>25347995923.949017</v>
      </c>
      <c r="I8225" s="14" t="e">
        <f>=Round(380925.83760000,0)</f>
        <v>#VALUE!</v>
      </c>
      <c r="J8225" s="14" t="e">
        <f>=Round(0.00000000,0)</f>
        <v>#VALUE!</v>
      </c>
    </row>
    <row r="8226">
      <c r="A8226" s="11" t="s">
        <v>53</v>
      </c>
      <c r="B8226" s="12">
        <v>1263.6206</v>
      </c>
      <c r="C8226" s="12">
        <v>0</v>
      </c>
      <c r="D8226" s="13">
        <v>0</v>
      </c>
      <c r="E8226" s="12">
        <v>0</v>
      </c>
      <c r="F8226" s="14">
        <v>0</v>
      </c>
      <c r="G8226" s="13">
        <v>19979391.5585</v>
      </c>
      <c r="H8226" s="14">
        <v>25246370748.786705</v>
      </c>
      <c r="I8226" s="14" t="e">
        <f>=Round(380912.50710000,0)</f>
        <v>#VALUE!</v>
      </c>
      <c r="J8226" s="14" t="e">
        <f>=Round(0.00000000,0)</f>
        <v>#VALUE!</v>
      </c>
    </row>
    <row r="8227">
      <c r="A8227" s="11" t="s">
        <v>54</v>
      </c>
      <c r="B8227" s="12">
        <v>1248.7736</v>
      </c>
      <c r="C8227" s="12">
        <v>0</v>
      </c>
      <c r="D8227" s="13">
        <v>0</v>
      </c>
      <c r="E8227" s="12">
        <v>0</v>
      </c>
      <c r="F8227" s="14">
        <v>0</v>
      </c>
      <c r="G8227" s="13">
        <v>19979391.5585</v>
      </c>
      <c r="H8227" s="14">
        <v>24949736722.317657</v>
      </c>
      <c r="I8227" s="14" t="e">
        <f>=Round(379385.35280000,0)</f>
        <v>#VALUE!</v>
      </c>
      <c r="J8227" s="14" t="e">
        <f>=Round(0.00000000,0)</f>
        <v>#VALUE!</v>
      </c>
    </row>
    <row r="8228">
      <c r="A8228" s="11" t="s">
        <v>55</v>
      </c>
      <c r="B8228" s="12">
        <v>1235.2708</v>
      </c>
      <c r="C8228" s="12">
        <v>0</v>
      </c>
      <c r="D8228" s="13">
        <v>0</v>
      </c>
      <c r="E8228" s="12">
        <v>0</v>
      </c>
      <c r="F8228" s="14">
        <v>0</v>
      </c>
      <c r="G8228" s="13">
        <v>19979391.5585</v>
      </c>
      <c r="H8228" s="14">
        <v>24679958993.981544</v>
      </c>
      <c r="I8228" s="14" t="e">
        <f>=Round(374927.73760000,0)</f>
        <v>#VALUE!</v>
      </c>
      <c r="J8228" s="14" t="e">
        <f>=Round(0.00000000,0)</f>
        <v>#VALUE!</v>
      </c>
    </row>
    <row r="8229" ht="-1">
      <c r="A8229" s="15"/>
      <c r="B8229" s="16" t="s">
        <v>56</v>
      </c>
      <c r="C8229" s="15"/>
      <c r="D8229" s="15"/>
      <c r="E8229" s="15"/>
      <c r="F8229" s="15"/>
      <c r="G8229" s="15"/>
      <c r="H8229" s="15"/>
      <c r="I8229" s="17" t="e">
        <f>=Round(SUM(I8203:I8228),0)</f>
        <v>#VALUE!</v>
      </c>
      <c r="J8229" s="17" t="e">
        <f>=Round(SUM(J8203:J8228),0)</f>
        <v>#VALUE!</v>
      </c>
    </row>
    <row r="8230">
      <c r="A8230" s="1" t="s">
        <v>0</v>
      </c>
      <c r="B8230" s="1"/>
      <c r="C8230" s="1"/>
      <c r="D8230" s="1"/>
    </row>
    <row r="8231">
      <c r="A8231" s="0" t="s">
        <v>1</v>
      </c>
      <c r="C8231" s="0" t="s">
        <v>274</v>
      </c>
      <c r="H8231" s="2" t="s">
        <v>3</v>
      </c>
    </row>
    <row r="8232">
      <c r="A8232" s="0" t="s">
        <v>4</v>
      </c>
      <c r="C8232" s="0" t="s">
        <v>175</v>
      </c>
      <c r="H8232" s="3" t="s">
        <v>6</v>
      </c>
    </row>
    <row r="8233">
      <c r="A8233" s="0" t="s">
        <v>7</v>
      </c>
      <c r="C8233" s="4" t="s">
        <v>146</v>
      </c>
      <c r="H8233" s="2" t="s">
        <v>9</v>
      </c>
    </row>
    <row r="8234">
      <c r="A8234" s="0" t="s">
        <v>10</v>
      </c>
      <c r="C8234" s="4" t="s">
        <v>11</v>
      </c>
      <c r="H8234" s="2" t="s">
        <v>12</v>
      </c>
    </row>
    <row r="8235">
      <c r="A8235" s="0" t="s">
        <v>13</v>
      </c>
      <c r="C8235" s="0" t="s">
        <v>14</v>
      </c>
    </row>
    <row r="8236">
      <c r="A8236" s="0" t="s">
        <v>15</v>
      </c>
      <c r="C8236" s="0" t="s">
        <v>16</v>
      </c>
    </row>
    <row r="8237">
      <c r="A8237" s="0" t="s">
        <v>17</v>
      </c>
      <c r="C8237" s="0" t="s">
        <v>18</v>
      </c>
    </row>
    <row r="8240">
      <c r="A8240" s="5" t="s">
        <v>19</v>
      </c>
      <c r="B8240" s="5" t="s">
        <v>20</v>
      </c>
      <c r="C8240" s="7" t="s">
        <v>21</v>
      </c>
      <c r="D8240" s="9"/>
      <c r="E8240" s="7" t="s">
        <v>22</v>
      </c>
      <c r="F8240" s="9"/>
      <c r="G8240" s="5" t="s">
        <v>23</v>
      </c>
      <c r="H8240" s="5" t="s">
        <v>24</v>
      </c>
      <c r="I8240" s="5" t="s">
        <v>147</v>
      </c>
      <c r="J8240" s="5" t="s">
        <v>26</v>
      </c>
    </row>
    <row r="8241">
      <c r="A8241" s="6"/>
      <c r="B8241" s="6"/>
      <c r="C8241" s="8" t="s">
        <v>27</v>
      </c>
      <c r="D8241" s="8" t="s">
        <v>28</v>
      </c>
      <c r="E8241" s="8" t="s">
        <v>27</v>
      </c>
      <c r="F8241" s="8" t="s">
        <v>28</v>
      </c>
      <c r="G8241" s="6"/>
      <c r="H8241" s="6"/>
      <c r="I8241" s="10" t="s">
        <v>29</v>
      </c>
      <c r="J8241" s="6"/>
    </row>
    <row r="8242">
      <c r="A8242" s="11" t="s">
        <v>30</v>
      </c>
      <c r="B8242" s="12">
        <v>1248.9282</v>
      </c>
      <c r="C8242" s="12">
        <v>0</v>
      </c>
      <c r="D8242" s="13">
        <v>0</v>
      </c>
      <c r="E8242" s="12">
        <v>0</v>
      </c>
      <c r="F8242" s="14">
        <v>0</v>
      </c>
      <c r="G8242" s="13">
        <v>3479472.5894</v>
      </c>
      <c r="H8242" s="14">
        <v>4345611438.0286808</v>
      </c>
      <c r="I8242" s="14" t="e">
        <f>=Round(65461.60610000,0)</f>
        <v>#VALUE!</v>
      </c>
      <c r="J8242" s="14" t="e">
        <f>=Round(0.00000000,0)</f>
        <v>#VALUE!</v>
      </c>
    </row>
    <row r="8243">
      <c r="A8243" s="11" t="s">
        <v>31</v>
      </c>
      <c r="B8243" s="12">
        <v>1256.528</v>
      </c>
      <c r="C8243" s="12">
        <v>0</v>
      </c>
      <c r="D8243" s="13">
        <v>0</v>
      </c>
      <c r="E8243" s="12">
        <v>0</v>
      </c>
      <c r="F8243" s="14">
        <v>0</v>
      </c>
      <c r="G8243" s="13">
        <v>3479472.5894</v>
      </c>
      <c r="H8243" s="14">
        <v>4372054733.8136034</v>
      </c>
      <c r="I8243" s="14" t="e">
        <f>=Round(65302.90410000,0)</f>
        <v>#VALUE!</v>
      </c>
      <c r="J8243" s="14" t="e">
        <f>=Round(0.00000000,0)</f>
        <v>#VALUE!</v>
      </c>
    </row>
    <row r="8244">
      <c r="A8244" s="11" t="s">
        <v>32</v>
      </c>
      <c r="B8244" s="12">
        <v>1254.6375</v>
      </c>
      <c r="C8244" s="12">
        <v>0</v>
      </c>
      <c r="D8244" s="13">
        <v>0</v>
      </c>
      <c r="E8244" s="12">
        <v>0</v>
      </c>
      <c r="F8244" s="14">
        <v>0</v>
      </c>
      <c r="G8244" s="13">
        <v>3479472.5894</v>
      </c>
      <c r="H8244" s="14">
        <v>4365476790.8833427</v>
      </c>
      <c r="I8244" s="14" t="e">
        <f>=Round(65700.27610000,0)</f>
        <v>#VALUE!</v>
      </c>
      <c r="J8244" s="14" t="e">
        <f>=Round(0.00000000,0)</f>
        <v>#VALUE!</v>
      </c>
    </row>
    <row r="8245">
      <c r="A8245" s="11" t="s">
        <v>33</v>
      </c>
      <c r="B8245" s="12">
        <v>1260.0744</v>
      </c>
      <c r="C8245" s="12">
        <v>0</v>
      </c>
      <c r="D8245" s="13">
        <v>0</v>
      </c>
      <c r="E8245" s="12">
        <v>0</v>
      </c>
      <c r="F8245" s="14">
        <v>0</v>
      </c>
      <c r="G8245" s="13">
        <v>3479472.5894</v>
      </c>
      <c r="H8245" s="14">
        <v>4384394335.4046507</v>
      </c>
      <c r="I8245" s="14" t="e">
        <f>=Round(65601.42720000,0)</f>
        <v>#VALUE!</v>
      </c>
      <c r="J8245" s="14" t="e">
        <f>=Round(0.00000000,0)</f>
        <v>#VALUE!</v>
      </c>
    </row>
    <row r="8246">
      <c r="A8246" s="11" t="s">
        <v>34</v>
      </c>
      <c r="B8246" s="12">
        <v>1262.5315</v>
      </c>
      <c r="C8246" s="12">
        <v>0</v>
      </c>
      <c r="D8246" s="13">
        <v>0</v>
      </c>
      <c r="E8246" s="12">
        <v>0</v>
      </c>
      <c r="F8246" s="14">
        <v>0</v>
      </c>
      <c r="G8246" s="13">
        <v>3479472.5894</v>
      </c>
      <c r="H8246" s="14">
        <v>4392943747.5040665</v>
      </c>
      <c r="I8246" s="14" t="e">
        <f>=Round(65885.70720000,0)</f>
        <v>#VALUE!</v>
      </c>
      <c r="J8246" s="14" t="e">
        <f>=Round(0.00000000,0)</f>
        <v>#VALUE!</v>
      </c>
    </row>
    <row r="8247">
      <c r="A8247" s="11" t="s">
        <v>35</v>
      </c>
      <c r="B8247" s="12">
        <v>1262.5315</v>
      </c>
      <c r="C8247" s="12">
        <v>0</v>
      </c>
      <c r="D8247" s="13">
        <v>0</v>
      </c>
      <c r="E8247" s="12">
        <v>0</v>
      </c>
      <c r="F8247" s="14">
        <v>0</v>
      </c>
      <c r="G8247" s="13">
        <v>3479472.5894</v>
      </c>
      <c r="H8247" s="14">
        <v>4392943747.5040665</v>
      </c>
      <c r="I8247" s="14" t="e">
        <f>=Round(66014.18200000,0)</f>
        <v>#VALUE!</v>
      </c>
      <c r="J8247" s="14" t="e">
        <f>=Round(0.00000000,0)</f>
        <v>#VALUE!</v>
      </c>
    </row>
    <row r="8248">
      <c r="A8248" s="11" t="s">
        <v>36</v>
      </c>
      <c r="B8248" s="12">
        <v>1262.5315</v>
      </c>
      <c r="C8248" s="12">
        <v>0</v>
      </c>
      <c r="D8248" s="13">
        <v>0</v>
      </c>
      <c r="E8248" s="12">
        <v>0</v>
      </c>
      <c r="F8248" s="14">
        <v>0</v>
      </c>
      <c r="G8248" s="13">
        <v>3479472.5894</v>
      </c>
      <c r="H8248" s="14">
        <v>4392943747.5040665</v>
      </c>
      <c r="I8248" s="14" t="e">
        <f>=Round(66014.18200000,0)</f>
        <v>#VALUE!</v>
      </c>
      <c r="J8248" s="14" t="e">
        <f>=Round(0.00000000,0)</f>
        <v>#VALUE!</v>
      </c>
    </row>
    <row r="8249">
      <c r="A8249" s="11" t="s">
        <v>37</v>
      </c>
      <c r="B8249" s="12">
        <v>1260.7554</v>
      </c>
      <c r="C8249" s="12">
        <v>0</v>
      </c>
      <c r="D8249" s="13">
        <v>0</v>
      </c>
      <c r="E8249" s="12">
        <v>0</v>
      </c>
      <c r="F8249" s="14">
        <v>0</v>
      </c>
      <c r="G8249" s="13">
        <v>3479472.5894</v>
      </c>
      <c r="H8249" s="14">
        <v>4386763856.2380333</v>
      </c>
      <c r="I8249" s="14" t="e">
        <f>=Round(66014.18200000,0)</f>
        <v>#VALUE!</v>
      </c>
      <c r="J8249" s="14" t="e">
        <f>=Round(0.00000000,0)</f>
        <v>#VALUE!</v>
      </c>
    </row>
    <row r="8250">
      <c r="A8250" s="11" t="s">
        <v>38</v>
      </c>
      <c r="B8250" s="12">
        <v>1262.4788</v>
      </c>
      <c r="C8250" s="12">
        <v>0</v>
      </c>
      <c r="D8250" s="13">
        <v>0</v>
      </c>
      <c r="E8250" s="12">
        <v>0</v>
      </c>
      <c r="F8250" s="14">
        <v>0</v>
      </c>
      <c r="G8250" s="13">
        <v>3479472.5894</v>
      </c>
      <c r="H8250" s="14">
        <v>4392760379.298605</v>
      </c>
      <c r="I8250" s="14" t="e">
        <f>=Round(65921.31480000,0)</f>
        <v>#VALUE!</v>
      </c>
      <c r="J8250" s="14" t="e">
        <f>=Round(0.00000000,0)</f>
        <v>#VALUE!</v>
      </c>
    </row>
    <row r="8251">
      <c r="A8251" s="11" t="s">
        <v>39</v>
      </c>
      <c r="B8251" s="12">
        <v>1266.2701</v>
      </c>
      <c r="C8251" s="12">
        <v>0</v>
      </c>
      <c r="D8251" s="13">
        <v>0</v>
      </c>
      <c r="E8251" s="12">
        <v>0</v>
      </c>
      <c r="F8251" s="14">
        <v>0</v>
      </c>
      <c r="G8251" s="13">
        <v>3479472.5894</v>
      </c>
      <c r="H8251" s="14">
        <v>4405952103.7267971</v>
      </c>
      <c r="I8251" s="14" t="e">
        <f>=Round(66011.42650000,0)</f>
        <v>#VALUE!</v>
      </c>
      <c r="J8251" s="14" t="e">
        <f>=Round(0.00000000,0)</f>
        <v>#VALUE!</v>
      </c>
    </row>
    <row r="8252">
      <c r="A8252" s="11" t="s">
        <v>40</v>
      </c>
      <c r="B8252" s="12">
        <v>1266.9583</v>
      </c>
      <c r="C8252" s="12">
        <v>0</v>
      </c>
      <c r="D8252" s="13">
        <v>0</v>
      </c>
      <c r="E8252" s="12">
        <v>0</v>
      </c>
      <c r="F8252" s="14">
        <v>0</v>
      </c>
      <c r="G8252" s="13">
        <v>3479472.5894</v>
      </c>
      <c r="H8252" s="14">
        <v>4408346676.7628222</v>
      </c>
      <c r="I8252" s="14" t="e">
        <f>=Round(66209.66280000,0)</f>
        <v>#VALUE!</v>
      </c>
      <c r="J8252" s="14" t="e">
        <f>=Round(0.00000000,0)</f>
        <v>#VALUE!</v>
      </c>
    </row>
    <row r="8253">
      <c r="A8253" s="11" t="s">
        <v>41</v>
      </c>
      <c r="B8253" s="12">
        <v>1266.1038</v>
      </c>
      <c r="C8253" s="12">
        <v>0</v>
      </c>
      <c r="D8253" s="13">
        <v>0</v>
      </c>
      <c r="E8253" s="12">
        <v>0</v>
      </c>
      <c r="F8253" s="14">
        <v>0</v>
      </c>
      <c r="G8253" s="13">
        <v>3479472.5894</v>
      </c>
      <c r="H8253" s="14">
        <v>4405373467.43518</v>
      </c>
      <c r="I8253" s="14" t="e">
        <f>=Round(66245.64680000,0)</f>
        <v>#VALUE!</v>
      </c>
      <c r="J8253" s="14" t="e">
        <f>=Round(0.00000000,0)</f>
        <v>#VALUE!</v>
      </c>
    </row>
    <row r="8254">
      <c r="A8254" s="11" t="s">
        <v>42</v>
      </c>
      <c r="B8254" s="12">
        <v>1266.1038</v>
      </c>
      <c r="C8254" s="12">
        <v>0</v>
      </c>
      <c r="D8254" s="13">
        <v>0</v>
      </c>
      <c r="E8254" s="12">
        <v>0</v>
      </c>
      <c r="F8254" s="14">
        <v>0</v>
      </c>
      <c r="G8254" s="13">
        <v>3479472.5894</v>
      </c>
      <c r="H8254" s="14">
        <v>4405373467.43518</v>
      </c>
      <c r="I8254" s="14" t="e">
        <f>=Round(66200.96740000,0)</f>
        <v>#VALUE!</v>
      </c>
      <c r="J8254" s="14" t="e">
        <f>=Round(0.00000000,0)</f>
        <v>#VALUE!</v>
      </c>
    </row>
    <row r="8255">
      <c r="A8255" s="11" t="s">
        <v>43</v>
      </c>
      <c r="B8255" s="12">
        <v>1266.1038</v>
      </c>
      <c r="C8255" s="12">
        <v>0</v>
      </c>
      <c r="D8255" s="13">
        <v>0</v>
      </c>
      <c r="E8255" s="12">
        <v>0</v>
      </c>
      <c r="F8255" s="14">
        <v>0</v>
      </c>
      <c r="G8255" s="13">
        <v>3479472.5894</v>
      </c>
      <c r="H8255" s="14">
        <v>4405373467.43518</v>
      </c>
      <c r="I8255" s="14" t="e">
        <f>=Round(66200.96740000,0)</f>
        <v>#VALUE!</v>
      </c>
      <c r="J8255" s="14" t="e">
        <f>=Round(0.00000000,0)</f>
        <v>#VALUE!</v>
      </c>
    </row>
    <row r="8256">
      <c r="A8256" s="11" t="s">
        <v>44</v>
      </c>
      <c r="B8256" s="12">
        <v>1267.4076</v>
      </c>
      <c r="C8256" s="12">
        <v>0</v>
      </c>
      <c r="D8256" s="13">
        <v>0</v>
      </c>
      <c r="E8256" s="12">
        <v>0</v>
      </c>
      <c r="F8256" s="14">
        <v>0</v>
      </c>
      <c r="G8256" s="13">
        <v>3479472.5894</v>
      </c>
      <c r="H8256" s="14">
        <v>4409910003.7972393</v>
      </c>
      <c r="I8256" s="14" t="e">
        <f>=Round(66200.96740000,0)</f>
        <v>#VALUE!</v>
      </c>
      <c r="J8256" s="14" t="e">
        <f>=Round(0.00000000,0)</f>
        <v>#VALUE!</v>
      </c>
    </row>
    <row r="8257">
      <c r="A8257" s="11" t="s">
        <v>45</v>
      </c>
      <c r="B8257" s="12">
        <v>1270.0303</v>
      </c>
      <c r="C8257" s="12">
        <v>0</v>
      </c>
      <c r="D8257" s="13">
        <v>0</v>
      </c>
      <c r="E8257" s="12">
        <v>0</v>
      </c>
      <c r="F8257" s="14">
        <v>0</v>
      </c>
      <c r="G8257" s="13">
        <v>3479472.5894</v>
      </c>
      <c r="H8257" s="14">
        <v>4419035616.5574589</v>
      </c>
      <c r="I8257" s="14" t="e">
        <f>=Round(66269.13940000,0)</f>
        <v>#VALUE!</v>
      </c>
      <c r="J8257" s="14" t="e">
        <f>=Round(0.00000000,0)</f>
        <v>#VALUE!</v>
      </c>
    </row>
    <row r="8258">
      <c r="A8258" s="11" t="s">
        <v>46</v>
      </c>
      <c r="B8258" s="12">
        <v>1271.8189</v>
      </c>
      <c r="C8258" s="12">
        <v>0</v>
      </c>
      <c r="D8258" s="13">
        <v>0</v>
      </c>
      <c r="E8258" s="12">
        <v>0</v>
      </c>
      <c r="F8258" s="14">
        <v>0</v>
      </c>
      <c r="G8258" s="13">
        <v>3479472.5894</v>
      </c>
      <c r="H8258" s="14">
        <v>4425259001.23086</v>
      </c>
      <c r="I8258" s="14" t="e">
        <f>=Round(66406.27290000,0)</f>
        <v>#VALUE!</v>
      </c>
      <c r="J8258" s="14" t="e">
        <f>=Round(0.00000000,0)</f>
        <v>#VALUE!</v>
      </c>
    </row>
    <row r="8259">
      <c r="A8259" s="11" t="s">
        <v>47</v>
      </c>
      <c r="B8259" s="12">
        <v>1271.8524</v>
      </c>
      <c r="C8259" s="12">
        <v>0</v>
      </c>
      <c r="D8259" s="13">
        <v>0</v>
      </c>
      <c r="E8259" s="12">
        <v>0</v>
      </c>
      <c r="F8259" s="14">
        <v>0</v>
      </c>
      <c r="G8259" s="13">
        <v>3479472.5894</v>
      </c>
      <c r="H8259" s="14">
        <v>4425375563.5626049</v>
      </c>
      <c r="I8259" s="14" t="e">
        <f>=Round(66499.79370000,0)</f>
        <v>#VALUE!</v>
      </c>
      <c r="J8259" s="14" t="e">
        <f>=Round(0.00000000,0)</f>
        <v>#VALUE!</v>
      </c>
    </row>
    <row r="8260">
      <c r="A8260" s="11" t="s">
        <v>48</v>
      </c>
      <c r="B8260" s="12">
        <v>1271.4146</v>
      </c>
      <c r="C8260" s="12">
        <v>0</v>
      </c>
      <c r="D8260" s="13">
        <v>0</v>
      </c>
      <c r="E8260" s="12">
        <v>0</v>
      </c>
      <c r="F8260" s="14">
        <v>0</v>
      </c>
      <c r="G8260" s="13">
        <v>3479472.5894</v>
      </c>
      <c r="H8260" s="14">
        <v>4423852250.462965</v>
      </c>
      <c r="I8260" s="14" t="e">
        <f>=Round(66501.54540000,0)</f>
        <v>#VALUE!</v>
      </c>
      <c r="J8260" s="14" t="e">
        <f>=Round(0.00000000,0)</f>
        <v>#VALUE!</v>
      </c>
    </row>
    <row r="8261">
      <c r="A8261" s="11" t="s">
        <v>49</v>
      </c>
      <c r="B8261" s="12">
        <v>1271.4146</v>
      </c>
      <c r="C8261" s="12">
        <v>0</v>
      </c>
      <c r="D8261" s="13">
        <v>0</v>
      </c>
      <c r="E8261" s="12">
        <v>0</v>
      </c>
      <c r="F8261" s="14">
        <v>0</v>
      </c>
      <c r="G8261" s="13">
        <v>3479472.5894</v>
      </c>
      <c r="H8261" s="14">
        <v>4423852250.462965</v>
      </c>
      <c r="I8261" s="14" t="e">
        <f>=Round(66478.65400000,0)</f>
        <v>#VALUE!</v>
      </c>
      <c r="J8261" s="14" t="e">
        <f>=Round(0.00000000,0)</f>
        <v>#VALUE!</v>
      </c>
    </row>
    <row r="8262">
      <c r="A8262" s="11" t="s">
        <v>50</v>
      </c>
      <c r="B8262" s="12">
        <v>1271.4146</v>
      </c>
      <c r="C8262" s="12">
        <v>0</v>
      </c>
      <c r="D8262" s="13">
        <v>0</v>
      </c>
      <c r="E8262" s="12">
        <v>0</v>
      </c>
      <c r="F8262" s="14">
        <v>0</v>
      </c>
      <c r="G8262" s="13">
        <v>3479472.5894</v>
      </c>
      <c r="H8262" s="14">
        <v>4423852250.462965</v>
      </c>
      <c r="I8262" s="14" t="e">
        <f>=Round(66478.65400000,0)</f>
        <v>#VALUE!</v>
      </c>
      <c r="J8262" s="14" t="e">
        <f>=Round(0.00000000,0)</f>
        <v>#VALUE!</v>
      </c>
    </row>
    <row r="8263">
      <c r="A8263" s="11" t="s">
        <v>51</v>
      </c>
      <c r="B8263" s="12">
        <v>1268.7515</v>
      </c>
      <c r="C8263" s="12">
        <v>0</v>
      </c>
      <c r="D8263" s="13">
        <v>0</v>
      </c>
      <c r="E8263" s="12">
        <v>0</v>
      </c>
      <c r="F8263" s="14">
        <v>0</v>
      </c>
      <c r="G8263" s="13">
        <v>3479472.5894</v>
      </c>
      <c r="H8263" s="14">
        <v>4414586067.0101337</v>
      </c>
      <c r="I8263" s="14" t="e">
        <f>=Round(66478.65400000,0)</f>
        <v>#VALUE!</v>
      </c>
      <c r="J8263" s="14" t="e">
        <f>=Round(0.00000000,0)</f>
        <v>#VALUE!</v>
      </c>
    </row>
    <row r="8264">
      <c r="A8264" s="11" t="s">
        <v>52</v>
      </c>
      <c r="B8264" s="12">
        <v>1268.7071</v>
      </c>
      <c r="C8264" s="12">
        <v>0</v>
      </c>
      <c r="D8264" s="13">
        <v>0</v>
      </c>
      <c r="E8264" s="12">
        <v>0</v>
      </c>
      <c r="F8264" s="14">
        <v>0</v>
      </c>
      <c r="G8264" s="13">
        <v>3479472.5894</v>
      </c>
      <c r="H8264" s="14">
        <v>4414431578.427165</v>
      </c>
      <c r="I8264" s="14" t="e">
        <f>=Round(66339.40810000,0)</f>
        <v>#VALUE!</v>
      </c>
      <c r="J8264" s="14" t="e">
        <f>=Round(0.00000000,0)</f>
        <v>#VALUE!</v>
      </c>
    </row>
    <row r="8265">
      <c r="A8265" s="11" t="s">
        <v>53</v>
      </c>
      <c r="B8265" s="12">
        <v>1263.6206</v>
      </c>
      <c r="C8265" s="12">
        <v>0</v>
      </c>
      <c r="D8265" s="13">
        <v>0</v>
      </c>
      <c r="E8265" s="12">
        <v>0</v>
      </c>
      <c r="F8265" s="14">
        <v>0</v>
      </c>
      <c r="G8265" s="13">
        <v>3479472.5894</v>
      </c>
      <c r="H8265" s="14">
        <v>4396733241.101182</v>
      </c>
      <c r="I8265" s="14" t="e">
        <f>=Round(66337.08660000,0)</f>
        <v>#VALUE!</v>
      </c>
      <c r="J8265" s="14" t="e">
        <f>=Round(0.00000000,0)</f>
        <v>#VALUE!</v>
      </c>
    </row>
    <row r="8266">
      <c r="A8266" s="11" t="s">
        <v>54</v>
      </c>
      <c r="B8266" s="12">
        <v>1248.7736</v>
      </c>
      <c r="C8266" s="12">
        <v>0</v>
      </c>
      <c r="D8266" s="13">
        <v>0</v>
      </c>
      <c r="E8266" s="12">
        <v>0</v>
      </c>
      <c r="F8266" s="14">
        <v>0</v>
      </c>
      <c r="G8266" s="13">
        <v>3479472.5894</v>
      </c>
      <c r="H8266" s="14">
        <v>4345073511.56636</v>
      </c>
      <c r="I8266" s="14" t="e">
        <f>=Round(66071.12790000,0)</f>
        <v>#VALUE!</v>
      </c>
      <c r="J8266" s="14" t="e">
        <f>=Round(0.00000000,0)</f>
        <v>#VALUE!</v>
      </c>
    </row>
    <row r="8267">
      <c r="A8267" s="11" t="s">
        <v>55</v>
      </c>
      <c r="B8267" s="12">
        <v>1235.2708</v>
      </c>
      <c r="C8267" s="12">
        <v>0</v>
      </c>
      <c r="D8267" s="13">
        <v>0</v>
      </c>
      <c r="E8267" s="12">
        <v>0</v>
      </c>
      <c r="F8267" s="14">
        <v>0</v>
      </c>
      <c r="G8267" s="13">
        <v>3479472.5894</v>
      </c>
      <c r="H8267" s="14">
        <v>4298090889.08621</v>
      </c>
      <c r="I8267" s="14" t="e">
        <f>=Round(65294.82050000,0)</f>
        <v>#VALUE!</v>
      </c>
      <c r="J8267" s="14" t="e">
        <f>=Round(0.00000000,0)</f>
        <v>#VALUE!</v>
      </c>
    </row>
    <row r="8268" ht="-1">
      <c r="A8268" s="15"/>
      <c r="B8268" s="16" t="s">
        <v>56</v>
      </c>
      <c r="C8268" s="15"/>
      <c r="D8268" s="15"/>
      <c r="E8268" s="15"/>
      <c r="F8268" s="15"/>
      <c r="G8268" s="15"/>
      <c r="H8268" s="15"/>
      <c r="I8268" s="17" t="e">
        <f>=Round(SUM(I8242:I8267),0)</f>
        <v>#VALUE!</v>
      </c>
      <c r="J8268" s="17" t="e">
        <f>=Round(SUM(J8242:J8267),0)</f>
        <v>#VALUE!</v>
      </c>
    </row>
    <row r="8269">
      <c r="A8269" s="1" t="s">
        <v>0</v>
      </c>
      <c r="B8269" s="1"/>
      <c r="C8269" s="1"/>
      <c r="D8269" s="1"/>
    </row>
    <row r="8270">
      <c r="A8270" s="0" t="s">
        <v>1</v>
      </c>
      <c r="C8270" s="0" t="s">
        <v>274</v>
      </c>
      <c r="H8270" s="2" t="s">
        <v>3</v>
      </c>
    </row>
    <row r="8271">
      <c r="A8271" s="0" t="s">
        <v>4</v>
      </c>
      <c r="C8271" s="0" t="s">
        <v>265</v>
      </c>
      <c r="H8271" s="3" t="s">
        <v>6</v>
      </c>
    </row>
    <row r="8272">
      <c r="A8272" s="0" t="s">
        <v>7</v>
      </c>
      <c r="C8272" s="4" t="s">
        <v>146</v>
      </c>
      <c r="H8272" s="2" t="s">
        <v>9</v>
      </c>
    </row>
    <row r="8273">
      <c r="A8273" s="0" t="s">
        <v>10</v>
      </c>
      <c r="C8273" s="4" t="s">
        <v>11</v>
      </c>
      <c r="H8273" s="2" t="s">
        <v>12</v>
      </c>
    </row>
    <row r="8274">
      <c r="A8274" s="0" t="s">
        <v>13</v>
      </c>
      <c r="C8274" s="0" t="s">
        <v>14</v>
      </c>
    </row>
    <row r="8275">
      <c r="A8275" s="0" t="s">
        <v>15</v>
      </c>
      <c r="C8275" s="0" t="s">
        <v>16</v>
      </c>
    </row>
    <row r="8276">
      <c r="A8276" s="0" t="s">
        <v>17</v>
      </c>
      <c r="C8276" s="0" t="s">
        <v>18</v>
      </c>
    </row>
    <row r="8279">
      <c r="A8279" s="5" t="s">
        <v>19</v>
      </c>
      <c r="B8279" s="5" t="s">
        <v>20</v>
      </c>
      <c r="C8279" s="7" t="s">
        <v>21</v>
      </c>
      <c r="D8279" s="9"/>
      <c r="E8279" s="7" t="s">
        <v>22</v>
      </c>
      <c r="F8279" s="9"/>
      <c r="G8279" s="5" t="s">
        <v>23</v>
      </c>
      <c r="H8279" s="5" t="s">
        <v>24</v>
      </c>
      <c r="I8279" s="5" t="s">
        <v>147</v>
      </c>
      <c r="J8279" s="5" t="s">
        <v>26</v>
      </c>
    </row>
    <row r="8280">
      <c r="A8280" s="6"/>
      <c r="B8280" s="6"/>
      <c r="C8280" s="8" t="s">
        <v>27</v>
      </c>
      <c r="D8280" s="8" t="s">
        <v>28</v>
      </c>
      <c r="E8280" s="8" t="s">
        <v>27</v>
      </c>
      <c r="F8280" s="8" t="s">
        <v>28</v>
      </c>
      <c r="G8280" s="6"/>
      <c r="H8280" s="6"/>
      <c r="I8280" s="10" t="s">
        <v>29</v>
      </c>
      <c r="J8280" s="6"/>
    </row>
    <row r="8281">
      <c r="A8281" s="11" t="s">
        <v>30</v>
      </c>
      <c r="B8281" s="12">
        <v>1248.9282</v>
      </c>
      <c r="C8281" s="12">
        <v>0</v>
      </c>
      <c r="D8281" s="13">
        <v>0</v>
      </c>
      <c r="E8281" s="12">
        <v>0</v>
      </c>
      <c r="F8281" s="14">
        <v>0</v>
      </c>
      <c r="G8281" s="13">
        <v>122359592.16409999</v>
      </c>
      <c r="H8281" s="14">
        <v>152818345194.24353</v>
      </c>
      <c r="I8281" s="14" t="e">
        <f>=Round(2302031.47720000,0)</f>
        <v>#VALUE!</v>
      </c>
      <c r="J8281" s="14" t="e">
        <f>=Round(0.00000000,0)</f>
        <v>#VALUE!</v>
      </c>
    </row>
    <row r="8282">
      <c r="A8282" s="11" t="s">
        <v>31</v>
      </c>
      <c r="B8282" s="12">
        <v>1256.528</v>
      </c>
      <c r="C8282" s="12">
        <v>0</v>
      </c>
      <c r="D8282" s="13">
        <v>0</v>
      </c>
      <c r="E8282" s="12">
        <v>0</v>
      </c>
      <c r="F8282" s="14">
        <v>0</v>
      </c>
      <c r="G8282" s="13">
        <v>122359592.16409999</v>
      </c>
      <c r="H8282" s="14">
        <v>153748253622.77225</v>
      </c>
      <c r="I8282" s="14" t="e">
        <f>=Round(2296450.54250000,0)</f>
        <v>#VALUE!</v>
      </c>
      <c r="J8282" s="14" t="e">
        <f>=Round(0.00000000,0)</f>
        <v>#VALUE!</v>
      </c>
    </row>
    <row r="8283">
      <c r="A8283" s="11" t="s">
        <v>32</v>
      </c>
      <c r="B8283" s="12">
        <v>1254.6375</v>
      </c>
      <c r="C8283" s="12">
        <v>0</v>
      </c>
      <c r="D8283" s="13">
        <v>0</v>
      </c>
      <c r="E8283" s="12">
        <v>0</v>
      </c>
      <c r="F8283" s="14">
        <v>0</v>
      </c>
      <c r="G8283" s="13">
        <v>122359592.16409999</v>
      </c>
      <c r="H8283" s="14">
        <v>153516932813.786</v>
      </c>
      <c r="I8283" s="14" t="e">
        <f>=Round(2310424.57630000,0)</f>
        <v>#VALUE!</v>
      </c>
      <c r="J8283" s="14" t="e">
        <f>=Round(0.00000000,0)</f>
        <v>#VALUE!</v>
      </c>
    </row>
    <row r="8284">
      <c r="A8284" s="11" t="s">
        <v>33</v>
      </c>
      <c r="B8284" s="12">
        <v>1260.0744</v>
      </c>
      <c r="C8284" s="12">
        <v>0</v>
      </c>
      <c r="D8284" s="13">
        <v>0</v>
      </c>
      <c r="E8284" s="12">
        <v>0</v>
      </c>
      <c r="F8284" s="14">
        <v>0</v>
      </c>
      <c r="G8284" s="13">
        <v>122359592.16409999</v>
      </c>
      <c r="H8284" s="14">
        <v>154182189680.423</v>
      </c>
      <c r="I8284" s="14" t="e">
        <f>=Round(2306948.44390000,0)</f>
        <v>#VALUE!</v>
      </c>
      <c r="J8284" s="14" t="e">
        <f>=Round(0.00000000,0)</f>
        <v>#VALUE!</v>
      </c>
    </row>
    <row r="8285">
      <c r="A8285" s="11" t="s">
        <v>34</v>
      </c>
      <c r="B8285" s="12">
        <v>1262.5315</v>
      </c>
      <c r="C8285" s="12">
        <v>0</v>
      </c>
      <c r="D8285" s="13">
        <v>0</v>
      </c>
      <c r="E8285" s="12">
        <v>0</v>
      </c>
      <c r="F8285" s="14">
        <v>0</v>
      </c>
      <c r="G8285" s="13">
        <v>122359592.16409999</v>
      </c>
      <c r="H8285" s="14">
        <v>154482839434.32941</v>
      </c>
      <c r="I8285" s="14" t="e">
        <f>=Round(2316945.47330000,0)</f>
        <v>#VALUE!</v>
      </c>
      <c r="J8285" s="14" t="e">
        <f>=Round(0.00000000,0)</f>
        <v>#VALUE!</v>
      </c>
    </row>
    <row r="8286">
      <c r="A8286" s="11" t="s">
        <v>35</v>
      </c>
      <c r="B8286" s="12">
        <v>1262.5315</v>
      </c>
      <c r="C8286" s="12">
        <v>0</v>
      </c>
      <c r="D8286" s="13">
        <v>0</v>
      </c>
      <c r="E8286" s="12">
        <v>0</v>
      </c>
      <c r="F8286" s="14">
        <v>0</v>
      </c>
      <c r="G8286" s="13">
        <v>122359592.16409999</v>
      </c>
      <c r="H8286" s="14">
        <v>154482839434.32941</v>
      </c>
      <c r="I8286" s="14" t="e">
        <f>=Round(2321463.43410000,0)</f>
        <v>#VALUE!</v>
      </c>
      <c r="J8286" s="14" t="e">
        <f>=Round(0.00000000,0)</f>
        <v>#VALUE!</v>
      </c>
    </row>
    <row r="8287">
      <c r="A8287" s="11" t="s">
        <v>36</v>
      </c>
      <c r="B8287" s="12">
        <v>1262.5315</v>
      </c>
      <c r="C8287" s="12">
        <v>0</v>
      </c>
      <c r="D8287" s="13">
        <v>0</v>
      </c>
      <c r="E8287" s="12">
        <v>0</v>
      </c>
      <c r="F8287" s="14">
        <v>0</v>
      </c>
      <c r="G8287" s="13">
        <v>122359592.16409999</v>
      </c>
      <c r="H8287" s="14">
        <v>154482839434.32941</v>
      </c>
      <c r="I8287" s="14" t="e">
        <f>=Round(2321463.43410000,0)</f>
        <v>#VALUE!</v>
      </c>
      <c r="J8287" s="14" t="e">
        <f>=Round(0.00000000,0)</f>
        <v>#VALUE!</v>
      </c>
    </row>
    <row r="8288">
      <c r="A8288" s="11" t="s">
        <v>37</v>
      </c>
      <c r="B8288" s="12">
        <v>1260.7554</v>
      </c>
      <c r="C8288" s="12">
        <v>0</v>
      </c>
      <c r="D8288" s="13">
        <v>0</v>
      </c>
      <c r="E8288" s="12">
        <v>0</v>
      </c>
      <c r="F8288" s="14">
        <v>0</v>
      </c>
      <c r="G8288" s="13">
        <v>122359592.16409999</v>
      </c>
      <c r="H8288" s="14">
        <v>154265516562.68674</v>
      </c>
      <c r="I8288" s="14" t="e">
        <f>=Round(2321463.43410000,0)</f>
        <v>#VALUE!</v>
      </c>
      <c r="J8288" s="14" t="e">
        <f>=Round(0.00000000,0)</f>
        <v>#VALUE!</v>
      </c>
    </row>
    <row r="8289">
      <c r="A8289" s="11" t="s">
        <v>38</v>
      </c>
      <c r="B8289" s="12">
        <v>1262.4788</v>
      </c>
      <c r="C8289" s="12">
        <v>0</v>
      </c>
      <c r="D8289" s="13">
        <v>0</v>
      </c>
      <c r="E8289" s="12">
        <v>0</v>
      </c>
      <c r="F8289" s="14">
        <v>0</v>
      </c>
      <c r="G8289" s="13">
        <v>122359592.16409999</v>
      </c>
      <c r="H8289" s="14">
        <v>154476391083.82236</v>
      </c>
      <c r="I8289" s="14" t="e">
        <f>=Round(2318197.65330000,0)</f>
        <v>#VALUE!</v>
      </c>
      <c r="J8289" s="14" t="e">
        <f>=Round(0.00000000,0)</f>
        <v>#VALUE!</v>
      </c>
    </row>
    <row r="8290">
      <c r="A8290" s="11" t="s">
        <v>39</v>
      </c>
      <c r="B8290" s="12">
        <v>1266.2701</v>
      </c>
      <c r="C8290" s="12">
        <v>0</v>
      </c>
      <c r="D8290" s="13">
        <v>0</v>
      </c>
      <c r="E8290" s="12">
        <v>0</v>
      </c>
      <c r="F8290" s="14">
        <v>0</v>
      </c>
      <c r="G8290" s="13">
        <v>122359592.16409999</v>
      </c>
      <c r="H8290" s="14">
        <v>154940293005.59412</v>
      </c>
      <c r="I8290" s="14" t="e">
        <f>=Round(2321366.53270000,0)</f>
        <v>#VALUE!</v>
      </c>
      <c r="J8290" s="14" t="e">
        <f>=Round(0.00000000,0)</f>
        <v>#VALUE!</v>
      </c>
    </row>
    <row r="8291">
      <c r="A8291" s="11" t="s">
        <v>40</v>
      </c>
      <c r="B8291" s="12">
        <v>1266.9583</v>
      </c>
      <c r="C8291" s="12">
        <v>0</v>
      </c>
      <c r="D8291" s="13">
        <v>0</v>
      </c>
      <c r="E8291" s="12">
        <v>0</v>
      </c>
      <c r="F8291" s="14">
        <v>0</v>
      </c>
      <c r="G8291" s="13">
        <v>122359592.16409999</v>
      </c>
      <c r="H8291" s="14">
        <v>155024500876.92148</v>
      </c>
      <c r="I8291" s="14" t="e">
        <f>=Round(2328337.73640000,0)</f>
        <v>#VALUE!</v>
      </c>
      <c r="J8291" s="14" t="e">
        <f>=Round(0.00000000,0)</f>
        <v>#VALUE!</v>
      </c>
    </row>
    <row r="8292">
      <c r="A8292" s="11" t="s">
        <v>41</v>
      </c>
      <c r="B8292" s="12">
        <v>1266.1038</v>
      </c>
      <c r="C8292" s="12">
        <v>0</v>
      </c>
      <c r="D8292" s="13">
        <v>0</v>
      </c>
      <c r="E8292" s="12">
        <v>0</v>
      </c>
      <c r="F8292" s="14">
        <v>0</v>
      </c>
      <c r="G8292" s="13">
        <v>122359592.16409999</v>
      </c>
      <c r="H8292" s="14">
        <v>154919944605.41724</v>
      </c>
      <c r="I8292" s="14" t="e">
        <f>=Round(2329603.15530000,0)</f>
        <v>#VALUE!</v>
      </c>
      <c r="J8292" s="14" t="e">
        <f>=Round(0.00000000,0)</f>
        <v>#VALUE!</v>
      </c>
    </row>
    <row r="8293">
      <c r="A8293" s="11" t="s">
        <v>42</v>
      </c>
      <c r="B8293" s="12">
        <v>1266.1038</v>
      </c>
      <c r="C8293" s="12">
        <v>0</v>
      </c>
      <c r="D8293" s="13">
        <v>0</v>
      </c>
      <c r="E8293" s="12">
        <v>0</v>
      </c>
      <c r="F8293" s="14">
        <v>0</v>
      </c>
      <c r="G8293" s="13">
        <v>122359592.16409999</v>
      </c>
      <c r="H8293" s="14">
        <v>154919944605.41724</v>
      </c>
      <c r="I8293" s="14" t="e">
        <f>=Round(2328031.95450000,0)</f>
        <v>#VALUE!</v>
      </c>
      <c r="J8293" s="14" t="e">
        <f>=Round(0.00000000,0)</f>
        <v>#VALUE!</v>
      </c>
    </row>
    <row r="8294">
      <c r="A8294" s="11" t="s">
        <v>43</v>
      </c>
      <c r="B8294" s="12">
        <v>1266.1038</v>
      </c>
      <c r="C8294" s="12">
        <v>0</v>
      </c>
      <c r="D8294" s="13">
        <v>0</v>
      </c>
      <c r="E8294" s="12">
        <v>0</v>
      </c>
      <c r="F8294" s="14">
        <v>0</v>
      </c>
      <c r="G8294" s="13">
        <v>122359592.16409999</v>
      </c>
      <c r="H8294" s="14">
        <v>154919944605.41724</v>
      </c>
      <c r="I8294" s="14" t="e">
        <f>=Round(2328031.95450000,0)</f>
        <v>#VALUE!</v>
      </c>
      <c r="J8294" s="14" t="e">
        <f>=Round(0.00000000,0)</f>
        <v>#VALUE!</v>
      </c>
    </row>
    <row r="8295">
      <c r="A8295" s="11" t="s">
        <v>44</v>
      </c>
      <c r="B8295" s="12">
        <v>1267.4076</v>
      </c>
      <c r="C8295" s="12">
        <v>0</v>
      </c>
      <c r="D8295" s="13">
        <v>0</v>
      </c>
      <c r="E8295" s="12">
        <v>0</v>
      </c>
      <c r="F8295" s="14">
        <v>0</v>
      </c>
      <c r="G8295" s="13">
        <v>122359592.16409999</v>
      </c>
      <c r="H8295" s="14">
        <v>155079477041.68079</v>
      </c>
      <c r="I8295" s="14" t="e">
        <f>=Round(2328031.95450000,0)</f>
        <v>#VALUE!</v>
      </c>
      <c r="J8295" s="14" t="e">
        <f>=Round(0.00000000,0)</f>
        <v>#VALUE!</v>
      </c>
    </row>
    <row r="8296">
      <c r="A8296" s="11" t="s">
        <v>45</v>
      </c>
      <c r="B8296" s="12">
        <v>1270.0303</v>
      </c>
      <c r="C8296" s="12">
        <v>0</v>
      </c>
      <c r="D8296" s="13">
        <v>0</v>
      </c>
      <c r="E8296" s="12">
        <v>0</v>
      </c>
      <c r="F8296" s="14">
        <v>0</v>
      </c>
      <c r="G8296" s="13">
        <v>122359592.16409999</v>
      </c>
      <c r="H8296" s="14">
        <v>155400389544.04956</v>
      </c>
      <c r="I8296" s="14" t="e">
        <f>=Round(2330429.29980000,0)</f>
        <v>#VALUE!</v>
      </c>
      <c r="J8296" s="14" t="e">
        <f>=Round(0.00000000,0)</f>
        <v>#VALUE!</v>
      </c>
    </row>
    <row r="8297">
      <c r="A8297" s="11" t="s">
        <v>46</v>
      </c>
      <c r="B8297" s="12">
        <v>1271.8189</v>
      </c>
      <c r="C8297" s="12">
        <v>0</v>
      </c>
      <c r="D8297" s="13">
        <v>0</v>
      </c>
      <c r="E8297" s="12">
        <v>0</v>
      </c>
      <c r="F8297" s="14">
        <v>0</v>
      </c>
      <c r="G8297" s="13">
        <v>122359592.16409999</v>
      </c>
      <c r="H8297" s="14">
        <v>155619241910.59427</v>
      </c>
      <c r="I8297" s="14" t="e">
        <f>=Round(2335251.75540000,0)</f>
        <v>#VALUE!</v>
      </c>
      <c r="J8297" s="14" t="e">
        <f>=Round(0.00000000,0)</f>
        <v>#VALUE!</v>
      </c>
    </row>
    <row r="8298">
      <c r="A8298" s="11" t="s">
        <v>47</v>
      </c>
      <c r="B8298" s="12">
        <v>1271.8524</v>
      </c>
      <c r="C8298" s="12">
        <v>0</v>
      </c>
      <c r="D8298" s="13">
        <v>0</v>
      </c>
      <c r="E8298" s="12">
        <v>0</v>
      </c>
      <c r="F8298" s="14">
        <v>0</v>
      </c>
      <c r="G8298" s="13">
        <v>122359592.16409999</v>
      </c>
      <c r="H8298" s="14">
        <v>155623340956.93176</v>
      </c>
      <c r="I8298" s="14" t="e">
        <f>=Round(2338540.52050000,0)</f>
        <v>#VALUE!</v>
      </c>
      <c r="J8298" s="14" t="e">
        <f>=Round(0.00000000,0)</f>
        <v>#VALUE!</v>
      </c>
    </row>
    <row r="8299">
      <c r="A8299" s="11" t="s">
        <v>48</v>
      </c>
      <c r="B8299" s="12">
        <v>1271.4146</v>
      </c>
      <c r="C8299" s="12">
        <v>0</v>
      </c>
      <c r="D8299" s="13">
        <v>0</v>
      </c>
      <c r="E8299" s="12">
        <v>0</v>
      </c>
      <c r="F8299" s="14">
        <v>0</v>
      </c>
      <c r="G8299" s="13">
        <v>122359592.16409999</v>
      </c>
      <c r="H8299" s="14">
        <v>155569771927.48233</v>
      </c>
      <c r="I8299" s="14" t="e">
        <f>=Round(2338602.11820000,0)</f>
        <v>#VALUE!</v>
      </c>
      <c r="J8299" s="14" t="e">
        <f>=Round(0.00000000,0)</f>
        <v>#VALUE!</v>
      </c>
    </row>
    <row r="8300">
      <c r="A8300" s="11" t="s">
        <v>49</v>
      </c>
      <c r="B8300" s="12">
        <v>1271.4146</v>
      </c>
      <c r="C8300" s="12">
        <v>0</v>
      </c>
      <c r="D8300" s="13">
        <v>0</v>
      </c>
      <c r="E8300" s="12">
        <v>0</v>
      </c>
      <c r="F8300" s="14">
        <v>0</v>
      </c>
      <c r="G8300" s="13">
        <v>122359592.16409999</v>
      </c>
      <c r="H8300" s="14">
        <v>155569771927.48233</v>
      </c>
      <c r="I8300" s="14" t="e">
        <f>=Round(2337797.11910000,0)</f>
        <v>#VALUE!</v>
      </c>
      <c r="J8300" s="14" t="e">
        <f>=Round(0.00000000,0)</f>
        <v>#VALUE!</v>
      </c>
    </row>
    <row r="8301">
      <c r="A8301" s="11" t="s">
        <v>50</v>
      </c>
      <c r="B8301" s="12">
        <v>1271.4146</v>
      </c>
      <c r="C8301" s="12">
        <v>0</v>
      </c>
      <c r="D8301" s="13">
        <v>0</v>
      </c>
      <c r="E8301" s="12">
        <v>0</v>
      </c>
      <c r="F8301" s="14">
        <v>0</v>
      </c>
      <c r="G8301" s="13">
        <v>122359592.16409999</v>
      </c>
      <c r="H8301" s="14">
        <v>155569771927.48233</v>
      </c>
      <c r="I8301" s="14" t="e">
        <f>=Round(2337797.11910000,0)</f>
        <v>#VALUE!</v>
      </c>
      <c r="J8301" s="14" t="e">
        <f>=Round(0.00000000,0)</f>
        <v>#VALUE!</v>
      </c>
    </row>
    <row r="8302">
      <c r="A8302" s="11" t="s">
        <v>51</v>
      </c>
      <c r="B8302" s="12">
        <v>1268.7515</v>
      </c>
      <c r="C8302" s="12">
        <v>0</v>
      </c>
      <c r="D8302" s="13">
        <v>0</v>
      </c>
      <c r="E8302" s="12">
        <v>0</v>
      </c>
      <c r="F8302" s="14">
        <v>0</v>
      </c>
      <c r="G8302" s="13">
        <v>122359592.16409999</v>
      </c>
      <c r="H8302" s="14">
        <v>155243916097.59012</v>
      </c>
      <c r="I8302" s="14" t="e">
        <f>=Round(2337797.11910000,0)</f>
        <v>#VALUE!</v>
      </c>
      <c r="J8302" s="14" t="e">
        <f>=Round(0.00000000,0)</f>
        <v>#VALUE!</v>
      </c>
    </row>
    <row r="8303">
      <c r="A8303" s="11" t="s">
        <v>52</v>
      </c>
      <c r="B8303" s="12">
        <v>1268.7071</v>
      </c>
      <c r="C8303" s="12">
        <v>0</v>
      </c>
      <c r="D8303" s="13">
        <v>0</v>
      </c>
      <c r="E8303" s="12">
        <v>0</v>
      </c>
      <c r="F8303" s="14">
        <v>0</v>
      </c>
      <c r="G8303" s="13">
        <v>122359592.16409999</v>
      </c>
      <c r="H8303" s="14">
        <v>155238483331.69806</v>
      </c>
      <c r="I8303" s="14" t="e">
        <f>=Round(2332900.37850000,0)</f>
        <v>#VALUE!</v>
      </c>
      <c r="J8303" s="14" t="e">
        <f>=Round(0.00000000,0)</f>
        <v>#VALUE!</v>
      </c>
    </row>
    <row r="8304">
      <c r="A8304" s="11" t="s">
        <v>53</v>
      </c>
      <c r="B8304" s="12">
        <v>1263.6206</v>
      </c>
      <c r="C8304" s="12">
        <v>0</v>
      </c>
      <c r="D8304" s="13">
        <v>0</v>
      </c>
      <c r="E8304" s="12">
        <v>122359592.1641</v>
      </c>
      <c r="F8304" s="14">
        <v>154616101266.16</v>
      </c>
      <c r="G8304" s="13">
        <v>122359592.16409999</v>
      </c>
      <c r="H8304" s="14">
        <v>154616101266.15533</v>
      </c>
      <c r="I8304" s="14" t="e">
        <f>=Round(2332818.73860000,0)</f>
        <v>#VALUE!</v>
      </c>
      <c r="J8304" s="14" t="e">
        <f>=Round(0.00000000,0)</f>
        <v>#VALUE!</v>
      </c>
    </row>
    <row r="8305">
      <c r="A8305" s="11" t="s">
        <v>54</v>
      </c>
      <c r="B8305" s="12">
        <v>1248.7736</v>
      </c>
      <c r="C8305" s="12">
        <v>120117850.025</v>
      </c>
      <c r="D8305" s="13">
        <v>150000000000</v>
      </c>
      <c r="E8305" s="12">
        <v>0</v>
      </c>
      <c r="F8305" s="14">
        <v>0</v>
      </c>
      <c r="G8305" s="13">
        <v>0</v>
      </c>
      <c r="H8305" s="14">
        <v>0</v>
      </c>
      <c r="I8305" s="14" t="e">
        <f>=Round(2323466.00260000,0)</f>
        <v>#VALUE!</v>
      </c>
      <c r="J8305" s="14" t="e">
        <f>=Round(0.00000000,0)</f>
        <v>#VALUE!</v>
      </c>
    </row>
    <row r="8306">
      <c r="A8306" s="11" t="s">
        <v>55</v>
      </c>
      <c r="B8306" s="12">
        <v>1235.2708</v>
      </c>
      <c r="C8306" s="12">
        <v>0</v>
      </c>
      <c r="D8306" s="13">
        <v>0</v>
      </c>
      <c r="E8306" s="12">
        <v>0</v>
      </c>
      <c r="F8306" s="14">
        <v>0</v>
      </c>
      <c r="G8306" s="13">
        <v>120117850.02499999</v>
      </c>
      <c r="H8306" s="14">
        <v>148378072694.66177</v>
      </c>
      <c r="I8306" s="14" t="e">
        <f>=Round(0.00000000,0)</f>
        <v>#VALUE!</v>
      </c>
      <c r="J8306" s="14" t="e">
        <f>=Round(0.00000000,0)</f>
        <v>#VALUE!</v>
      </c>
    </row>
    <row r="8307" ht="-1">
      <c r="A8307" s="15"/>
      <c r="B8307" s="16" t="s">
        <v>56</v>
      </c>
      <c r="C8307" s="15"/>
      <c r="D8307" s="15"/>
      <c r="E8307" s="15"/>
      <c r="F8307" s="15"/>
      <c r="G8307" s="15"/>
      <c r="H8307" s="15"/>
      <c r="I8307" s="17" t="e">
        <f>=Round(SUM(I8281:I8306),0)</f>
        <v>#VALUE!</v>
      </c>
      <c r="J8307" s="17" t="e">
        <f>=Round(SUM(J8281:J8306),0)</f>
        <v>#VALUE!</v>
      </c>
    </row>
    <row r="8308">
      <c r="A8308" s="1" t="s">
        <v>0</v>
      </c>
      <c r="B8308" s="1"/>
      <c r="C8308" s="1"/>
      <c r="D8308" s="1"/>
    </row>
    <row r="8309">
      <c r="A8309" s="0" t="s">
        <v>1</v>
      </c>
      <c r="C8309" s="0" t="s">
        <v>274</v>
      </c>
      <c r="H8309" s="2" t="s">
        <v>3</v>
      </c>
    </row>
    <row r="8310">
      <c r="A8310" s="0" t="s">
        <v>4</v>
      </c>
      <c r="C8310" s="0" t="s">
        <v>127</v>
      </c>
      <c r="H8310" s="3" t="s">
        <v>6</v>
      </c>
    </row>
    <row r="8311">
      <c r="A8311" s="0" t="s">
        <v>7</v>
      </c>
      <c r="C8311" s="4" t="s">
        <v>146</v>
      </c>
      <c r="H8311" s="2" t="s">
        <v>9</v>
      </c>
    </row>
    <row r="8312">
      <c r="A8312" s="0" t="s">
        <v>10</v>
      </c>
      <c r="C8312" s="4" t="s">
        <v>124</v>
      </c>
      <c r="H8312" s="2" t="s">
        <v>12</v>
      </c>
    </row>
    <row r="8313">
      <c r="A8313" s="0" t="s">
        <v>13</v>
      </c>
      <c r="C8313" s="0" t="s">
        <v>14</v>
      </c>
    </row>
    <row r="8314">
      <c r="A8314" s="0" t="s">
        <v>15</v>
      </c>
      <c r="C8314" s="0" t="s">
        <v>16</v>
      </c>
    </row>
    <row r="8315">
      <c r="A8315" s="0" t="s">
        <v>17</v>
      </c>
      <c r="C8315" s="0" t="s">
        <v>18</v>
      </c>
    </row>
    <row r="8318">
      <c r="A8318" s="5" t="s">
        <v>19</v>
      </c>
      <c r="B8318" s="5" t="s">
        <v>20</v>
      </c>
      <c r="C8318" s="7" t="s">
        <v>21</v>
      </c>
      <c r="D8318" s="9"/>
      <c r="E8318" s="7" t="s">
        <v>22</v>
      </c>
      <c r="F8318" s="9"/>
      <c r="G8318" s="5" t="s">
        <v>23</v>
      </c>
      <c r="H8318" s="5" t="s">
        <v>24</v>
      </c>
      <c r="I8318" s="5" t="s">
        <v>147</v>
      </c>
      <c r="J8318" s="5" t="s">
        <v>125</v>
      </c>
    </row>
    <row r="8319">
      <c r="A8319" s="6"/>
      <c r="B8319" s="6"/>
      <c r="C8319" s="8" t="s">
        <v>27</v>
      </c>
      <c r="D8319" s="8" t="s">
        <v>28</v>
      </c>
      <c r="E8319" s="8" t="s">
        <v>27</v>
      </c>
      <c r="F8319" s="8" t="s">
        <v>28</v>
      </c>
      <c r="G8319" s="6"/>
      <c r="H8319" s="6"/>
      <c r="I8319" s="10" t="s">
        <v>29</v>
      </c>
      <c r="J8319" s="6"/>
    </row>
    <row r="8320">
      <c r="A8320" s="11" t="s">
        <v>30</v>
      </c>
      <c r="B8320" s="12">
        <v>1248.9282</v>
      </c>
      <c r="C8320" s="12">
        <v>360.3089</v>
      </c>
      <c r="D8320" s="13">
        <v>450000</v>
      </c>
      <c r="E8320" s="12">
        <v>0</v>
      </c>
      <c r="F8320" s="14">
        <v>0</v>
      </c>
      <c r="G8320" s="13">
        <v>443311.2955</v>
      </c>
      <c r="H8320" s="14">
        <v>553663978.328483</v>
      </c>
      <c r="I8320" s="14" t="e">
        <f>=Round(8340.30690000,0)</f>
        <v>#VALUE!</v>
      </c>
      <c r="J8320" s="14" t="e">
        <f>=Round(3791.04480000,0)</f>
        <v>#VALUE!</v>
      </c>
    </row>
    <row r="8321">
      <c r="A8321" s="11" t="s">
        <v>31</v>
      </c>
      <c r="B8321" s="12">
        <v>1256.528</v>
      </c>
      <c r="C8321" s="12">
        <v>0</v>
      </c>
      <c r="D8321" s="13">
        <v>0</v>
      </c>
      <c r="E8321" s="12">
        <v>0</v>
      </c>
      <c r="F8321" s="14">
        <v>0</v>
      </c>
      <c r="G8321" s="13">
        <v>443671.6044</v>
      </c>
      <c r="H8321" s="14">
        <v>557485793.733523</v>
      </c>
      <c r="I8321" s="14" t="e">
        <f>=Round(8320.08710000,0)</f>
        <v>#VALUE!</v>
      </c>
      <c r="J8321" s="14" t="e">
        <f>=Round(3781.85400000,0)</f>
        <v>#VALUE!</v>
      </c>
    </row>
    <row r="8322">
      <c r="A8322" s="11" t="s">
        <v>32</v>
      </c>
      <c r="B8322" s="12">
        <v>1254.6375</v>
      </c>
      <c r="C8322" s="12">
        <v>159.4086</v>
      </c>
      <c r="D8322" s="13">
        <v>200000</v>
      </c>
      <c r="E8322" s="12">
        <v>3170.2804</v>
      </c>
      <c r="F8322" s="14">
        <v>3977552.68</v>
      </c>
      <c r="G8322" s="13">
        <v>443671.6044</v>
      </c>
      <c r="H8322" s="14">
        <v>556647032.565405</v>
      </c>
      <c r="I8322" s="14" t="e">
        <f>=Round(8377.51880000,0)</f>
        <v>#VALUE!</v>
      </c>
      <c r="J8322" s="14" t="e">
        <f>=Round(3807.95930000,0)</f>
        <v>#VALUE!</v>
      </c>
    </row>
    <row r="8323">
      <c r="A8323" s="11" t="s">
        <v>33</v>
      </c>
      <c r="B8323" s="12">
        <v>1260.0744</v>
      </c>
      <c r="C8323" s="12">
        <v>0</v>
      </c>
      <c r="D8323" s="13">
        <v>0</v>
      </c>
      <c r="E8323" s="12">
        <v>0</v>
      </c>
      <c r="F8323" s="14">
        <v>0</v>
      </c>
      <c r="G8323" s="13">
        <v>440660.7326</v>
      </c>
      <c r="H8323" s="14">
        <v>555265308.234505</v>
      </c>
      <c r="I8323" s="14" t="e">
        <f>=Round(8364.91440000,0)</f>
        <v>#VALUE!</v>
      </c>
      <c r="J8323" s="14" t="e">
        <f>=Round(3802.23000000,0)</f>
        <v>#VALUE!</v>
      </c>
    </row>
    <row r="8324">
      <c r="A8324" s="11" t="s">
        <v>34</v>
      </c>
      <c r="B8324" s="12">
        <v>1262.5315</v>
      </c>
      <c r="C8324" s="12">
        <v>43888.0139</v>
      </c>
      <c r="D8324" s="13">
        <v>55410000</v>
      </c>
      <c r="E8324" s="12">
        <v>0</v>
      </c>
      <c r="F8324" s="14">
        <v>0</v>
      </c>
      <c r="G8324" s="13">
        <v>440660.7326</v>
      </c>
      <c r="H8324" s="14">
        <v>556348055.720577</v>
      </c>
      <c r="I8324" s="14" t="e">
        <f>=Round(8344.15080000,0)</f>
        <v>#VALUE!</v>
      </c>
      <c r="J8324" s="14" t="e">
        <f>=Round(3792.79200000,0)</f>
        <v>#VALUE!</v>
      </c>
    </row>
    <row r="8325">
      <c r="A8325" s="11" t="s">
        <v>35</v>
      </c>
      <c r="B8325" s="12">
        <v>1262.5315</v>
      </c>
      <c r="C8325" s="12">
        <v>0</v>
      </c>
      <c r="D8325" s="13">
        <v>0</v>
      </c>
      <c r="E8325" s="12">
        <v>0</v>
      </c>
      <c r="F8325" s="14">
        <v>0</v>
      </c>
      <c r="G8325" s="13">
        <v>440660.7326</v>
      </c>
      <c r="H8325" s="14">
        <v>556348055.720577</v>
      </c>
      <c r="I8325" s="14" t="e">
        <f>=Round(8360.42160000,0)</f>
        <v>#VALUE!</v>
      </c>
      <c r="J8325" s="14" t="e">
        <f>=Round(3800.18780000,0)</f>
        <v>#VALUE!</v>
      </c>
    </row>
    <row r="8326">
      <c r="A8326" s="11" t="s">
        <v>36</v>
      </c>
      <c r="B8326" s="12">
        <v>1262.5315</v>
      </c>
      <c r="C8326" s="12">
        <v>0</v>
      </c>
      <c r="D8326" s="13">
        <v>0</v>
      </c>
      <c r="E8326" s="12">
        <v>0</v>
      </c>
      <c r="F8326" s="14">
        <v>0</v>
      </c>
      <c r="G8326" s="13">
        <v>440660.7326</v>
      </c>
      <c r="H8326" s="14">
        <v>556348055.720577</v>
      </c>
      <c r="I8326" s="14" t="e">
        <f>=Round(8360.42160000,0)</f>
        <v>#VALUE!</v>
      </c>
      <c r="J8326" s="14" t="e">
        <f>=Round(3800.18780000,0)</f>
        <v>#VALUE!</v>
      </c>
    </row>
    <row r="8327">
      <c r="A8327" s="11" t="s">
        <v>37</v>
      </c>
      <c r="B8327" s="12">
        <v>1260.7554</v>
      </c>
      <c r="C8327" s="12">
        <v>39262.1757</v>
      </c>
      <c r="D8327" s="13">
        <v>49500000</v>
      </c>
      <c r="E8327" s="12">
        <v>0</v>
      </c>
      <c r="F8327" s="14">
        <v>0</v>
      </c>
      <c r="G8327" s="13">
        <v>484548.7465</v>
      </c>
      <c r="H8327" s="14">
        <v>610897448.713106</v>
      </c>
      <c r="I8327" s="14" t="e">
        <f>=Round(8360.42160000,0)</f>
        <v>#VALUE!</v>
      </c>
      <c r="J8327" s="14" t="e">
        <f>=Round(3800.18780000,0)</f>
        <v>#VALUE!</v>
      </c>
    </row>
    <row r="8328">
      <c r="A8328" s="11" t="s">
        <v>38</v>
      </c>
      <c r="B8328" s="12">
        <v>1262.4788</v>
      </c>
      <c r="C8328" s="12">
        <v>79.2093</v>
      </c>
      <c r="D8328" s="13">
        <v>100000</v>
      </c>
      <c r="E8328" s="12">
        <v>101.504</v>
      </c>
      <c r="F8328" s="14">
        <v>128146.65</v>
      </c>
      <c r="G8328" s="13">
        <v>523810.9222</v>
      </c>
      <c r="H8328" s="14">
        <v>661300184.485949</v>
      </c>
      <c r="I8328" s="14" t="e">
        <f>=Round(9180.15290000,0)</f>
        <v>#VALUE!</v>
      </c>
      <c r="J8328" s="14" t="e">
        <f>=Round(4172.79260000,0)</f>
        <v>#VALUE!</v>
      </c>
    </row>
    <row r="8329">
      <c r="A8329" s="11" t="s">
        <v>39</v>
      </c>
      <c r="B8329" s="12">
        <v>1266.2701</v>
      </c>
      <c r="C8329" s="12">
        <v>789.7209</v>
      </c>
      <c r="D8329" s="13">
        <v>1000000</v>
      </c>
      <c r="E8329" s="12">
        <v>0</v>
      </c>
      <c r="F8329" s="14">
        <v>0</v>
      </c>
      <c r="G8329" s="13">
        <v>523788.6275</v>
      </c>
      <c r="H8329" s="14">
        <v>663257877.723288</v>
      </c>
      <c r="I8329" s="14" t="e">
        <f>=Round(9937.57110000,0)</f>
        <v>#VALUE!</v>
      </c>
      <c r="J8329" s="14" t="e">
        <f>=Round(4517.07320000,0)</f>
        <v>#VALUE!</v>
      </c>
    </row>
    <row r="8330">
      <c r="A8330" s="11" t="s">
        <v>40</v>
      </c>
      <c r="B8330" s="12">
        <v>1266.9583</v>
      </c>
      <c r="C8330" s="12">
        <v>0</v>
      </c>
      <c r="D8330" s="13">
        <v>0</v>
      </c>
      <c r="E8330" s="12">
        <v>633.676</v>
      </c>
      <c r="F8330" s="14">
        <v>802841.07</v>
      </c>
      <c r="G8330" s="13">
        <v>524578.3484</v>
      </c>
      <c r="H8330" s="14">
        <v>664618892.505672</v>
      </c>
      <c r="I8330" s="14" t="e">
        <f>=Round(9966.99000000,0)</f>
        <v>#VALUE!</v>
      </c>
      <c r="J8330" s="14" t="e">
        <f>=Round(4530.44550000,0)</f>
        <v>#VALUE!</v>
      </c>
    </row>
    <row r="8331">
      <c r="A8331" s="11" t="s">
        <v>41</v>
      </c>
      <c r="B8331" s="12">
        <v>1266.1038</v>
      </c>
      <c r="C8331" s="12">
        <v>157.9649</v>
      </c>
      <c r="D8331" s="13">
        <v>200000</v>
      </c>
      <c r="E8331" s="12">
        <v>0</v>
      </c>
      <c r="F8331" s="14">
        <v>0</v>
      </c>
      <c r="G8331" s="13">
        <v>523944.6724</v>
      </c>
      <c r="H8331" s="14">
        <v>663368340.715395</v>
      </c>
      <c r="I8331" s="14" t="e">
        <f>=Round(9987.44240000,0)</f>
        <v>#VALUE!</v>
      </c>
      <c r="J8331" s="14" t="e">
        <f>=Round(4539.74200000,0)</f>
        <v>#VALUE!</v>
      </c>
    </row>
    <row r="8332">
      <c r="A8332" s="11" t="s">
        <v>42</v>
      </c>
      <c r="B8332" s="12">
        <v>1266.1038</v>
      </c>
      <c r="C8332" s="12">
        <v>0</v>
      </c>
      <c r="D8332" s="13">
        <v>0</v>
      </c>
      <c r="E8332" s="12">
        <v>0</v>
      </c>
      <c r="F8332" s="14">
        <v>0</v>
      </c>
      <c r="G8332" s="13">
        <v>523944.6724</v>
      </c>
      <c r="H8332" s="14">
        <v>663368340.715395</v>
      </c>
      <c r="I8332" s="14" t="e">
        <f>=Round(9968.64990000,0)</f>
        <v>#VALUE!</v>
      </c>
      <c r="J8332" s="14" t="e">
        <f>=Round(4531.20000000,0)</f>
        <v>#VALUE!</v>
      </c>
    </row>
    <row r="8333">
      <c r="A8333" s="11" t="s">
        <v>43</v>
      </c>
      <c r="B8333" s="12">
        <v>1266.1038</v>
      </c>
      <c r="C8333" s="12">
        <v>0</v>
      </c>
      <c r="D8333" s="13">
        <v>0</v>
      </c>
      <c r="E8333" s="12">
        <v>0</v>
      </c>
      <c r="F8333" s="14">
        <v>0</v>
      </c>
      <c r="G8333" s="13">
        <v>523944.6724</v>
      </c>
      <c r="H8333" s="14">
        <v>663368340.715395</v>
      </c>
      <c r="I8333" s="14" t="e">
        <f>=Round(9968.64990000,0)</f>
        <v>#VALUE!</v>
      </c>
      <c r="J8333" s="14" t="e">
        <f>=Round(4531.20000000,0)</f>
        <v>#VALUE!</v>
      </c>
    </row>
    <row r="8334">
      <c r="A8334" s="11" t="s">
        <v>44</v>
      </c>
      <c r="B8334" s="12">
        <v>1267.4076</v>
      </c>
      <c r="C8334" s="12">
        <v>0</v>
      </c>
      <c r="D8334" s="13">
        <v>0</v>
      </c>
      <c r="E8334" s="12">
        <v>0</v>
      </c>
      <c r="F8334" s="14">
        <v>0</v>
      </c>
      <c r="G8334" s="13">
        <v>524102.6373</v>
      </c>
      <c r="H8334" s="14">
        <v>664251665.694063</v>
      </c>
      <c r="I8334" s="14" t="e">
        <f>=Round(9968.64990000,0)</f>
        <v>#VALUE!</v>
      </c>
      <c r="J8334" s="14" t="e">
        <f>=Round(4531.20000000,0)</f>
        <v>#VALUE!</v>
      </c>
    </row>
    <row r="8335">
      <c r="A8335" s="11" t="s">
        <v>45</v>
      </c>
      <c r="B8335" s="12">
        <v>1270.0303</v>
      </c>
      <c r="C8335" s="12">
        <v>0</v>
      </c>
      <c r="D8335" s="13">
        <v>0</v>
      </c>
      <c r="E8335" s="12">
        <v>0</v>
      </c>
      <c r="F8335" s="14">
        <v>0</v>
      </c>
      <c r="G8335" s="13">
        <v>524102.6373</v>
      </c>
      <c r="H8335" s="14">
        <v>665626229.68091</v>
      </c>
      <c r="I8335" s="14" t="e">
        <f>=Round(9981.92390000,0)</f>
        <v>#VALUE!</v>
      </c>
      <c r="J8335" s="14" t="e">
        <f>=Round(4537.23360000,0)</f>
        <v>#VALUE!</v>
      </c>
    </row>
    <row r="8336">
      <c r="A8336" s="11" t="s">
        <v>46</v>
      </c>
      <c r="B8336" s="12">
        <v>1271.8189</v>
      </c>
      <c r="C8336" s="12">
        <v>78.6275</v>
      </c>
      <c r="D8336" s="13">
        <v>100000</v>
      </c>
      <c r="E8336" s="12">
        <v>0</v>
      </c>
      <c r="F8336" s="14">
        <v>0</v>
      </c>
      <c r="G8336" s="13">
        <v>524102.6373</v>
      </c>
      <c r="H8336" s="14">
        <v>666563639.657985</v>
      </c>
      <c r="I8336" s="14" t="e">
        <f>=Round(10002.58000000,0)</f>
        <v>#VALUE!</v>
      </c>
      <c r="J8336" s="14" t="e">
        <f>=Round(4546.62270000,0)</f>
        <v>#VALUE!</v>
      </c>
    </row>
    <row r="8337">
      <c r="A8337" s="11" t="s">
        <v>47</v>
      </c>
      <c r="B8337" s="12">
        <v>1271.8524</v>
      </c>
      <c r="C8337" s="12">
        <v>0</v>
      </c>
      <c r="D8337" s="13">
        <v>0</v>
      </c>
      <c r="E8337" s="12">
        <v>0</v>
      </c>
      <c r="F8337" s="14">
        <v>0</v>
      </c>
      <c r="G8337" s="13">
        <v>524181.2648</v>
      </c>
      <c r="H8337" s="14">
        <v>666681199.670916</v>
      </c>
      <c r="I8337" s="14" t="e">
        <f>=Round(10016.66670000,0)</f>
        <v>#VALUE!</v>
      </c>
      <c r="J8337" s="14" t="e">
        <f>=Round(4553.02580000,0)</f>
        <v>#VALUE!</v>
      </c>
    </row>
    <row r="8338">
      <c r="A8338" s="11" t="s">
        <v>48</v>
      </c>
      <c r="B8338" s="12">
        <v>1271.4146</v>
      </c>
      <c r="C8338" s="12">
        <v>0</v>
      </c>
      <c r="D8338" s="13">
        <v>0</v>
      </c>
      <c r="E8338" s="12">
        <v>0</v>
      </c>
      <c r="F8338" s="14">
        <v>0</v>
      </c>
      <c r="G8338" s="13">
        <v>524181.2648</v>
      </c>
      <c r="H8338" s="14">
        <v>666451713.113186</v>
      </c>
      <c r="I8338" s="14" t="e">
        <f>=Round(10018.43330000,0)</f>
        <v>#VALUE!</v>
      </c>
      <c r="J8338" s="14" t="e">
        <f>=Round(4553.82880000,0)</f>
        <v>#VALUE!</v>
      </c>
    </row>
    <row r="8339">
      <c r="A8339" s="11" t="s">
        <v>49</v>
      </c>
      <c r="B8339" s="12">
        <v>1271.4146</v>
      </c>
      <c r="C8339" s="12">
        <v>0</v>
      </c>
      <c r="D8339" s="13">
        <v>0</v>
      </c>
      <c r="E8339" s="12">
        <v>0</v>
      </c>
      <c r="F8339" s="14">
        <v>0</v>
      </c>
      <c r="G8339" s="13">
        <v>524181.2648</v>
      </c>
      <c r="H8339" s="14">
        <v>666451713.113186</v>
      </c>
      <c r="I8339" s="14" t="e">
        <f>=Round(10014.98480000,0)</f>
        <v>#VALUE!</v>
      </c>
      <c r="J8339" s="14" t="e">
        <f>=Round(4552.26120000,0)</f>
        <v>#VALUE!</v>
      </c>
    </row>
    <row r="8340">
      <c r="A8340" s="11" t="s">
        <v>50</v>
      </c>
      <c r="B8340" s="12">
        <v>1271.4146</v>
      </c>
      <c r="C8340" s="12">
        <v>0</v>
      </c>
      <c r="D8340" s="13">
        <v>0</v>
      </c>
      <c r="E8340" s="12">
        <v>0</v>
      </c>
      <c r="F8340" s="14">
        <v>0</v>
      </c>
      <c r="G8340" s="13">
        <v>524181.2648</v>
      </c>
      <c r="H8340" s="14">
        <v>666451713.113186</v>
      </c>
      <c r="I8340" s="14" t="e">
        <f>=Round(10014.98480000,0)</f>
        <v>#VALUE!</v>
      </c>
      <c r="J8340" s="14" t="e">
        <f>=Round(4552.26120000,0)</f>
        <v>#VALUE!</v>
      </c>
    </row>
    <row r="8341">
      <c r="A8341" s="11" t="s">
        <v>51</v>
      </c>
      <c r="B8341" s="12">
        <v>1268.7515</v>
      </c>
      <c r="C8341" s="12">
        <v>0</v>
      </c>
      <c r="D8341" s="13">
        <v>0</v>
      </c>
      <c r="E8341" s="12">
        <v>0</v>
      </c>
      <c r="F8341" s="14">
        <v>0</v>
      </c>
      <c r="G8341" s="13">
        <v>524181.2648</v>
      </c>
      <c r="H8341" s="14">
        <v>665055765.986897</v>
      </c>
      <c r="I8341" s="14" t="e">
        <f>=Round(10014.98480000,0)</f>
        <v>#VALUE!</v>
      </c>
      <c r="J8341" s="14" t="e">
        <f>=Round(4552.26120000,0)</f>
        <v>#VALUE!</v>
      </c>
    </row>
    <row r="8342">
      <c r="A8342" s="11" t="s">
        <v>52</v>
      </c>
      <c r="B8342" s="12">
        <v>1268.7071</v>
      </c>
      <c r="C8342" s="12">
        <v>0</v>
      </c>
      <c r="D8342" s="13">
        <v>0</v>
      </c>
      <c r="E8342" s="12">
        <v>80.8357</v>
      </c>
      <c r="F8342" s="14">
        <v>102556.83</v>
      </c>
      <c r="G8342" s="13">
        <v>524181.2648</v>
      </c>
      <c r="H8342" s="14">
        <v>665032492.33874</v>
      </c>
      <c r="I8342" s="14" t="e">
        <f>=Round(9994.00740000,0)</f>
        <v>#VALUE!</v>
      </c>
      <c r="J8342" s="14" t="e">
        <f>=Round(4542.72610000,0)</f>
        <v>#VALUE!</v>
      </c>
    </row>
    <row r="8343">
      <c r="A8343" s="11" t="s">
        <v>53</v>
      </c>
      <c r="B8343" s="12">
        <v>1263.6206</v>
      </c>
      <c r="C8343" s="12">
        <v>4748.5456</v>
      </c>
      <c r="D8343" s="13">
        <v>6000360</v>
      </c>
      <c r="E8343" s="12">
        <v>81.1087</v>
      </c>
      <c r="F8343" s="14">
        <v>102490.62</v>
      </c>
      <c r="G8343" s="13">
        <v>524100.4291</v>
      </c>
      <c r="H8343" s="14">
        <v>662264098.679599</v>
      </c>
      <c r="I8343" s="14" t="e">
        <f>=Round(9993.65770000,0)</f>
        <v>#VALUE!</v>
      </c>
      <c r="J8343" s="14" t="e">
        <f>=Round(4542.56710000,0)</f>
        <v>#VALUE!</v>
      </c>
    </row>
    <row r="8344">
      <c r="A8344" s="11" t="s">
        <v>54</v>
      </c>
      <c r="B8344" s="12">
        <v>1248.7736</v>
      </c>
      <c r="C8344" s="12">
        <v>240.2357</v>
      </c>
      <c r="D8344" s="13">
        <v>300000</v>
      </c>
      <c r="E8344" s="12">
        <v>19952.7981</v>
      </c>
      <c r="F8344" s="14">
        <v>24916527.51</v>
      </c>
      <c r="G8344" s="13">
        <v>528767.866</v>
      </c>
      <c r="H8344" s="14">
        <v>660311351.589138</v>
      </c>
      <c r="I8344" s="14" t="e">
        <f>=Round(9952.05610000,0)</f>
        <v>#VALUE!</v>
      </c>
      <c r="J8344" s="14" t="e">
        <f>=Round(4523.65740000,0)</f>
        <v>#VALUE!</v>
      </c>
    </row>
    <row r="8345">
      <c r="A8345" s="11" t="s">
        <v>55</v>
      </c>
      <c r="B8345" s="12">
        <v>1235.2708</v>
      </c>
      <c r="C8345" s="12">
        <v>0</v>
      </c>
      <c r="D8345" s="13">
        <v>0</v>
      </c>
      <c r="E8345" s="12">
        <v>0</v>
      </c>
      <c r="F8345" s="14">
        <v>0</v>
      </c>
      <c r="G8345" s="13">
        <v>509055.3036</v>
      </c>
      <c r="H8345" s="14">
        <v>628821152.122215</v>
      </c>
      <c r="I8345" s="14" t="e">
        <f>=Round(9922.71160000,0)</f>
        <v>#VALUE!</v>
      </c>
      <c r="J8345" s="14" t="e">
        <f>=Round(4510.31890000,0)</f>
        <v>#VALUE!</v>
      </c>
    </row>
    <row r="8346" ht="-1">
      <c r="A8346" s="15"/>
      <c r="B8346" s="16" t="s">
        <v>56</v>
      </c>
      <c r="C8346" s="15"/>
      <c r="D8346" s="15"/>
      <c r="E8346" s="15"/>
      <c r="F8346" s="15"/>
      <c r="G8346" s="15"/>
      <c r="H8346" s="15"/>
      <c r="I8346" s="17" t="e">
        <f>=Round(SUM(I8320:I8345),0)</f>
        <v>#VALUE!</v>
      </c>
      <c r="J8346" s="17" t="e">
        <f>=Round(SUM(J8320:J8345),0)</f>
        <v>#VALUE!</v>
      </c>
    </row>
    <row r="8347">
      <c r="A8347" s="1" t="s">
        <v>0</v>
      </c>
      <c r="B8347" s="1"/>
      <c r="C8347" s="1"/>
      <c r="D8347" s="1"/>
    </row>
    <row r="8348">
      <c r="A8348" s="0" t="s">
        <v>1</v>
      </c>
      <c r="C8348" s="0" t="s">
        <v>274</v>
      </c>
      <c r="H8348" s="2" t="s">
        <v>3</v>
      </c>
    </row>
    <row r="8349">
      <c r="A8349" s="0" t="s">
        <v>4</v>
      </c>
      <c r="C8349" s="0" t="s">
        <v>129</v>
      </c>
      <c r="H8349" s="3" t="s">
        <v>6</v>
      </c>
    </row>
    <row r="8350">
      <c r="A8350" s="0" t="s">
        <v>7</v>
      </c>
      <c r="C8350" s="4" t="s">
        <v>146</v>
      </c>
      <c r="H8350" s="2" t="s">
        <v>9</v>
      </c>
    </row>
    <row r="8351">
      <c r="A8351" s="0" t="s">
        <v>10</v>
      </c>
      <c r="C8351" s="4" t="s">
        <v>124</v>
      </c>
      <c r="H8351" s="2" t="s">
        <v>12</v>
      </c>
    </row>
    <row r="8352">
      <c r="A8352" s="0" t="s">
        <v>13</v>
      </c>
      <c r="C8352" s="0" t="s">
        <v>14</v>
      </c>
    </row>
    <row r="8353">
      <c r="A8353" s="0" t="s">
        <v>15</v>
      </c>
      <c r="C8353" s="0" t="s">
        <v>16</v>
      </c>
    </row>
    <row r="8354">
      <c r="A8354" s="0" t="s">
        <v>17</v>
      </c>
      <c r="C8354" s="0" t="s">
        <v>18</v>
      </c>
    </row>
    <row r="8357">
      <c r="A8357" s="5" t="s">
        <v>19</v>
      </c>
      <c r="B8357" s="5" t="s">
        <v>20</v>
      </c>
      <c r="C8357" s="7" t="s">
        <v>21</v>
      </c>
      <c r="D8357" s="9"/>
      <c r="E8357" s="7" t="s">
        <v>22</v>
      </c>
      <c r="F8357" s="9"/>
      <c r="G8357" s="5" t="s">
        <v>23</v>
      </c>
      <c r="H8357" s="5" t="s">
        <v>24</v>
      </c>
      <c r="I8357" s="5" t="s">
        <v>147</v>
      </c>
      <c r="J8357" s="5" t="s">
        <v>125</v>
      </c>
    </row>
    <row r="8358">
      <c r="A8358" s="6"/>
      <c r="B8358" s="6"/>
      <c r="C8358" s="8" t="s">
        <v>27</v>
      </c>
      <c r="D8358" s="8" t="s">
        <v>28</v>
      </c>
      <c r="E8358" s="8" t="s">
        <v>27</v>
      </c>
      <c r="F8358" s="8" t="s">
        <v>28</v>
      </c>
      <c r="G8358" s="6"/>
      <c r="H8358" s="6"/>
      <c r="I8358" s="10" t="s">
        <v>29</v>
      </c>
      <c r="J8358" s="6"/>
    </row>
    <row r="8359">
      <c r="A8359" s="11" t="s">
        <v>30</v>
      </c>
      <c r="B8359" s="12">
        <v>1248.9282</v>
      </c>
      <c r="C8359" s="12">
        <v>30906.5005</v>
      </c>
      <c r="D8359" s="13">
        <v>38600000</v>
      </c>
      <c r="E8359" s="12">
        <v>24401.2731</v>
      </c>
      <c r="F8359" s="14">
        <v>30475438.09</v>
      </c>
      <c r="G8359" s="13">
        <v>1106552.6146</v>
      </c>
      <c r="H8359" s="14">
        <v>1382004765.1576719</v>
      </c>
      <c r="I8359" s="14" t="e">
        <f>=Round(17165.98140000,0)</f>
        <v>#VALUE!</v>
      </c>
      <c r="J8359" s="14" t="e">
        <f>=Round(7802.71100000,0)</f>
        <v>#VALUE!</v>
      </c>
    </row>
    <row r="8360">
      <c r="A8360" s="11" t="s">
        <v>31</v>
      </c>
      <c r="B8360" s="12">
        <v>1256.528</v>
      </c>
      <c r="C8360" s="12">
        <v>0</v>
      </c>
      <c r="D8360" s="13">
        <v>0</v>
      </c>
      <c r="E8360" s="12">
        <v>4389.3337</v>
      </c>
      <c r="F8360" s="14">
        <v>5515320.7</v>
      </c>
      <c r="G8360" s="13">
        <v>1113057.842</v>
      </c>
      <c r="H8360" s="14">
        <v>1398588344.092576</v>
      </c>
      <c r="I8360" s="14" t="e">
        <f>=Round(20767.83120000,0)</f>
        <v>#VALUE!</v>
      </c>
      <c r="J8360" s="14" t="e">
        <f>=Round(9439.91380000,0)</f>
        <v>#VALUE!</v>
      </c>
    </row>
    <row r="8361">
      <c r="A8361" s="11" t="s">
        <v>32</v>
      </c>
      <c r="B8361" s="12">
        <v>1254.6375</v>
      </c>
      <c r="C8361" s="12">
        <v>79704.2971</v>
      </c>
      <c r="D8361" s="13">
        <v>100000000</v>
      </c>
      <c r="E8361" s="12">
        <v>15755.7263</v>
      </c>
      <c r="F8361" s="14">
        <v>19767725.06</v>
      </c>
      <c r="G8361" s="13">
        <v>1108668.5083</v>
      </c>
      <c r="H8361" s="14">
        <v>1390977085.5822411</v>
      </c>
      <c r="I8361" s="14" t="e">
        <f>=Round(21017.03800000,0)</f>
        <v>#VALUE!</v>
      </c>
      <c r="J8361" s="14" t="e">
        <f>=Round(9553.18950000,0)</f>
        <v>#VALUE!</v>
      </c>
    </row>
    <row r="8362">
      <c r="A8362" s="11" t="s">
        <v>33</v>
      </c>
      <c r="B8362" s="12">
        <v>1260.0744</v>
      </c>
      <c r="C8362" s="12">
        <v>7936.0393</v>
      </c>
      <c r="D8362" s="13">
        <v>10000000</v>
      </c>
      <c r="E8362" s="12">
        <v>3374.3922</v>
      </c>
      <c r="F8362" s="14">
        <v>4251985.23</v>
      </c>
      <c r="G8362" s="13">
        <v>1172617.0791</v>
      </c>
      <c r="H8362" s="14">
        <v>1477584762.3766849</v>
      </c>
      <c r="I8362" s="14" t="e">
        <f>=Round(20902.66110000,0)</f>
        <v>#VALUE!</v>
      </c>
      <c r="J8362" s="14" t="e">
        <f>=Round(9501.20010000,0)</f>
        <v>#VALUE!</v>
      </c>
    </row>
    <row r="8363">
      <c r="A8363" s="11" t="s">
        <v>34</v>
      </c>
      <c r="B8363" s="12">
        <v>1262.5315</v>
      </c>
      <c r="C8363" s="12">
        <v>24393.3114</v>
      </c>
      <c r="D8363" s="13">
        <v>30797324</v>
      </c>
      <c r="E8363" s="12">
        <v>793.6039</v>
      </c>
      <c r="F8363" s="14">
        <v>1001949.92</v>
      </c>
      <c r="G8363" s="13">
        <v>1177178.7262</v>
      </c>
      <c r="H8363" s="14">
        <v>1486225222.9573751</v>
      </c>
      <c r="I8363" s="14" t="e">
        <f>=Round(22204.14260000,0)</f>
        <v>#VALUE!</v>
      </c>
      <c r="J8363" s="14" t="e">
        <f>=Round(10092.78200000,0)</f>
        <v>#VALUE!</v>
      </c>
    </row>
    <row r="8364">
      <c r="A8364" s="11" t="s">
        <v>35</v>
      </c>
      <c r="B8364" s="12">
        <v>1262.5315</v>
      </c>
      <c r="C8364" s="12">
        <v>0</v>
      </c>
      <c r="D8364" s="13">
        <v>0</v>
      </c>
      <c r="E8364" s="12">
        <v>0</v>
      </c>
      <c r="F8364" s="14">
        <v>0</v>
      </c>
      <c r="G8364" s="13">
        <v>1177178.7262</v>
      </c>
      <c r="H8364" s="14">
        <v>1486225222.9573751</v>
      </c>
      <c r="I8364" s="14" t="e">
        <f>=Round(22333.98560000,0)</f>
        <v>#VALUE!</v>
      </c>
      <c r="J8364" s="14" t="e">
        <f>=Round(10151.80150000,0)</f>
        <v>#VALUE!</v>
      </c>
    </row>
    <row r="8365">
      <c r="A8365" s="11" t="s">
        <v>36</v>
      </c>
      <c r="B8365" s="12">
        <v>1262.5315</v>
      </c>
      <c r="C8365" s="12">
        <v>0</v>
      </c>
      <c r="D8365" s="13">
        <v>0</v>
      </c>
      <c r="E8365" s="12">
        <v>0</v>
      </c>
      <c r="F8365" s="14">
        <v>0</v>
      </c>
      <c r="G8365" s="13">
        <v>1177178.7262</v>
      </c>
      <c r="H8365" s="14">
        <v>1486225222.9573751</v>
      </c>
      <c r="I8365" s="14" t="e">
        <f>=Round(22333.98560000,0)</f>
        <v>#VALUE!</v>
      </c>
      <c r="J8365" s="14" t="e">
        <f>=Round(10151.80150000,0)</f>
        <v>#VALUE!</v>
      </c>
    </row>
    <row r="8366">
      <c r="A8366" s="11" t="s">
        <v>37</v>
      </c>
      <c r="B8366" s="12">
        <v>1260.7554</v>
      </c>
      <c r="C8366" s="12">
        <v>8396.5534</v>
      </c>
      <c r="D8366" s="13">
        <v>10586000</v>
      </c>
      <c r="E8366" s="12">
        <v>118808.9169</v>
      </c>
      <c r="F8366" s="14">
        <v>149788983.42</v>
      </c>
      <c r="G8366" s="13">
        <v>1200778.4337</v>
      </c>
      <c r="H8366" s="14">
        <v>1513887894.4908171</v>
      </c>
      <c r="I8366" s="14" t="e">
        <f>=Round(22333.98560000,0)</f>
        <v>#VALUE!</v>
      </c>
      <c r="J8366" s="14" t="e">
        <f>=Round(10151.80150000,0)</f>
        <v>#VALUE!</v>
      </c>
    </row>
    <row r="8367">
      <c r="A8367" s="11" t="s">
        <v>38</v>
      </c>
      <c r="B8367" s="12">
        <v>1262.4788</v>
      </c>
      <c r="C8367" s="12">
        <v>1188.1388</v>
      </c>
      <c r="D8367" s="13">
        <v>1500000</v>
      </c>
      <c r="E8367" s="12">
        <v>875.0773</v>
      </c>
      <c r="F8367" s="14">
        <v>1104766.54</v>
      </c>
      <c r="G8367" s="13">
        <v>1090366.0702</v>
      </c>
      <c r="H8367" s="14">
        <v>1376564047.866812</v>
      </c>
      <c r="I8367" s="14" t="e">
        <f>=Round(22749.68150000,0)</f>
        <v>#VALUE!</v>
      </c>
      <c r="J8367" s="14" t="e">
        <f>=Round(10340.75400000,0)</f>
        <v>#VALUE!</v>
      </c>
    </row>
    <row r="8368">
      <c r="A8368" s="11" t="s">
        <v>39</v>
      </c>
      <c r="B8368" s="12">
        <v>1266.2701</v>
      </c>
      <c r="C8368" s="12">
        <v>5855.7807</v>
      </c>
      <c r="D8368" s="13">
        <v>7415000</v>
      </c>
      <c r="E8368" s="12">
        <v>0</v>
      </c>
      <c r="F8368" s="14">
        <v>0</v>
      </c>
      <c r="G8368" s="13">
        <v>1090679.1317</v>
      </c>
      <c r="H8368" s="14">
        <v>1381094373.1656721</v>
      </c>
      <c r="I8368" s="14" t="e">
        <f>=Round(20686.07180000,0)</f>
        <v>#VALUE!</v>
      </c>
      <c r="J8368" s="14" t="e">
        <f>=Round(9402.75050000,0)</f>
        <v>#VALUE!</v>
      </c>
    </row>
    <row r="8369">
      <c r="A8369" s="11" t="s">
        <v>40</v>
      </c>
      <c r="B8369" s="12">
        <v>1266.9583</v>
      </c>
      <c r="C8369" s="12">
        <v>1435.3732</v>
      </c>
      <c r="D8369" s="13">
        <v>1818558</v>
      </c>
      <c r="E8369" s="12">
        <v>199686.3487</v>
      </c>
      <c r="F8369" s="14">
        <v>252994276.88</v>
      </c>
      <c r="G8369" s="13">
        <v>1096534.9124</v>
      </c>
      <c r="H8369" s="14">
        <v>1389264008.5049529</v>
      </c>
      <c r="I8369" s="14" t="e">
        <f>=Round(20754.15040000,0)</f>
        <v>#VALUE!</v>
      </c>
      <c r="J8369" s="14" t="e">
        <f>=Round(9433.69530000,0)</f>
        <v>#VALUE!</v>
      </c>
    </row>
    <row r="8370">
      <c r="A8370" s="11" t="s">
        <v>41</v>
      </c>
      <c r="B8370" s="12">
        <v>1266.1038</v>
      </c>
      <c r="C8370" s="12">
        <v>5937.112</v>
      </c>
      <c r="D8370" s="13">
        <v>7517000</v>
      </c>
      <c r="E8370" s="12">
        <v>23920.0866</v>
      </c>
      <c r="F8370" s="14">
        <v>30285312.54</v>
      </c>
      <c r="G8370" s="13">
        <v>898283.9369</v>
      </c>
      <c r="H8370" s="14">
        <v>1137320705.98805</v>
      </c>
      <c r="I8370" s="14" t="e">
        <f>=Round(20876.91820000,0)</f>
        <v>#VALUE!</v>
      </c>
      <c r="J8370" s="14" t="e">
        <f>=Round(9489.49880000,0)</f>
        <v>#VALUE!</v>
      </c>
    </row>
    <row r="8371">
      <c r="A8371" s="11" t="s">
        <v>42</v>
      </c>
      <c r="B8371" s="12">
        <v>1266.1038</v>
      </c>
      <c r="C8371" s="12">
        <v>0</v>
      </c>
      <c r="D8371" s="13">
        <v>0</v>
      </c>
      <c r="E8371" s="12">
        <v>0</v>
      </c>
      <c r="F8371" s="14">
        <v>0</v>
      </c>
      <c r="G8371" s="13">
        <v>898283.9369</v>
      </c>
      <c r="H8371" s="14">
        <v>1137320705.98805</v>
      </c>
      <c r="I8371" s="14" t="e">
        <f>=Round(17090.88490000,0)</f>
        <v>#VALUE!</v>
      </c>
      <c r="J8371" s="14" t="e">
        <f>=Round(7768.57630000,0)</f>
        <v>#VALUE!</v>
      </c>
    </row>
    <row r="8372">
      <c r="A8372" s="11" t="s">
        <v>43</v>
      </c>
      <c r="B8372" s="12">
        <v>1266.1038</v>
      </c>
      <c r="C8372" s="12">
        <v>0</v>
      </c>
      <c r="D8372" s="13">
        <v>0</v>
      </c>
      <c r="E8372" s="12">
        <v>0</v>
      </c>
      <c r="F8372" s="14">
        <v>0</v>
      </c>
      <c r="G8372" s="13">
        <v>898283.9369</v>
      </c>
      <c r="H8372" s="14">
        <v>1137320705.98805</v>
      </c>
      <c r="I8372" s="14" t="e">
        <f>=Round(17090.88490000,0)</f>
        <v>#VALUE!</v>
      </c>
      <c r="J8372" s="14" t="e">
        <f>=Round(7768.57630000,0)</f>
        <v>#VALUE!</v>
      </c>
    </row>
    <row r="8373">
      <c r="A8373" s="11" t="s">
        <v>44</v>
      </c>
      <c r="B8373" s="12">
        <v>1267.4076</v>
      </c>
      <c r="C8373" s="12">
        <v>84424.3004</v>
      </c>
      <c r="D8373" s="13">
        <v>107000000</v>
      </c>
      <c r="E8373" s="12">
        <v>10415.1006</v>
      </c>
      <c r="F8373" s="14">
        <v>13200177.66</v>
      </c>
      <c r="G8373" s="13">
        <v>880300.9623</v>
      </c>
      <c r="H8373" s="14">
        <v>1115700129.906333</v>
      </c>
      <c r="I8373" s="14" t="e">
        <f>=Round(17090.88490000,0)</f>
        <v>#VALUE!</v>
      </c>
      <c r="J8373" s="14" t="e">
        <f>=Round(7768.57630000,0)</f>
        <v>#VALUE!</v>
      </c>
    </row>
    <row r="8374">
      <c r="A8374" s="11" t="s">
        <v>45</v>
      </c>
      <c r="B8374" s="12">
        <v>1270.0303</v>
      </c>
      <c r="C8374" s="12">
        <v>83518.4799</v>
      </c>
      <c r="D8374" s="13">
        <v>106071000</v>
      </c>
      <c r="E8374" s="12">
        <v>1986.3309</v>
      </c>
      <c r="F8374" s="14">
        <v>2522700.43</v>
      </c>
      <c r="G8374" s="13">
        <v>954310.1621</v>
      </c>
      <c r="H8374" s="14">
        <v>1212002821.4649119</v>
      </c>
      <c r="I8374" s="14" t="e">
        <f>=Round(16765.98560000,0)</f>
        <v>#VALUE!</v>
      </c>
      <c r="J8374" s="14" t="e">
        <f>=Round(7620.89490000,0)</f>
        <v>#VALUE!</v>
      </c>
    </row>
    <row r="8375">
      <c r="A8375" s="11" t="s">
        <v>46</v>
      </c>
      <c r="B8375" s="12">
        <v>1271.8189</v>
      </c>
      <c r="C8375" s="12">
        <v>39399.1205</v>
      </c>
      <c r="D8375" s="13">
        <v>50108546</v>
      </c>
      <c r="E8375" s="12">
        <v>236.2148</v>
      </c>
      <c r="F8375" s="14">
        <v>300422.45</v>
      </c>
      <c r="G8375" s="13">
        <v>1035842.3111</v>
      </c>
      <c r="H8375" s="14">
        <v>1317403828.67666</v>
      </c>
      <c r="I8375" s="14" t="e">
        <f>=Round(18213.15720000,0)</f>
        <v>#VALUE!</v>
      </c>
      <c r="J8375" s="14" t="e">
        <f>=Round(8278.69950000,0)</f>
        <v>#VALUE!</v>
      </c>
    </row>
    <row r="8376">
      <c r="A8376" s="11" t="s">
        <v>47</v>
      </c>
      <c r="B8376" s="12">
        <v>1271.8524</v>
      </c>
      <c r="C8376" s="12">
        <v>0</v>
      </c>
      <c r="D8376" s="13">
        <v>0</v>
      </c>
      <c r="E8376" s="12">
        <v>3538.2396</v>
      </c>
      <c r="F8376" s="14">
        <v>4500118.53</v>
      </c>
      <c r="G8376" s="13">
        <v>1075005.2168</v>
      </c>
      <c r="H8376" s="14">
        <v>1367247964.9996</v>
      </c>
      <c r="I8376" s="14" t="e">
        <f>=Round(19797.05210000,0)</f>
        <v>#VALUE!</v>
      </c>
      <c r="J8376" s="14" t="e">
        <f>=Round(8998.65100000,0)</f>
        <v>#VALUE!</v>
      </c>
    </row>
    <row r="8377">
      <c r="A8377" s="11" t="s">
        <v>48</v>
      </c>
      <c r="B8377" s="12">
        <v>1271.4146</v>
      </c>
      <c r="C8377" s="12">
        <v>31461.0199</v>
      </c>
      <c r="D8377" s="13">
        <v>40000000</v>
      </c>
      <c r="E8377" s="12">
        <v>0.0001</v>
      </c>
      <c r="F8377" s="14">
        <v>0</v>
      </c>
      <c r="G8377" s="13">
        <v>1071466.9772</v>
      </c>
      <c r="H8377" s="14">
        <v>1362278758.2299471</v>
      </c>
      <c r="I8377" s="14" t="e">
        <f>=Round(20546.07600000,0)</f>
        <v>#VALUE!</v>
      </c>
      <c r="J8377" s="14" t="e">
        <f>=Round(9339.11610000,0)</f>
        <v>#VALUE!</v>
      </c>
    </row>
    <row r="8378">
      <c r="A8378" s="11" t="s">
        <v>49</v>
      </c>
      <c r="B8378" s="12">
        <v>1271.4146</v>
      </c>
      <c r="C8378" s="12">
        <v>0</v>
      </c>
      <c r="D8378" s="13">
        <v>0</v>
      </c>
      <c r="E8378" s="12">
        <v>0</v>
      </c>
      <c r="F8378" s="14">
        <v>0</v>
      </c>
      <c r="G8378" s="13">
        <v>1071466.9772</v>
      </c>
      <c r="H8378" s="14">
        <v>1362278758.2299471</v>
      </c>
      <c r="I8378" s="14" t="e">
        <f>=Round(20471.40210000,0)</f>
        <v>#VALUE!</v>
      </c>
      <c r="J8378" s="14" t="e">
        <f>=Round(9305.17350000,0)</f>
        <v>#VALUE!</v>
      </c>
    </row>
    <row r="8379">
      <c r="A8379" s="11" t="s">
        <v>50</v>
      </c>
      <c r="B8379" s="12">
        <v>1271.4146</v>
      </c>
      <c r="C8379" s="12">
        <v>0</v>
      </c>
      <c r="D8379" s="13">
        <v>0</v>
      </c>
      <c r="E8379" s="12">
        <v>0</v>
      </c>
      <c r="F8379" s="14">
        <v>0</v>
      </c>
      <c r="G8379" s="13">
        <v>1071466.9772</v>
      </c>
      <c r="H8379" s="14">
        <v>1362278758.2299471</v>
      </c>
      <c r="I8379" s="14" t="e">
        <f>=Round(20471.40210000,0)</f>
        <v>#VALUE!</v>
      </c>
      <c r="J8379" s="14" t="e">
        <f>=Round(9305.17350000,0)</f>
        <v>#VALUE!</v>
      </c>
    </row>
    <row r="8380">
      <c r="A8380" s="11" t="s">
        <v>51</v>
      </c>
      <c r="B8380" s="12">
        <v>1268.7515</v>
      </c>
      <c r="C8380" s="12">
        <v>1970.441</v>
      </c>
      <c r="D8380" s="13">
        <v>2500000</v>
      </c>
      <c r="E8380" s="12">
        <v>0</v>
      </c>
      <c r="F8380" s="14">
        <v>0</v>
      </c>
      <c r="G8380" s="13">
        <v>1102927.997</v>
      </c>
      <c r="H8380" s="14">
        <v>1399341550.5857461</v>
      </c>
      <c r="I8380" s="14" t="e">
        <f>=Round(20471.40210000,0)</f>
        <v>#VALUE!</v>
      </c>
      <c r="J8380" s="14" t="e">
        <f>=Round(9305.17350000,0)</f>
        <v>#VALUE!</v>
      </c>
    </row>
    <row r="8381">
      <c r="A8381" s="11" t="s">
        <v>52</v>
      </c>
      <c r="B8381" s="12">
        <v>1268.7071</v>
      </c>
      <c r="C8381" s="12">
        <v>3310.4568</v>
      </c>
      <c r="D8381" s="13">
        <v>4200000</v>
      </c>
      <c r="E8381" s="12">
        <v>85.3471</v>
      </c>
      <c r="F8381" s="14">
        <v>108280.47</v>
      </c>
      <c r="G8381" s="13">
        <v>1104898.438</v>
      </c>
      <c r="H8381" s="14">
        <v>1401792493.06951</v>
      </c>
      <c r="I8381" s="14" t="e">
        <f>=Round(21028.35660000,0)</f>
        <v>#VALUE!</v>
      </c>
      <c r="J8381" s="14" t="e">
        <f>=Round(9558.33440000,0)</f>
        <v>#VALUE!</v>
      </c>
    </row>
    <row r="8382">
      <c r="A8382" s="11" t="s">
        <v>53</v>
      </c>
      <c r="B8382" s="12">
        <v>1263.6206</v>
      </c>
      <c r="C8382" s="12">
        <v>46386.5499</v>
      </c>
      <c r="D8382" s="13">
        <v>58615000</v>
      </c>
      <c r="E8382" s="12">
        <v>118604.3744</v>
      </c>
      <c r="F8382" s="14">
        <v>149870930.74</v>
      </c>
      <c r="G8382" s="13">
        <v>1108123.5477</v>
      </c>
      <c r="H8382" s="14">
        <v>1400247742.2188029</v>
      </c>
      <c r="I8382" s="14" t="e">
        <f>=Round(21065.18770000,0)</f>
        <v>#VALUE!</v>
      </c>
      <c r="J8382" s="14" t="e">
        <f>=Round(9575.07580000,0)</f>
        <v>#VALUE!</v>
      </c>
    </row>
    <row r="8383">
      <c r="A8383" s="11" t="s">
        <v>54</v>
      </c>
      <c r="B8383" s="12">
        <v>1248.7736</v>
      </c>
      <c r="C8383" s="12">
        <v>482.8738</v>
      </c>
      <c r="D8383" s="13">
        <v>603000</v>
      </c>
      <c r="E8383" s="12">
        <v>33943.605</v>
      </c>
      <c r="F8383" s="14">
        <v>42387877.81</v>
      </c>
      <c r="G8383" s="13">
        <v>1035905.7232</v>
      </c>
      <c r="H8383" s="14">
        <v>1293611719.2210679</v>
      </c>
      <c r="I8383" s="14" t="e">
        <f>=Round(21041.97430000,0)</f>
        <v>#VALUE!</v>
      </c>
      <c r="J8383" s="14" t="e">
        <f>=Round(9564.52420000,0)</f>
        <v>#VALUE!</v>
      </c>
    </row>
    <row r="8384">
      <c r="A8384" s="11" t="s">
        <v>55</v>
      </c>
      <c r="B8384" s="12">
        <v>1235.2708</v>
      </c>
      <c r="C8384" s="12">
        <v>1216.0799</v>
      </c>
      <c r="D8384" s="13">
        <v>1502188</v>
      </c>
      <c r="E8384" s="12">
        <v>88610.0096</v>
      </c>
      <c r="F8384" s="14">
        <v>109457357.32</v>
      </c>
      <c r="G8384" s="13">
        <v>1002444.992</v>
      </c>
      <c r="H8384" s="14">
        <v>1238291027.223834</v>
      </c>
      <c r="I8384" s="14" t="e">
        <f>=Round(19439.52040000,0)</f>
        <v>#VALUE!</v>
      </c>
      <c r="J8384" s="14" t="e">
        <f>=Round(8836.13680000,0)</f>
        <v>#VALUE!</v>
      </c>
    </row>
    <row r="8385" ht="-1">
      <c r="A8385" s="15"/>
      <c r="B8385" s="16" t="s">
        <v>56</v>
      </c>
      <c r="C8385" s="15"/>
      <c r="D8385" s="15"/>
      <c r="E8385" s="15"/>
      <c r="F8385" s="15"/>
      <c r="G8385" s="15"/>
      <c r="H8385" s="15"/>
      <c r="I8385" s="17" t="e">
        <f>=Round(SUM(I8359:I8384),0)</f>
        <v>#VALUE!</v>
      </c>
      <c r="J8385" s="17" t="e">
        <f>=Round(SUM(J8359:J8384),0)</f>
        <v>#VALUE!</v>
      </c>
    </row>
    <row r="8386">
      <c r="A8386" s="1" t="s">
        <v>0</v>
      </c>
      <c r="B8386" s="1"/>
      <c r="C8386" s="1"/>
      <c r="D8386" s="1"/>
    </row>
    <row r="8387">
      <c r="A8387" s="0" t="s">
        <v>1</v>
      </c>
      <c r="C8387" s="0" t="s">
        <v>274</v>
      </c>
      <c r="H8387" s="2" t="s">
        <v>3</v>
      </c>
    </row>
    <row r="8388">
      <c r="A8388" s="0" t="s">
        <v>4</v>
      </c>
      <c r="C8388" s="0" t="s">
        <v>250</v>
      </c>
      <c r="H8388" s="3" t="s">
        <v>6</v>
      </c>
    </row>
    <row r="8389">
      <c r="A8389" s="0" t="s">
        <v>7</v>
      </c>
      <c r="C8389" s="4" t="s">
        <v>146</v>
      </c>
      <c r="H8389" s="2" t="s">
        <v>9</v>
      </c>
    </row>
    <row r="8390">
      <c r="A8390" s="0" t="s">
        <v>10</v>
      </c>
      <c r="C8390" s="4" t="s">
        <v>124</v>
      </c>
      <c r="H8390" s="2" t="s">
        <v>12</v>
      </c>
    </row>
    <row r="8391">
      <c r="A8391" s="0" t="s">
        <v>13</v>
      </c>
      <c r="C8391" s="0" t="s">
        <v>14</v>
      </c>
    </row>
    <row r="8392">
      <c r="A8392" s="0" t="s">
        <v>15</v>
      </c>
      <c r="C8392" s="0" t="s">
        <v>16</v>
      </c>
    </row>
    <row r="8393">
      <c r="A8393" s="0" t="s">
        <v>17</v>
      </c>
      <c r="C8393" s="0" t="s">
        <v>18</v>
      </c>
    </row>
    <row r="8396">
      <c r="A8396" s="5" t="s">
        <v>19</v>
      </c>
      <c r="B8396" s="5" t="s">
        <v>20</v>
      </c>
      <c r="C8396" s="7" t="s">
        <v>21</v>
      </c>
      <c r="D8396" s="9"/>
      <c r="E8396" s="7" t="s">
        <v>22</v>
      </c>
      <c r="F8396" s="9"/>
      <c r="G8396" s="5" t="s">
        <v>23</v>
      </c>
      <c r="H8396" s="5" t="s">
        <v>24</v>
      </c>
      <c r="I8396" s="5" t="s">
        <v>147</v>
      </c>
      <c r="J8396" s="5" t="s">
        <v>125</v>
      </c>
    </row>
    <row r="8397">
      <c r="A8397" s="6"/>
      <c r="B8397" s="6"/>
      <c r="C8397" s="8" t="s">
        <v>27</v>
      </c>
      <c r="D8397" s="8" t="s">
        <v>28</v>
      </c>
      <c r="E8397" s="8" t="s">
        <v>27</v>
      </c>
      <c r="F8397" s="8" t="s">
        <v>28</v>
      </c>
      <c r="G8397" s="6"/>
      <c r="H8397" s="6"/>
      <c r="I8397" s="10" t="s">
        <v>29</v>
      </c>
      <c r="J8397" s="6"/>
    </row>
    <row r="8398">
      <c r="A8398" s="11" t="s">
        <v>30</v>
      </c>
      <c r="B8398" s="12">
        <v>1248.9282</v>
      </c>
      <c r="C8398" s="12">
        <v>0</v>
      </c>
      <c r="D8398" s="13">
        <v>0</v>
      </c>
      <c r="E8398" s="12">
        <v>0</v>
      </c>
      <c r="F8398" s="14">
        <v>0</v>
      </c>
      <c r="G8398" s="13">
        <v>80.4824</v>
      </c>
      <c r="H8398" s="14">
        <v>100516.738964</v>
      </c>
      <c r="I8398" s="14" t="e">
        <f>=Round(1.51420000,0)</f>
        <v>#VALUE!</v>
      </c>
      <c r="J8398" s="14" t="e">
        <f>=Round(0.68830000,0)</f>
        <v>#VALUE!</v>
      </c>
    </row>
    <row r="8399">
      <c r="A8399" s="11" t="s">
        <v>31</v>
      </c>
      <c r="B8399" s="12">
        <v>1256.528</v>
      </c>
      <c r="C8399" s="12">
        <v>0</v>
      </c>
      <c r="D8399" s="13">
        <v>0</v>
      </c>
      <c r="E8399" s="12">
        <v>0</v>
      </c>
      <c r="F8399" s="14">
        <v>0</v>
      </c>
      <c r="G8399" s="13">
        <v>80.4824</v>
      </c>
      <c r="H8399" s="14">
        <v>101128.389107</v>
      </c>
      <c r="I8399" s="14" t="e">
        <f>=Round(1.51050000,0)</f>
        <v>#VALUE!</v>
      </c>
      <c r="J8399" s="14" t="e">
        <f>=Round(0.68660000,0)</f>
        <v>#VALUE!</v>
      </c>
    </row>
    <row r="8400">
      <c r="A8400" s="11" t="s">
        <v>32</v>
      </c>
      <c r="B8400" s="12">
        <v>1254.6375</v>
      </c>
      <c r="C8400" s="12">
        <v>0</v>
      </c>
      <c r="D8400" s="13">
        <v>0</v>
      </c>
      <c r="E8400" s="12">
        <v>0</v>
      </c>
      <c r="F8400" s="14">
        <v>0</v>
      </c>
      <c r="G8400" s="13">
        <v>80.4824</v>
      </c>
      <c r="H8400" s="14">
        <v>100976.23713</v>
      </c>
      <c r="I8400" s="14" t="e">
        <f>=Round(1.51970000,0)</f>
        <v>#VALUE!</v>
      </c>
      <c r="J8400" s="14" t="e">
        <f>=Round(0.69080000,0)</f>
        <v>#VALUE!</v>
      </c>
    </row>
    <row r="8401">
      <c r="A8401" s="11" t="s">
        <v>33</v>
      </c>
      <c r="B8401" s="12">
        <v>1260.0744</v>
      </c>
      <c r="C8401" s="12">
        <v>0</v>
      </c>
      <c r="D8401" s="13">
        <v>0</v>
      </c>
      <c r="E8401" s="12">
        <v>0</v>
      </c>
      <c r="F8401" s="14">
        <v>0</v>
      </c>
      <c r="G8401" s="13">
        <v>80.4824</v>
      </c>
      <c r="H8401" s="14">
        <v>101413.811891</v>
      </c>
      <c r="I8401" s="14" t="e">
        <f>=Round(1.51740000,0)</f>
        <v>#VALUE!</v>
      </c>
      <c r="J8401" s="14" t="e">
        <f>=Round(0.68970000,0)</f>
        <v>#VALUE!</v>
      </c>
    </row>
    <row r="8402">
      <c r="A8402" s="11" t="s">
        <v>34</v>
      </c>
      <c r="B8402" s="12">
        <v>1262.5315</v>
      </c>
      <c r="C8402" s="12">
        <v>0</v>
      </c>
      <c r="D8402" s="13">
        <v>0</v>
      </c>
      <c r="E8402" s="12">
        <v>0</v>
      </c>
      <c r="F8402" s="14">
        <v>0</v>
      </c>
      <c r="G8402" s="13">
        <v>80.4824</v>
      </c>
      <c r="H8402" s="14">
        <v>101611.565196</v>
      </c>
      <c r="I8402" s="14" t="e">
        <f>=Round(1.52400000,0)</f>
        <v>#VALUE!</v>
      </c>
      <c r="J8402" s="14" t="e">
        <f>=Round(0.69270000,0)</f>
        <v>#VALUE!</v>
      </c>
    </row>
    <row r="8403">
      <c r="A8403" s="11" t="s">
        <v>35</v>
      </c>
      <c r="B8403" s="12">
        <v>1262.5315</v>
      </c>
      <c r="C8403" s="12">
        <v>0</v>
      </c>
      <c r="D8403" s="13">
        <v>0</v>
      </c>
      <c r="E8403" s="12">
        <v>0</v>
      </c>
      <c r="F8403" s="14">
        <v>0</v>
      </c>
      <c r="G8403" s="13">
        <v>80.4824</v>
      </c>
      <c r="H8403" s="14">
        <v>101611.565196</v>
      </c>
      <c r="I8403" s="14" t="e">
        <f>=Round(1.52690000,0)</f>
        <v>#VALUE!</v>
      </c>
      <c r="J8403" s="14" t="e">
        <f>=Round(0.69410000,0)</f>
        <v>#VALUE!</v>
      </c>
    </row>
    <row r="8404">
      <c r="A8404" s="11" t="s">
        <v>36</v>
      </c>
      <c r="B8404" s="12">
        <v>1262.5315</v>
      </c>
      <c r="C8404" s="12">
        <v>0</v>
      </c>
      <c r="D8404" s="13">
        <v>0</v>
      </c>
      <c r="E8404" s="12">
        <v>0</v>
      </c>
      <c r="F8404" s="14">
        <v>0</v>
      </c>
      <c r="G8404" s="13">
        <v>80.4824</v>
      </c>
      <c r="H8404" s="14">
        <v>101611.565196</v>
      </c>
      <c r="I8404" s="14" t="e">
        <f>=Round(1.52690000,0)</f>
        <v>#VALUE!</v>
      </c>
      <c r="J8404" s="14" t="e">
        <f>=Round(0.69410000,0)</f>
        <v>#VALUE!</v>
      </c>
    </row>
    <row r="8405">
      <c r="A8405" s="11" t="s">
        <v>37</v>
      </c>
      <c r="B8405" s="12">
        <v>1260.7554</v>
      </c>
      <c r="C8405" s="12">
        <v>0</v>
      </c>
      <c r="D8405" s="13">
        <v>0</v>
      </c>
      <c r="E8405" s="12">
        <v>0</v>
      </c>
      <c r="F8405" s="14">
        <v>0</v>
      </c>
      <c r="G8405" s="13">
        <v>80.4824</v>
      </c>
      <c r="H8405" s="14">
        <v>101468.620405</v>
      </c>
      <c r="I8405" s="14" t="e">
        <f>=Round(1.52690000,0)</f>
        <v>#VALUE!</v>
      </c>
      <c r="J8405" s="14" t="e">
        <f>=Round(0.69410000,0)</f>
        <v>#VALUE!</v>
      </c>
    </row>
    <row r="8406">
      <c r="A8406" s="11" t="s">
        <v>38</v>
      </c>
      <c r="B8406" s="12">
        <v>1262.4788</v>
      </c>
      <c r="C8406" s="12">
        <v>0</v>
      </c>
      <c r="D8406" s="13">
        <v>0</v>
      </c>
      <c r="E8406" s="12">
        <v>0</v>
      </c>
      <c r="F8406" s="14">
        <v>0</v>
      </c>
      <c r="G8406" s="13">
        <v>80.4824</v>
      </c>
      <c r="H8406" s="14">
        <v>101607.323773</v>
      </c>
      <c r="I8406" s="14" t="e">
        <f>=Round(1.52480000,0)</f>
        <v>#VALUE!</v>
      </c>
      <c r="J8406" s="14" t="e">
        <f>=Round(0.69310000,0)</f>
        <v>#VALUE!</v>
      </c>
    </row>
    <row r="8407">
      <c r="A8407" s="11" t="s">
        <v>39</v>
      </c>
      <c r="B8407" s="12">
        <v>1266.2701</v>
      </c>
      <c r="C8407" s="12">
        <v>0</v>
      </c>
      <c r="D8407" s="13">
        <v>0</v>
      </c>
      <c r="E8407" s="12">
        <v>0</v>
      </c>
      <c r="F8407" s="14">
        <v>0</v>
      </c>
      <c r="G8407" s="13">
        <v>80.4824</v>
      </c>
      <c r="H8407" s="14">
        <v>101912.456696</v>
      </c>
      <c r="I8407" s="14" t="e">
        <f>=Round(1.52690000,0)</f>
        <v>#VALUE!</v>
      </c>
      <c r="J8407" s="14" t="e">
        <f>=Round(0.69400000,0)</f>
        <v>#VALUE!</v>
      </c>
    </row>
    <row r="8408">
      <c r="A8408" s="11" t="s">
        <v>40</v>
      </c>
      <c r="B8408" s="12">
        <v>1266.9583</v>
      </c>
      <c r="C8408" s="12">
        <v>0</v>
      </c>
      <c r="D8408" s="13">
        <v>0</v>
      </c>
      <c r="E8408" s="12">
        <v>0</v>
      </c>
      <c r="F8408" s="14">
        <v>0</v>
      </c>
      <c r="G8408" s="13">
        <v>80.4824</v>
      </c>
      <c r="H8408" s="14">
        <v>101967.844684</v>
      </c>
      <c r="I8408" s="14" t="e">
        <f>=Round(1.53150000,0)</f>
        <v>#VALUE!</v>
      </c>
      <c r="J8408" s="14" t="e">
        <f>=Round(0.69610000,0)</f>
        <v>#VALUE!</v>
      </c>
    </row>
    <row r="8409">
      <c r="A8409" s="11" t="s">
        <v>41</v>
      </c>
      <c r="B8409" s="12">
        <v>1266.1038</v>
      </c>
      <c r="C8409" s="12">
        <v>0</v>
      </c>
      <c r="D8409" s="13">
        <v>0</v>
      </c>
      <c r="E8409" s="12">
        <v>0</v>
      </c>
      <c r="F8409" s="14">
        <v>0</v>
      </c>
      <c r="G8409" s="13">
        <v>80.4824</v>
      </c>
      <c r="H8409" s="14">
        <v>101899.072473</v>
      </c>
      <c r="I8409" s="14" t="e">
        <f>=Round(1.53230000,0)</f>
        <v>#VALUE!</v>
      </c>
      <c r="J8409" s="14" t="e">
        <f>=Round(0.69650000,0)</f>
        <v>#VALUE!</v>
      </c>
    </row>
    <row r="8410">
      <c r="A8410" s="11" t="s">
        <v>42</v>
      </c>
      <c r="B8410" s="12">
        <v>1266.1038</v>
      </c>
      <c r="C8410" s="12">
        <v>0</v>
      </c>
      <c r="D8410" s="13">
        <v>0</v>
      </c>
      <c r="E8410" s="12">
        <v>0</v>
      </c>
      <c r="F8410" s="14">
        <v>0</v>
      </c>
      <c r="G8410" s="13">
        <v>80.4824</v>
      </c>
      <c r="H8410" s="14">
        <v>101899.072473</v>
      </c>
      <c r="I8410" s="14" t="e">
        <f>=Round(1.53130000,0)</f>
        <v>#VALUE!</v>
      </c>
      <c r="J8410" s="14" t="e">
        <f>=Round(0.69600000,0)</f>
        <v>#VALUE!</v>
      </c>
    </row>
    <row r="8411">
      <c r="A8411" s="11" t="s">
        <v>43</v>
      </c>
      <c r="B8411" s="12">
        <v>1266.1038</v>
      </c>
      <c r="C8411" s="12">
        <v>0</v>
      </c>
      <c r="D8411" s="13">
        <v>0</v>
      </c>
      <c r="E8411" s="12">
        <v>0</v>
      </c>
      <c r="F8411" s="14">
        <v>0</v>
      </c>
      <c r="G8411" s="13">
        <v>80.4824</v>
      </c>
      <c r="H8411" s="14">
        <v>101899.072473</v>
      </c>
      <c r="I8411" s="14" t="e">
        <f>=Round(1.53130000,0)</f>
        <v>#VALUE!</v>
      </c>
      <c r="J8411" s="14" t="e">
        <f>=Round(0.69600000,0)</f>
        <v>#VALUE!</v>
      </c>
    </row>
    <row r="8412">
      <c r="A8412" s="11" t="s">
        <v>44</v>
      </c>
      <c r="B8412" s="12">
        <v>1267.4076</v>
      </c>
      <c r="C8412" s="12">
        <v>0</v>
      </c>
      <c r="D8412" s="13">
        <v>0</v>
      </c>
      <c r="E8412" s="12">
        <v>0</v>
      </c>
      <c r="F8412" s="14">
        <v>0</v>
      </c>
      <c r="G8412" s="13">
        <v>80.4824</v>
      </c>
      <c r="H8412" s="14">
        <v>102004.005426</v>
      </c>
      <c r="I8412" s="14" t="e">
        <f>=Round(1.53130000,0)</f>
        <v>#VALUE!</v>
      </c>
      <c r="J8412" s="14" t="e">
        <f>=Round(0.69600000,0)</f>
        <v>#VALUE!</v>
      </c>
    </row>
    <row r="8413">
      <c r="A8413" s="11" t="s">
        <v>45</v>
      </c>
      <c r="B8413" s="12">
        <v>1270.0303</v>
      </c>
      <c r="C8413" s="12">
        <v>0</v>
      </c>
      <c r="D8413" s="13">
        <v>0</v>
      </c>
      <c r="E8413" s="12">
        <v>0</v>
      </c>
      <c r="F8413" s="14">
        <v>0</v>
      </c>
      <c r="G8413" s="13">
        <v>80.4824</v>
      </c>
      <c r="H8413" s="14">
        <v>102215.086617</v>
      </c>
      <c r="I8413" s="14" t="e">
        <f>=Round(1.53280000,0)</f>
        <v>#VALUE!</v>
      </c>
      <c r="J8413" s="14" t="e">
        <f>=Round(0.69670000,0)</f>
        <v>#VALUE!</v>
      </c>
    </row>
    <row r="8414">
      <c r="A8414" s="11" t="s">
        <v>46</v>
      </c>
      <c r="B8414" s="12">
        <v>1271.8189</v>
      </c>
      <c r="C8414" s="12">
        <v>0</v>
      </c>
      <c r="D8414" s="13">
        <v>0</v>
      </c>
      <c r="E8414" s="12">
        <v>0</v>
      </c>
      <c r="F8414" s="14">
        <v>0</v>
      </c>
      <c r="G8414" s="13">
        <v>80.4824</v>
      </c>
      <c r="H8414" s="14">
        <v>102359.037437</v>
      </c>
      <c r="I8414" s="14" t="e">
        <f>=Round(1.53600000,0)</f>
        <v>#VALUE!</v>
      </c>
      <c r="J8414" s="14" t="e">
        <f>=Round(0.69820000,0)</f>
        <v>#VALUE!</v>
      </c>
    </row>
    <row r="8415">
      <c r="A8415" s="11" t="s">
        <v>47</v>
      </c>
      <c r="B8415" s="12">
        <v>1271.8524</v>
      </c>
      <c r="C8415" s="12">
        <v>0</v>
      </c>
      <c r="D8415" s="13">
        <v>0</v>
      </c>
      <c r="E8415" s="12">
        <v>0</v>
      </c>
      <c r="F8415" s="14">
        <v>0</v>
      </c>
      <c r="G8415" s="13">
        <v>80.4824</v>
      </c>
      <c r="H8415" s="14">
        <v>102361.733598</v>
      </c>
      <c r="I8415" s="14" t="e">
        <f>=Round(1.53820000,0)</f>
        <v>#VALUE!</v>
      </c>
      <c r="J8415" s="14" t="e">
        <f>=Round(0.69920000,0)</f>
        <v>#VALUE!</v>
      </c>
    </row>
    <row r="8416">
      <c r="A8416" s="11" t="s">
        <v>48</v>
      </c>
      <c r="B8416" s="12">
        <v>1271.4146</v>
      </c>
      <c r="C8416" s="12">
        <v>0</v>
      </c>
      <c r="D8416" s="13">
        <v>0</v>
      </c>
      <c r="E8416" s="12">
        <v>0</v>
      </c>
      <c r="F8416" s="14">
        <v>0</v>
      </c>
      <c r="G8416" s="13">
        <v>80.4824</v>
      </c>
      <c r="H8416" s="14">
        <v>102326.498403</v>
      </c>
      <c r="I8416" s="14" t="e">
        <f>=Round(1.53820000,0)</f>
        <v>#VALUE!</v>
      </c>
      <c r="J8416" s="14" t="e">
        <f>=Round(0.69920000,0)</f>
        <v>#VALUE!</v>
      </c>
    </row>
    <row r="8417">
      <c r="A8417" s="11" t="s">
        <v>49</v>
      </c>
      <c r="B8417" s="12">
        <v>1271.4146</v>
      </c>
      <c r="C8417" s="12">
        <v>0</v>
      </c>
      <c r="D8417" s="13">
        <v>0</v>
      </c>
      <c r="E8417" s="12">
        <v>0</v>
      </c>
      <c r="F8417" s="14">
        <v>0</v>
      </c>
      <c r="G8417" s="13">
        <v>80.4824</v>
      </c>
      <c r="H8417" s="14">
        <v>102326.498403</v>
      </c>
      <c r="I8417" s="14" t="e">
        <f>=Round(1.53770000,0)</f>
        <v>#VALUE!</v>
      </c>
      <c r="J8417" s="14" t="e">
        <f>=Round(0.69900000,0)</f>
        <v>#VALUE!</v>
      </c>
    </row>
    <row r="8418">
      <c r="A8418" s="11" t="s">
        <v>50</v>
      </c>
      <c r="B8418" s="12">
        <v>1271.4146</v>
      </c>
      <c r="C8418" s="12">
        <v>0</v>
      </c>
      <c r="D8418" s="13">
        <v>0</v>
      </c>
      <c r="E8418" s="12">
        <v>0</v>
      </c>
      <c r="F8418" s="14">
        <v>0</v>
      </c>
      <c r="G8418" s="13">
        <v>80.4824</v>
      </c>
      <c r="H8418" s="14">
        <v>102326.498403</v>
      </c>
      <c r="I8418" s="14" t="e">
        <f>=Round(1.53770000,0)</f>
        <v>#VALUE!</v>
      </c>
      <c r="J8418" s="14" t="e">
        <f>=Round(0.69900000,0)</f>
        <v>#VALUE!</v>
      </c>
    </row>
    <row r="8419">
      <c r="A8419" s="11" t="s">
        <v>51</v>
      </c>
      <c r="B8419" s="12">
        <v>1268.7515</v>
      </c>
      <c r="C8419" s="12">
        <v>0</v>
      </c>
      <c r="D8419" s="13">
        <v>0</v>
      </c>
      <c r="E8419" s="12">
        <v>0</v>
      </c>
      <c r="F8419" s="14">
        <v>0</v>
      </c>
      <c r="G8419" s="13">
        <v>80.4824</v>
      </c>
      <c r="H8419" s="14">
        <v>102112.165724</v>
      </c>
      <c r="I8419" s="14" t="e">
        <f>=Round(1.53770000,0)</f>
        <v>#VALUE!</v>
      </c>
      <c r="J8419" s="14" t="e">
        <f>=Round(0.69900000,0)</f>
        <v>#VALUE!</v>
      </c>
    </row>
    <row r="8420">
      <c r="A8420" s="11" t="s">
        <v>52</v>
      </c>
      <c r="B8420" s="12">
        <v>1268.7071</v>
      </c>
      <c r="C8420" s="12">
        <v>0</v>
      </c>
      <c r="D8420" s="13">
        <v>0</v>
      </c>
      <c r="E8420" s="12">
        <v>0</v>
      </c>
      <c r="F8420" s="14">
        <v>0</v>
      </c>
      <c r="G8420" s="13">
        <v>80.4824</v>
      </c>
      <c r="H8420" s="14">
        <v>102108.592305</v>
      </c>
      <c r="I8420" s="14" t="e">
        <f>=Round(1.53450000,0)</f>
        <v>#VALUE!</v>
      </c>
      <c r="J8420" s="14" t="e">
        <f>=Round(0.69750000,0)</f>
        <v>#VALUE!</v>
      </c>
    </row>
    <row r="8421">
      <c r="A8421" s="11" t="s">
        <v>53</v>
      </c>
      <c r="B8421" s="12">
        <v>1263.6206</v>
      </c>
      <c r="C8421" s="12">
        <v>0</v>
      </c>
      <c r="D8421" s="13">
        <v>0</v>
      </c>
      <c r="E8421" s="12">
        <v>0</v>
      </c>
      <c r="F8421" s="14">
        <v>0</v>
      </c>
      <c r="G8421" s="13">
        <v>80.4824</v>
      </c>
      <c r="H8421" s="14">
        <v>101699.218577</v>
      </c>
      <c r="I8421" s="14" t="e">
        <f>=Round(1.53440000,0)</f>
        <v>#VALUE!</v>
      </c>
      <c r="J8421" s="14" t="e">
        <f>=Round(0.69750000,0)</f>
        <v>#VALUE!</v>
      </c>
    </row>
    <row r="8422">
      <c r="A8422" s="11" t="s">
        <v>54</v>
      </c>
      <c r="B8422" s="12">
        <v>1248.7736</v>
      </c>
      <c r="C8422" s="12">
        <v>0</v>
      </c>
      <c r="D8422" s="13">
        <v>0</v>
      </c>
      <c r="E8422" s="12">
        <v>0</v>
      </c>
      <c r="F8422" s="14">
        <v>0</v>
      </c>
      <c r="G8422" s="13">
        <v>80.4824</v>
      </c>
      <c r="H8422" s="14">
        <v>100504.296385</v>
      </c>
      <c r="I8422" s="14" t="e">
        <f>=Round(1.52830000,0)</f>
        <v>#VALUE!</v>
      </c>
      <c r="J8422" s="14" t="e">
        <f>=Round(0.69470000,0)</f>
        <v>#VALUE!</v>
      </c>
    </row>
    <row r="8423">
      <c r="A8423" s="11" t="s">
        <v>55</v>
      </c>
      <c r="B8423" s="12">
        <v>1235.2708</v>
      </c>
      <c r="C8423" s="12">
        <v>0</v>
      </c>
      <c r="D8423" s="13">
        <v>0</v>
      </c>
      <c r="E8423" s="12">
        <v>0</v>
      </c>
      <c r="F8423" s="14">
        <v>0</v>
      </c>
      <c r="G8423" s="13">
        <v>80.4824</v>
      </c>
      <c r="H8423" s="14">
        <v>99417.558634</v>
      </c>
      <c r="I8423" s="14" t="e">
        <f>=Round(1.51030000,0)</f>
        <v>#VALUE!</v>
      </c>
      <c r="J8423" s="14" t="e">
        <f>=Round(0.68650000,0)</f>
        <v>#VALUE!</v>
      </c>
    </row>
    <row r="8424" ht="-1">
      <c r="A8424" s="15"/>
      <c r="B8424" s="16" t="s">
        <v>56</v>
      </c>
      <c r="C8424" s="15"/>
      <c r="D8424" s="15"/>
      <c r="E8424" s="15"/>
      <c r="F8424" s="15"/>
      <c r="G8424" s="15"/>
      <c r="H8424" s="15"/>
      <c r="I8424" s="17" t="e">
        <f>=Round(SUM(I8398:I8423),0)</f>
        <v>#VALUE!</v>
      </c>
      <c r="J8424" s="17" t="e">
        <f>=Round(SUM(J8398:J8423),0)</f>
        <v>#VALUE!</v>
      </c>
    </row>
    <row r="8425">
      <c r="A8425" s="1" t="s">
        <v>0</v>
      </c>
      <c r="B8425" s="1"/>
      <c r="C8425" s="1"/>
      <c r="D8425" s="1"/>
    </row>
    <row r="8426">
      <c r="A8426" s="0" t="s">
        <v>1</v>
      </c>
      <c r="C8426" s="0" t="s">
        <v>274</v>
      </c>
      <c r="H8426" s="2" t="s">
        <v>3</v>
      </c>
    </row>
    <row r="8427">
      <c r="A8427" s="0" t="s">
        <v>4</v>
      </c>
      <c r="C8427" s="0" t="s">
        <v>132</v>
      </c>
      <c r="H8427" s="3" t="s">
        <v>6</v>
      </c>
    </row>
    <row r="8428">
      <c r="A8428" s="0" t="s">
        <v>7</v>
      </c>
      <c r="C8428" s="4" t="s">
        <v>146</v>
      </c>
      <c r="H8428" s="2" t="s">
        <v>9</v>
      </c>
    </row>
    <row r="8429">
      <c r="A8429" s="0" t="s">
        <v>10</v>
      </c>
      <c r="C8429" s="4" t="s">
        <v>124</v>
      </c>
      <c r="H8429" s="2" t="s">
        <v>12</v>
      </c>
    </row>
    <row r="8430">
      <c r="A8430" s="0" t="s">
        <v>13</v>
      </c>
      <c r="C8430" s="0" t="s">
        <v>14</v>
      </c>
    </row>
    <row r="8431">
      <c r="A8431" s="0" t="s">
        <v>15</v>
      </c>
      <c r="C8431" s="0" t="s">
        <v>16</v>
      </c>
    </row>
    <row r="8432">
      <c r="A8432" s="0" t="s">
        <v>17</v>
      </c>
      <c r="C8432" s="0" t="s">
        <v>18</v>
      </c>
    </row>
    <row r="8435">
      <c r="A8435" s="5" t="s">
        <v>19</v>
      </c>
      <c r="B8435" s="5" t="s">
        <v>20</v>
      </c>
      <c r="C8435" s="7" t="s">
        <v>21</v>
      </c>
      <c r="D8435" s="9"/>
      <c r="E8435" s="7" t="s">
        <v>22</v>
      </c>
      <c r="F8435" s="9"/>
      <c r="G8435" s="5" t="s">
        <v>23</v>
      </c>
      <c r="H8435" s="5" t="s">
        <v>24</v>
      </c>
      <c r="I8435" s="5" t="s">
        <v>147</v>
      </c>
      <c r="J8435" s="5" t="s">
        <v>125</v>
      </c>
    </row>
    <row r="8436">
      <c r="A8436" s="6"/>
      <c r="B8436" s="6"/>
      <c r="C8436" s="8" t="s">
        <v>27</v>
      </c>
      <c r="D8436" s="8" t="s">
        <v>28</v>
      </c>
      <c r="E8436" s="8" t="s">
        <v>27</v>
      </c>
      <c r="F8436" s="8" t="s">
        <v>28</v>
      </c>
      <c r="G8436" s="6"/>
      <c r="H8436" s="6"/>
      <c r="I8436" s="10" t="s">
        <v>29</v>
      </c>
      <c r="J8436" s="6"/>
    </row>
    <row r="8437">
      <c r="A8437" s="11" t="s">
        <v>30</v>
      </c>
      <c r="B8437" s="12">
        <v>1248.9282</v>
      </c>
      <c r="C8437" s="12">
        <v>0</v>
      </c>
      <c r="D8437" s="13">
        <v>0</v>
      </c>
      <c r="E8437" s="12">
        <v>0</v>
      </c>
      <c r="F8437" s="14">
        <v>0</v>
      </c>
      <c r="G8437" s="13">
        <v>233741.7115</v>
      </c>
      <c r="H8437" s="14">
        <v>291926615.008614</v>
      </c>
      <c r="I8437" s="14" t="e">
        <f>=Round(4397.53650000,0)</f>
        <v>#VALUE!</v>
      </c>
      <c r="J8437" s="14" t="e">
        <f>=Round(1998.87820000,0)</f>
        <v>#VALUE!</v>
      </c>
    </row>
    <row r="8438">
      <c r="A8438" s="11" t="s">
        <v>31</v>
      </c>
      <c r="B8438" s="12">
        <v>1256.528</v>
      </c>
      <c r="C8438" s="12">
        <v>19896.0946</v>
      </c>
      <c r="D8438" s="13">
        <v>25000000</v>
      </c>
      <c r="E8438" s="12">
        <v>0</v>
      </c>
      <c r="F8438" s="14">
        <v>0</v>
      </c>
      <c r="G8438" s="13">
        <v>233741.7115</v>
      </c>
      <c r="H8438" s="14">
        <v>293703005.267672</v>
      </c>
      <c r="I8438" s="14" t="e">
        <f>=Round(4386.87540000,0)</f>
        <v>#VALUE!</v>
      </c>
      <c r="J8438" s="14" t="e">
        <f>=Round(1994.03230000,0)</f>
        <v>#VALUE!</v>
      </c>
    </row>
    <row r="8439">
      <c r="A8439" s="11" t="s">
        <v>32</v>
      </c>
      <c r="B8439" s="12">
        <v>1254.6375</v>
      </c>
      <c r="C8439" s="12">
        <v>868.7768</v>
      </c>
      <c r="D8439" s="13">
        <v>1090000</v>
      </c>
      <c r="E8439" s="12">
        <v>0</v>
      </c>
      <c r="F8439" s="14">
        <v>0</v>
      </c>
      <c r="G8439" s="13">
        <v>253637.8061</v>
      </c>
      <c r="H8439" s="14">
        <v>318223502.950789</v>
      </c>
      <c r="I8439" s="14" t="e">
        <f>=Round(4413.56980000,0)</f>
        <v>#VALUE!</v>
      </c>
      <c r="J8439" s="14" t="e">
        <f>=Round(2006.16610000,0)</f>
        <v>#VALUE!</v>
      </c>
    </row>
    <row r="8440">
      <c r="A8440" s="11" t="s">
        <v>33</v>
      </c>
      <c r="B8440" s="12">
        <v>1260.0744</v>
      </c>
      <c r="C8440" s="12">
        <v>0</v>
      </c>
      <c r="D8440" s="13">
        <v>0</v>
      </c>
      <c r="E8440" s="12">
        <v>0</v>
      </c>
      <c r="F8440" s="14">
        <v>0</v>
      </c>
      <c r="G8440" s="13">
        <v>254506.5829</v>
      </c>
      <c r="H8440" s="14">
        <v>320697229.743768</v>
      </c>
      <c r="I8440" s="14" t="e">
        <f>=Round(4782.04720000,0)</f>
        <v>#VALUE!</v>
      </c>
      <c r="J8440" s="14" t="e">
        <f>=Round(2173.65560000,0)</f>
        <v>#VALUE!</v>
      </c>
    </row>
    <row r="8441">
      <c r="A8441" s="11" t="s">
        <v>34</v>
      </c>
      <c r="B8441" s="12">
        <v>1262.5315</v>
      </c>
      <c r="C8441" s="12">
        <v>0</v>
      </c>
      <c r="D8441" s="13">
        <v>0</v>
      </c>
      <c r="E8441" s="12">
        <v>20541.1981</v>
      </c>
      <c r="F8441" s="14">
        <v>25933909.65</v>
      </c>
      <c r="G8441" s="13">
        <v>254506.5829</v>
      </c>
      <c r="H8441" s="14">
        <v>321322577.868611</v>
      </c>
      <c r="I8441" s="14" t="e">
        <f>=Round(4819.22070000,0)</f>
        <v>#VALUE!</v>
      </c>
      <c r="J8441" s="14" t="e">
        <f>=Round(2190.55270000,0)</f>
        <v>#VALUE!</v>
      </c>
    </row>
    <row r="8442">
      <c r="A8442" s="11" t="s">
        <v>35</v>
      </c>
      <c r="B8442" s="12">
        <v>1262.5315</v>
      </c>
      <c r="C8442" s="12">
        <v>0</v>
      </c>
      <c r="D8442" s="13">
        <v>0</v>
      </c>
      <c r="E8442" s="12">
        <v>0</v>
      </c>
      <c r="F8442" s="14">
        <v>0</v>
      </c>
      <c r="G8442" s="13">
        <v>254506.5829</v>
      </c>
      <c r="H8442" s="14">
        <v>321322577.868611</v>
      </c>
      <c r="I8442" s="14" t="e">
        <f>=Round(4828.61800000,0)</f>
        <v>#VALUE!</v>
      </c>
      <c r="J8442" s="14" t="e">
        <f>=Round(2194.82420000,0)</f>
        <v>#VALUE!</v>
      </c>
    </row>
    <row r="8443">
      <c r="A8443" s="11" t="s">
        <v>36</v>
      </c>
      <c r="B8443" s="12">
        <v>1262.5315</v>
      </c>
      <c r="C8443" s="12">
        <v>0</v>
      </c>
      <c r="D8443" s="13">
        <v>0</v>
      </c>
      <c r="E8443" s="12">
        <v>0</v>
      </c>
      <c r="F8443" s="14">
        <v>0</v>
      </c>
      <c r="G8443" s="13">
        <v>254506.5829</v>
      </c>
      <c r="H8443" s="14">
        <v>321322577.868611</v>
      </c>
      <c r="I8443" s="14" t="e">
        <f>=Round(4828.61800000,0)</f>
        <v>#VALUE!</v>
      </c>
      <c r="J8443" s="14" t="e">
        <f>=Round(2194.82420000,0)</f>
        <v>#VALUE!</v>
      </c>
    </row>
    <row r="8444">
      <c r="A8444" s="11" t="s">
        <v>37</v>
      </c>
      <c r="B8444" s="12">
        <v>1260.7554</v>
      </c>
      <c r="C8444" s="12">
        <v>118976.2899</v>
      </c>
      <c r="D8444" s="13">
        <v>150000000</v>
      </c>
      <c r="E8444" s="12">
        <v>0</v>
      </c>
      <c r="F8444" s="14">
        <v>0</v>
      </c>
      <c r="G8444" s="13">
        <v>233965.3848</v>
      </c>
      <c r="H8444" s="14">
        <v>294973122.299678</v>
      </c>
      <c r="I8444" s="14" t="e">
        <f>=Round(4828.61800000,0)</f>
        <v>#VALUE!</v>
      </c>
      <c r="J8444" s="14" t="e">
        <f>=Round(2194.82420000,0)</f>
        <v>#VALUE!</v>
      </c>
    </row>
    <row r="8445">
      <c r="A8445" s="11" t="s">
        <v>38</v>
      </c>
      <c r="B8445" s="12">
        <v>1262.4788</v>
      </c>
      <c r="C8445" s="12">
        <v>0</v>
      </c>
      <c r="D8445" s="13">
        <v>0</v>
      </c>
      <c r="E8445" s="12">
        <v>0</v>
      </c>
      <c r="F8445" s="14">
        <v>0</v>
      </c>
      <c r="G8445" s="13">
        <v>352941.6747</v>
      </c>
      <c r="H8445" s="14">
        <v>445581381.945246</v>
      </c>
      <c r="I8445" s="14" t="e">
        <f>=Round(4432.65620000,0)</f>
        <v>#VALUE!</v>
      </c>
      <c r="J8445" s="14" t="e">
        <f>=Round(2014.84170000,0)</f>
        <v>#VALUE!</v>
      </c>
    </row>
    <row r="8446">
      <c r="A8446" s="11" t="s">
        <v>39</v>
      </c>
      <c r="B8446" s="12">
        <v>1266.2701</v>
      </c>
      <c r="C8446" s="12">
        <v>0</v>
      </c>
      <c r="D8446" s="13">
        <v>0</v>
      </c>
      <c r="E8446" s="12">
        <v>0</v>
      </c>
      <c r="F8446" s="14">
        <v>0</v>
      </c>
      <c r="G8446" s="13">
        <v>352941.6747</v>
      </c>
      <c r="H8446" s="14">
        <v>446919489.716536</v>
      </c>
      <c r="I8446" s="14" t="e">
        <f>=Round(6695.89510000,0)</f>
        <v>#VALUE!</v>
      </c>
      <c r="J8446" s="14" t="e">
        <f>=Round(3043.58560000,0)</f>
        <v>#VALUE!</v>
      </c>
    </row>
    <row r="8447">
      <c r="A8447" s="11" t="s">
        <v>40</v>
      </c>
      <c r="B8447" s="12">
        <v>1266.9583</v>
      </c>
      <c r="C8447" s="12">
        <v>0</v>
      </c>
      <c r="D8447" s="13">
        <v>0</v>
      </c>
      <c r="E8447" s="12">
        <v>0</v>
      </c>
      <c r="F8447" s="14">
        <v>0</v>
      </c>
      <c r="G8447" s="13">
        <v>352941.6747</v>
      </c>
      <c r="H8447" s="14">
        <v>447162384.177065</v>
      </c>
      <c r="I8447" s="14" t="e">
        <f>=Round(6716.00330000,0)</f>
        <v>#VALUE!</v>
      </c>
      <c r="J8447" s="14" t="e">
        <f>=Round(3052.72570000,0)</f>
        <v>#VALUE!</v>
      </c>
    </row>
    <row r="8448">
      <c r="A8448" s="11" t="s">
        <v>41</v>
      </c>
      <c r="B8448" s="12">
        <v>1266.1038</v>
      </c>
      <c r="C8448" s="12">
        <v>0</v>
      </c>
      <c r="D8448" s="13">
        <v>0</v>
      </c>
      <c r="E8448" s="12">
        <v>0</v>
      </c>
      <c r="F8448" s="14">
        <v>0</v>
      </c>
      <c r="G8448" s="13">
        <v>352941.6747</v>
      </c>
      <c r="H8448" s="14">
        <v>446860795.516034</v>
      </c>
      <c r="I8448" s="14" t="e">
        <f>=Round(6719.65330000,0)</f>
        <v>#VALUE!</v>
      </c>
      <c r="J8448" s="14" t="e">
        <f>=Round(3054.38480000,0)</f>
        <v>#VALUE!</v>
      </c>
    </row>
    <row r="8449">
      <c r="A8449" s="11" t="s">
        <v>42</v>
      </c>
      <c r="B8449" s="12">
        <v>1266.1038</v>
      </c>
      <c r="C8449" s="12">
        <v>0</v>
      </c>
      <c r="D8449" s="13">
        <v>0</v>
      </c>
      <c r="E8449" s="12">
        <v>0</v>
      </c>
      <c r="F8449" s="14">
        <v>0</v>
      </c>
      <c r="G8449" s="13">
        <v>352941.6747</v>
      </c>
      <c r="H8449" s="14">
        <v>446860795.516034</v>
      </c>
      <c r="I8449" s="14" t="e">
        <f>=Round(6715.12120000,0)</f>
        <v>#VALUE!</v>
      </c>
      <c r="J8449" s="14" t="e">
        <f>=Round(3052.32480000,0)</f>
        <v>#VALUE!</v>
      </c>
    </row>
    <row r="8450">
      <c r="A8450" s="11" t="s">
        <v>43</v>
      </c>
      <c r="B8450" s="12">
        <v>1266.1038</v>
      </c>
      <c r="C8450" s="12">
        <v>0</v>
      </c>
      <c r="D8450" s="13">
        <v>0</v>
      </c>
      <c r="E8450" s="12">
        <v>0</v>
      </c>
      <c r="F8450" s="14">
        <v>0</v>
      </c>
      <c r="G8450" s="13">
        <v>352941.6747</v>
      </c>
      <c r="H8450" s="14">
        <v>446860795.516034</v>
      </c>
      <c r="I8450" s="14" t="e">
        <f>=Round(6715.12120000,0)</f>
        <v>#VALUE!</v>
      </c>
      <c r="J8450" s="14" t="e">
        <f>=Round(3052.32480000,0)</f>
        <v>#VALUE!</v>
      </c>
    </row>
    <row r="8451">
      <c r="A8451" s="11" t="s">
        <v>44</v>
      </c>
      <c r="B8451" s="12">
        <v>1267.4076</v>
      </c>
      <c r="C8451" s="12">
        <v>1578.0243</v>
      </c>
      <c r="D8451" s="13">
        <v>2000000</v>
      </c>
      <c r="E8451" s="12">
        <v>0</v>
      </c>
      <c r="F8451" s="14">
        <v>0</v>
      </c>
      <c r="G8451" s="13">
        <v>352941.6747</v>
      </c>
      <c r="H8451" s="14">
        <v>447320960.871508</v>
      </c>
      <c r="I8451" s="14" t="e">
        <f>=Round(6715.12120000,0)</f>
        <v>#VALUE!</v>
      </c>
      <c r="J8451" s="14" t="e">
        <f>=Round(3052.32480000,0)</f>
        <v>#VALUE!</v>
      </c>
    </row>
    <row r="8452">
      <c r="A8452" s="11" t="s">
        <v>45</v>
      </c>
      <c r="B8452" s="12">
        <v>1270.0303</v>
      </c>
      <c r="C8452" s="12">
        <v>0</v>
      </c>
      <c r="D8452" s="13">
        <v>0</v>
      </c>
      <c r="E8452" s="12">
        <v>0</v>
      </c>
      <c r="F8452" s="14">
        <v>0</v>
      </c>
      <c r="G8452" s="13">
        <v>354519.699</v>
      </c>
      <c r="H8452" s="14">
        <v>450250759.67688</v>
      </c>
      <c r="I8452" s="14" t="e">
        <f>=Round(6722.03630000,0)</f>
        <v>#VALUE!</v>
      </c>
      <c r="J8452" s="14" t="e">
        <f>=Round(3055.46800000,0)</f>
        <v>#VALUE!</v>
      </c>
    </row>
    <row r="8453">
      <c r="A8453" s="11" t="s">
        <v>46</v>
      </c>
      <c r="B8453" s="12">
        <v>1271.8189</v>
      </c>
      <c r="C8453" s="12">
        <v>0</v>
      </c>
      <c r="D8453" s="13">
        <v>0</v>
      </c>
      <c r="E8453" s="12">
        <v>0</v>
      </c>
      <c r="F8453" s="14">
        <v>0</v>
      </c>
      <c r="G8453" s="13">
        <v>354519.699</v>
      </c>
      <c r="H8453" s="14">
        <v>450884853.610511</v>
      </c>
      <c r="I8453" s="14" t="e">
        <f>=Round(6766.06330000,0)</f>
        <v>#VALUE!</v>
      </c>
      <c r="J8453" s="14" t="e">
        <f>=Round(3075.48030000,0)</f>
        <v>#VALUE!</v>
      </c>
    </row>
    <row r="8454">
      <c r="A8454" s="11" t="s">
        <v>47</v>
      </c>
      <c r="B8454" s="12">
        <v>1271.8524</v>
      </c>
      <c r="C8454" s="12">
        <v>0</v>
      </c>
      <c r="D8454" s="13">
        <v>0</v>
      </c>
      <c r="E8454" s="12">
        <v>0</v>
      </c>
      <c r="F8454" s="14">
        <v>0</v>
      </c>
      <c r="G8454" s="13">
        <v>354519.699</v>
      </c>
      <c r="H8454" s="14">
        <v>450896730.020428</v>
      </c>
      <c r="I8454" s="14" t="e">
        <f>=Round(6775.59210000,0)</f>
        <v>#VALUE!</v>
      </c>
      <c r="J8454" s="14" t="e">
        <f>=Round(3079.81150000,0)</f>
        <v>#VALUE!</v>
      </c>
    </row>
    <row r="8455">
      <c r="A8455" s="11" t="s">
        <v>48</v>
      </c>
      <c r="B8455" s="12">
        <v>1271.4146</v>
      </c>
      <c r="C8455" s="12">
        <v>0</v>
      </c>
      <c r="D8455" s="13">
        <v>0</v>
      </c>
      <c r="E8455" s="12">
        <v>0</v>
      </c>
      <c r="F8455" s="14">
        <v>0</v>
      </c>
      <c r="G8455" s="13">
        <v>354519.699</v>
      </c>
      <c r="H8455" s="14">
        <v>450741521.296205</v>
      </c>
      <c r="I8455" s="14" t="e">
        <f>=Round(6775.77050000,0)</f>
        <v>#VALUE!</v>
      </c>
      <c r="J8455" s="14" t="e">
        <f>=Round(3079.89260000,0)</f>
        <v>#VALUE!</v>
      </c>
    </row>
    <row r="8456">
      <c r="A8456" s="11" t="s">
        <v>49</v>
      </c>
      <c r="B8456" s="12">
        <v>1271.4146</v>
      </c>
      <c r="C8456" s="12">
        <v>0</v>
      </c>
      <c r="D8456" s="13">
        <v>0</v>
      </c>
      <c r="E8456" s="12">
        <v>0</v>
      </c>
      <c r="F8456" s="14">
        <v>0</v>
      </c>
      <c r="G8456" s="13">
        <v>354519.699</v>
      </c>
      <c r="H8456" s="14">
        <v>450741521.296205</v>
      </c>
      <c r="I8456" s="14" t="e">
        <f>=Round(6773.43820000,0)</f>
        <v>#VALUE!</v>
      </c>
      <c r="J8456" s="14" t="e">
        <f>=Round(3078.83240000,0)</f>
        <v>#VALUE!</v>
      </c>
    </row>
    <row r="8457">
      <c r="A8457" s="11" t="s">
        <v>50</v>
      </c>
      <c r="B8457" s="12">
        <v>1271.4146</v>
      </c>
      <c r="C8457" s="12">
        <v>0</v>
      </c>
      <c r="D8457" s="13">
        <v>0</v>
      </c>
      <c r="E8457" s="12">
        <v>0</v>
      </c>
      <c r="F8457" s="14">
        <v>0</v>
      </c>
      <c r="G8457" s="13">
        <v>354519.699</v>
      </c>
      <c r="H8457" s="14">
        <v>450741521.296205</v>
      </c>
      <c r="I8457" s="14" t="e">
        <f>=Round(6773.43820000,0)</f>
        <v>#VALUE!</v>
      </c>
      <c r="J8457" s="14" t="e">
        <f>=Round(3078.83240000,0)</f>
        <v>#VALUE!</v>
      </c>
    </row>
    <row r="8458">
      <c r="A8458" s="11" t="s">
        <v>51</v>
      </c>
      <c r="B8458" s="12">
        <v>1268.7515</v>
      </c>
      <c r="C8458" s="12">
        <v>80687.4979</v>
      </c>
      <c r="D8458" s="13">
        <v>102372384</v>
      </c>
      <c r="E8458" s="12">
        <v>0</v>
      </c>
      <c r="F8458" s="14">
        <v>0</v>
      </c>
      <c r="G8458" s="13">
        <v>354519.699</v>
      </c>
      <c r="H8458" s="14">
        <v>449797399.885799</v>
      </c>
      <c r="I8458" s="14" t="e">
        <f>=Round(6773.43820000,0)</f>
        <v>#VALUE!</v>
      </c>
      <c r="J8458" s="14" t="e">
        <f>=Round(3078.83240000,0)</f>
        <v>#VALUE!</v>
      </c>
    </row>
    <row r="8459">
      <c r="A8459" s="11" t="s">
        <v>52</v>
      </c>
      <c r="B8459" s="12">
        <v>1268.7071</v>
      </c>
      <c r="C8459" s="12">
        <v>0</v>
      </c>
      <c r="D8459" s="13">
        <v>0</v>
      </c>
      <c r="E8459" s="12">
        <v>0</v>
      </c>
      <c r="F8459" s="14">
        <v>0</v>
      </c>
      <c r="G8459" s="13">
        <v>435207.1969</v>
      </c>
      <c r="H8459" s="14">
        <v>552150460.678128</v>
      </c>
      <c r="I8459" s="14" t="e">
        <f>=Round(6759.25050000,0)</f>
        <v>#VALUE!</v>
      </c>
      <c r="J8459" s="14" t="e">
        <f>=Round(3072.38350000,0)</f>
        <v>#VALUE!</v>
      </c>
    </row>
    <row r="8460">
      <c r="A8460" s="11" t="s">
        <v>53</v>
      </c>
      <c r="B8460" s="12">
        <v>1263.6206</v>
      </c>
      <c r="C8460" s="12">
        <v>0</v>
      </c>
      <c r="D8460" s="13">
        <v>0</v>
      </c>
      <c r="E8460" s="12">
        <v>0</v>
      </c>
      <c r="F8460" s="14">
        <v>0</v>
      </c>
      <c r="G8460" s="13">
        <v>435207.1969</v>
      </c>
      <c r="H8460" s="14">
        <v>549936779.271096</v>
      </c>
      <c r="I8460" s="14" t="e">
        <f>=Round(8297.34300000,0)</f>
        <v>#VALUE!</v>
      </c>
      <c r="J8460" s="14" t="e">
        <f>=Round(3771.51580000,0)</f>
        <v>#VALUE!</v>
      </c>
    </row>
    <row r="8461">
      <c r="A8461" s="11" t="s">
        <v>54</v>
      </c>
      <c r="B8461" s="12">
        <v>1248.7736</v>
      </c>
      <c r="C8461" s="12">
        <v>0</v>
      </c>
      <c r="D8461" s="13">
        <v>0</v>
      </c>
      <c r="E8461" s="12">
        <v>0</v>
      </c>
      <c r="F8461" s="14">
        <v>0</v>
      </c>
      <c r="G8461" s="13">
        <v>435207.1969</v>
      </c>
      <c r="H8461" s="14">
        <v>543475258.018722</v>
      </c>
      <c r="I8461" s="14" t="e">
        <f>=Round(8264.07730000,0)</f>
        <v>#VALUE!</v>
      </c>
      <c r="J8461" s="14" t="e">
        <f>=Round(3756.39500000,0)</f>
        <v>#VALUE!</v>
      </c>
    </row>
    <row r="8462">
      <c r="A8462" s="11" t="s">
        <v>55</v>
      </c>
      <c r="B8462" s="12">
        <v>1235.2708</v>
      </c>
      <c r="C8462" s="12">
        <v>0</v>
      </c>
      <c r="D8462" s="13">
        <v>0</v>
      </c>
      <c r="E8462" s="12">
        <v>159.6406</v>
      </c>
      <c r="F8462" s="14">
        <v>197199.37</v>
      </c>
      <c r="G8462" s="13">
        <v>435207.1969</v>
      </c>
      <c r="H8462" s="14">
        <v>537598742.280421</v>
      </c>
      <c r="I8462" s="14" t="e">
        <f>=Round(8166.97790000,0)</f>
        <v>#VALUE!</v>
      </c>
      <c r="J8462" s="14" t="e">
        <f>=Round(3712.25900000,0)</f>
        <v>#VALUE!</v>
      </c>
    </row>
    <row r="8463" ht="-1">
      <c r="A8463" s="15"/>
      <c r="B8463" s="16" t="s">
        <v>56</v>
      </c>
      <c r="C8463" s="15"/>
      <c r="D8463" s="15"/>
      <c r="E8463" s="15"/>
      <c r="F8463" s="15"/>
      <c r="G8463" s="15"/>
      <c r="H8463" s="15"/>
      <c r="I8463" s="17" t="e">
        <f>=Round(SUM(I8437:I8462),0)</f>
        <v>#VALUE!</v>
      </c>
      <c r="J8463" s="17" t="e">
        <f>=Round(SUM(J8437:J8462),0)</f>
        <v>#VALUE!</v>
      </c>
    </row>
    <row r="8464">
      <c r="A8464" s="1" t="s">
        <v>0</v>
      </c>
      <c r="B8464" s="1"/>
      <c r="C8464" s="1"/>
      <c r="D8464" s="1"/>
    </row>
    <row r="8465">
      <c r="A8465" s="0" t="s">
        <v>1</v>
      </c>
      <c r="C8465" s="0" t="s">
        <v>274</v>
      </c>
      <c r="H8465" s="2" t="s">
        <v>3</v>
      </c>
    </row>
    <row r="8466">
      <c r="A8466" s="0" t="s">
        <v>4</v>
      </c>
      <c r="C8466" s="0" t="s">
        <v>284</v>
      </c>
      <c r="H8466" s="3" t="s">
        <v>6</v>
      </c>
    </row>
    <row r="8467">
      <c r="A8467" s="0" t="s">
        <v>7</v>
      </c>
      <c r="C8467" s="4" t="s">
        <v>146</v>
      </c>
      <c r="H8467" s="2" t="s">
        <v>9</v>
      </c>
    </row>
    <row r="8468">
      <c r="A8468" s="0" t="s">
        <v>10</v>
      </c>
      <c r="C8468" s="4" t="s">
        <v>11</v>
      </c>
      <c r="H8468" s="2" t="s">
        <v>12</v>
      </c>
    </row>
    <row r="8469">
      <c r="A8469" s="0" t="s">
        <v>13</v>
      </c>
      <c r="C8469" s="0" t="s">
        <v>14</v>
      </c>
    </row>
    <row r="8470">
      <c r="A8470" s="0" t="s">
        <v>15</v>
      </c>
      <c r="C8470" s="0" t="s">
        <v>16</v>
      </c>
    </row>
    <row r="8471">
      <c r="A8471" s="0" t="s">
        <v>17</v>
      </c>
      <c r="C8471" s="0" t="s">
        <v>18</v>
      </c>
    </row>
    <row r="8474">
      <c r="A8474" s="5" t="s">
        <v>19</v>
      </c>
      <c r="B8474" s="5" t="s">
        <v>20</v>
      </c>
      <c r="C8474" s="7" t="s">
        <v>21</v>
      </c>
      <c r="D8474" s="9"/>
      <c r="E8474" s="7" t="s">
        <v>22</v>
      </c>
      <c r="F8474" s="9"/>
      <c r="G8474" s="5" t="s">
        <v>23</v>
      </c>
      <c r="H8474" s="5" t="s">
        <v>24</v>
      </c>
      <c r="I8474" s="5" t="s">
        <v>147</v>
      </c>
      <c r="J8474" s="5" t="s">
        <v>26</v>
      </c>
    </row>
    <row r="8475">
      <c r="A8475" s="6"/>
      <c r="B8475" s="6"/>
      <c r="C8475" s="8" t="s">
        <v>27</v>
      </c>
      <c r="D8475" s="8" t="s">
        <v>28</v>
      </c>
      <c r="E8475" s="8" t="s">
        <v>27</v>
      </c>
      <c r="F8475" s="8" t="s">
        <v>28</v>
      </c>
      <c r="G8475" s="6"/>
      <c r="H8475" s="6"/>
      <c r="I8475" s="10" t="s">
        <v>29</v>
      </c>
      <c r="J8475" s="6"/>
    </row>
    <row r="8476">
      <c r="A8476" s="11" t="s">
        <v>30</v>
      </c>
      <c r="B8476" s="12">
        <v>1248.9282</v>
      </c>
      <c r="C8476" s="12">
        <v>0</v>
      </c>
      <c r="D8476" s="13">
        <v>0</v>
      </c>
      <c r="E8476" s="12">
        <v>0</v>
      </c>
      <c r="F8476" s="14">
        <v>0</v>
      </c>
      <c r="G8476" s="13">
        <v>1662123.2528</v>
      </c>
      <c r="H8476" s="14">
        <v>2075872602.2976489</v>
      </c>
      <c r="I8476" s="14" t="e">
        <f>=Round(31270.61790000,0)</f>
        <v>#VALUE!</v>
      </c>
      <c r="J8476" s="14" t="e">
        <f>=Round(0.00000000,0)</f>
        <v>#VALUE!</v>
      </c>
    </row>
    <row r="8477">
      <c r="A8477" s="11" t="s">
        <v>31</v>
      </c>
      <c r="B8477" s="12">
        <v>1256.528</v>
      </c>
      <c r="C8477" s="12">
        <v>0</v>
      </c>
      <c r="D8477" s="13">
        <v>0</v>
      </c>
      <c r="E8477" s="12">
        <v>0</v>
      </c>
      <c r="F8477" s="14">
        <v>0</v>
      </c>
      <c r="G8477" s="13">
        <v>1662123.2528</v>
      </c>
      <c r="H8477" s="14">
        <v>2088504406.5942781</v>
      </c>
      <c r="I8477" s="14" t="e">
        <f>=Round(31194.80690000,0)</f>
        <v>#VALUE!</v>
      </c>
      <c r="J8477" s="14" t="e">
        <f>=Round(0.00000000,0)</f>
        <v>#VALUE!</v>
      </c>
    </row>
    <row r="8478">
      <c r="A8478" s="11" t="s">
        <v>32</v>
      </c>
      <c r="B8478" s="12">
        <v>1254.6375</v>
      </c>
      <c r="C8478" s="12">
        <v>0</v>
      </c>
      <c r="D8478" s="13">
        <v>0</v>
      </c>
      <c r="E8478" s="12">
        <v>0</v>
      </c>
      <c r="F8478" s="14">
        <v>0</v>
      </c>
      <c r="G8478" s="13">
        <v>1662123.2528</v>
      </c>
      <c r="H8478" s="14">
        <v>2085362162.58486</v>
      </c>
      <c r="I8478" s="14" t="e">
        <f>=Round(31384.62910000,0)</f>
        <v>#VALUE!</v>
      </c>
      <c r="J8478" s="14" t="e">
        <f>=Round(0.00000000,0)</f>
        <v>#VALUE!</v>
      </c>
    </row>
    <row r="8479">
      <c r="A8479" s="11" t="s">
        <v>33</v>
      </c>
      <c r="B8479" s="12">
        <v>1260.0744</v>
      </c>
      <c r="C8479" s="12">
        <v>0</v>
      </c>
      <c r="D8479" s="13">
        <v>0</v>
      </c>
      <c r="E8479" s="12">
        <v>0</v>
      </c>
      <c r="F8479" s="14">
        <v>0</v>
      </c>
      <c r="G8479" s="13">
        <v>1662123.2528</v>
      </c>
      <c r="H8479" s="14">
        <v>2094398960.498008</v>
      </c>
      <c r="I8479" s="14" t="e">
        <f>=Round(31337.40950000,0)</f>
        <v>#VALUE!</v>
      </c>
      <c r="J8479" s="14" t="e">
        <f>=Round(0.00000000,0)</f>
        <v>#VALUE!</v>
      </c>
    </row>
    <row r="8480">
      <c r="A8480" s="11" t="s">
        <v>34</v>
      </c>
      <c r="B8480" s="12">
        <v>1262.5315</v>
      </c>
      <c r="C8480" s="12">
        <v>0</v>
      </c>
      <c r="D8480" s="13">
        <v>0</v>
      </c>
      <c r="E8480" s="12">
        <v>0</v>
      </c>
      <c r="F8480" s="14">
        <v>0</v>
      </c>
      <c r="G8480" s="13">
        <v>1662123.2528</v>
      </c>
      <c r="H8480" s="14">
        <v>2098482963.5424631</v>
      </c>
      <c r="I8480" s="14" t="e">
        <f>=Round(31473.20840000,0)</f>
        <v>#VALUE!</v>
      </c>
      <c r="J8480" s="14" t="e">
        <f>=Round(0.00000000,0)</f>
        <v>#VALUE!</v>
      </c>
    </row>
    <row r="8481">
      <c r="A8481" s="11" t="s">
        <v>35</v>
      </c>
      <c r="B8481" s="12">
        <v>1262.5315</v>
      </c>
      <c r="C8481" s="12">
        <v>0</v>
      </c>
      <c r="D8481" s="13">
        <v>0</v>
      </c>
      <c r="E8481" s="12">
        <v>0</v>
      </c>
      <c r="F8481" s="14">
        <v>0</v>
      </c>
      <c r="G8481" s="13">
        <v>1662123.2528</v>
      </c>
      <c r="H8481" s="14">
        <v>2098482963.5424631</v>
      </c>
      <c r="I8481" s="14" t="e">
        <f>=Round(31534.58010000,0)</f>
        <v>#VALUE!</v>
      </c>
      <c r="J8481" s="14" t="e">
        <f>=Round(0.00000000,0)</f>
        <v>#VALUE!</v>
      </c>
    </row>
    <row r="8482">
      <c r="A8482" s="11" t="s">
        <v>36</v>
      </c>
      <c r="B8482" s="12">
        <v>1262.5315</v>
      </c>
      <c r="C8482" s="12">
        <v>0</v>
      </c>
      <c r="D8482" s="13">
        <v>0</v>
      </c>
      <c r="E8482" s="12">
        <v>0</v>
      </c>
      <c r="F8482" s="14">
        <v>0</v>
      </c>
      <c r="G8482" s="13">
        <v>1662123.2528</v>
      </c>
      <c r="H8482" s="14">
        <v>2098482963.5424631</v>
      </c>
      <c r="I8482" s="14" t="e">
        <f>=Round(31534.58010000,0)</f>
        <v>#VALUE!</v>
      </c>
      <c r="J8482" s="14" t="e">
        <f>=Round(0.00000000,0)</f>
        <v>#VALUE!</v>
      </c>
    </row>
    <row r="8483">
      <c r="A8483" s="11" t="s">
        <v>37</v>
      </c>
      <c r="B8483" s="12">
        <v>1260.7554</v>
      </c>
      <c r="C8483" s="12">
        <v>0</v>
      </c>
      <c r="D8483" s="13">
        <v>0</v>
      </c>
      <c r="E8483" s="12">
        <v>0</v>
      </c>
      <c r="F8483" s="14">
        <v>0</v>
      </c>
      <c r="G8483" s="13">
        <v>1662123.2528</v>
      </c>
      <c r="H8483" s="14">
        <v>2095530866.4331651</v>
      </c>
      <c r="I8483" s="14" t="e">
        <f>=Round(31534.58010000,0)</f>
        <v>#VALUE!</v>
      </c>
      <c r="J8483" s="14" t="e">
        <f>=Round(0.00000000,0)</f>
        <v>#VALUE!</v>
      </c>
    </row>
    <row r="8484">
      <c r="A8484" s="11" t="s">
        <v>38</v>
      </c>
      <c r="B8484" s="12">
        <v>1262.4788</v>
      </c>
      <c r="C8484" s="12">
        <v>0</v>
      </c>
      <c r="D8484" s="13">
        <v>0</v>
      </c>
      <c r="E8484" s="12">
        <v>0</v>
      </c>
      <c r="F8484" s="14">
        <v>0</v>
      </c>
      <c r="G8484" s="13">
        <v>1662123.2528</v>
      </c>
      <c r="H8484" s="14">
        <v>2098395369.6470411</v>
      </c>
      <c r="I8484" s="14" t="e">
        <f>=Round(31490.21790000,0)</f>
        <v>#VALUE!</v>
      </c>
      <c r="J8484" s="14" t="e">
        <f>=Round(0.00000000,0)</f>
        <v>#VALUE!</v>
      </c>
    </row>
    <row r="8485">
      <c r="A8485" s="11" t="s">
        <v>39</v>
      </c>
      <c r="B8485" s="12">
        <v>1266.2701</v>
      </c>
      <c r="C8485" s="12">
        <v>0</v>
      </c>
      <c r="D8485" s="13">
        <v>0</v>
      </c>
      <c r="E8485" s="12">
        <v>0</v>
      </c>
      <c r="F8485" s="14">
        <v>0</v>
      </c>
      <c r="G8485" s="13">
        <v>1662123.2528</v>
      </c>
      <c r="H8485" s="14">
        <v>2104696977.5353811</v>
      </c>
      <c r="I8485" s="14" t="e">
        <f>=Round(31533.26380000,0)</f>
        <v>#VALUE!</v>
      </c>
      <c r="J8485" s="14" t="e">
        <f>=Round(0.00000000,0)</f>
        <v>#VALUE!</v>
      </c>
    </row>
    <row r="8486">
      <c r="A8486" s="11" t="s">
        <v>40</v>
      </c>
      <c r="B8486" s="12">
        <v>1266.9583</v>
      </c>
      <c r="C8486" s="12">
        <v>0</v>
      </c>
      <c r="D8486" s="13">
        <v>0</v>
      </c>
      <c r="E8486" s="12">
        <v>0</v>
      </c>
      <c r="F8486" s="14">
        <v>0</v>
      </c>
      <c r="G8486" s="13">
        <v>1662123.2528</v>
      </c>
      <c r="H8486" s="14">
        <v>2105840850.7579579</v>
      </c>
      <c r="I8486" s="14" t="e">
        <f>=Round(31627.96000000,0)</f>
        <v>#VALUE!</v>
      </c>
      <c r="J8486" s="14" t="e">
        <f>=Round(0.00000000,0)</f>
        <v>#VALUE!</v>
      </c>
    </row>
    <row r="8487">
      <c r="A8487" s="11" t="s">
        <v>41</v>
      </c>
      <c r="B8487" s="12">
        <v>1266.1038</v>
      </c>
      <c r="C8487" s="12">
        <v>0</v>
      </c>
      <c r="D8487" s="13">
        <v>0</v>
      </c>
      <c r="E8487" s="12">
        <v>0</v>
      </c>
      <c r="F8487" s="14">
        <v>0</v>
      </c>
      <c r="G8487" s="13">
        <v>1662123.2528</v>
      </c>
      <c r="H8487" s="14">
        <v>2104420566.438441</v>
      </c>
      <c r="I8487" s="14" t="e">
        <f>=Round(31645.14940000,0)</f>
        <v>#VALUE!</v>
      </c>
      <c r="J8487" s="14" t="e">
        <f>=Round(0.00000000,0)</f>
        <v>#VALUE!</v>
      </c>
    </row>
    <row r="8488">
      <c r="A8488" s="11" t="s">
        <v>42</v>
      </c>
      <c r="B8488" s="12">
        <v>1266.1038</v>
      </c>
      <c r="C8488" s="12">
        <v>0</v>
      </c>
      <c r="D8488" s="13">
        <v>0</v>
      </c>
      <c r="E8488" s="12">
        <v>0</v>
      </c>
      <c r="F8488" s="14">
        <v>0</v>
      </c>
      <c r="G8488" s="13">
        <v>1662123.2528</v>
      </c>
      <c r="H8488" s="14">
        <v>2104420566.438441</v>
      </c>
      <c r="I8488" s="14" t="e">
        <f>=Round(31623.80630000,0)</f>
        <v>#VALUE!</v>
      </c>
      <c r="J8488" s="14" t="e">
        <f>=Round(0.00000000,0)</f>
        <v>#VALUE!</v>
      </c>
    </row>
    <row r="8489">
      <c r="A8489" s="11" t="s">
        <v>43</v>
      </c>
      <c r="B8489" s="12">
        <v>1266.1038</v>
      </c>
      <c r="C8489" s="12">
        <v>0</v>
      </c>
      <c r="D8489" s="13">
        <v>0</v>
      </c>
      <c r="E8489" s="12">
        <v>0</v>
      </c>
      <c r="F8489" s="14">
        <v>0</v>
      </c>
      <c r="G8489" s="13">
        <v>1662123.2528</v>
      </c>
      <c r="H8489" s="14">
        <v>2104420566.438441</v>
      </c>
      <c r="I8489" s="14" t="e">
        <f>=Round(31623.80630000,0)</f>
        <v>#VALUE!</v>
      </c>
      <c r="J8489" s="14" t="e">
        <f>=Round(0.00000000,0)</f>
        <v>#VALUE!</v>
      </c>
    </row>
    <row r="8490">
      <c r="A8490" s="11" t="s">
        <v>44</v>
      </c>
      <c r="B8490" s="12">
        <v>1267.4076</v>
      </c>
      <c r="C8490" s="12">
        <v>0</v>
      </c>
      <c r="D8490" s="13">
        <v>0</v>
      </c>
      <c r="E8490" s="12">
        <v>0</v>
      </c>
      <c r="F8490" s="14">
        <v>0</v>
      </c>
      <c r="G8490" s="13">
        <v>1662123.2528</v>
      </c>
      <c r="H8490" s="14">
        <v>2106587642.735441</v>
      </c>
      <c r="I8490" s="14" t="e">
        <f>=Round(31623.80630000,0)</f>
        <v>#VALUE!</v>
      </c>
      <c r="J8490" s="14" t="e">
        <f>=Round(0.00000000,0)</f>
        <v>#VALUE!</v>
      </c>
    </row>
    <row r="8491">
      <c r="A8491" s="11" t="s">
        <v>45</v>
      </c>
      <c r="B8491" s="12">
        <v>1270.0303</v>
      </c>
      <c r="C8491" s="12">
        <v>0</v>
      </c>
      <c r="D8491" s="13">
        <v>0</v>
      </c>
      <c r="E8491" s="12">
        <v>0</v>
      </c>
      <c r="F8491" s="14">
        <v>0</v>
      </c>
      <c r="G8491" s="13">
        <v>1662123.2528</v>
      </c>
      <c r="H8491" s="14">
        <v>2110946893.39056</v>
      </c>
      <c r="I8491" s="14" t="e">
        <f>=Round(31656.37170000,0)</f>
        <v>#VALUE!</v>
      </c>
      <c r="J8491" s="14" t="e">
        <f>=Round(0.00000000,0)</f>
        <v>#VALUE!</v>
      </c>
    </row>
    <row r="8492">
      <c r="A8492" s="11" t="s">
        <v>46</v>
      </c>
      <c r="B8492" s="12">
        <v>1271.8189</v>
      </c>
      <c r="C8492" s="12">
        <v>0</v>
      </c>
      <c r="D8492" s="13">
        <v>0</v>
      </c>
      <c r="E8492" s="12">
        <v>0</v>
      </c>
      <c r="F8492" s="14">
        <v>0</v>
      </c>
      <c r="G8492" s="13">
        <v>1662123.2528</v>
      </c>
      <c r="H8492" s="14">
        <v>2113919767.0405181</v>
      </c>
      <c r="I8492" s="14" t="e">
        <f>=Round(31721.87950000,0)</f>
        <v>#VALUE!</v>
      </c>
      <c r="J8492" s="14" t="e">
        <f>=Round(0.00000000,0)</f>
        <v>#VALUE!</v>
      </c>
    </row>
    <row r="8493">
      <c r="A8493" s="11" t="s">
        <v>47</v>
      </c>
      <c r="B8493" s="12">
        <v>1271.8524</v>
      </c>
      <c r="C8493" s="12">
        <v>0</v>
      </c>
      <c r="D8493" s="13">
        <v>0</v>
      </c>
      <c r="E8493" s="12">
        <v>0</v>
      </c>
      <c r="F8493" s="14">
        <v>0</v>
      </c>
      <c r="G8493" s="13">
        <v>1662123.2528</v>
      </c>
      <c r="H8493" s="14">
        <v>2113975448.169487</v>
      </c>
      <c r="I8493" s="14" t="e">
        <f>=Round(31766.55390000,0)</f>
        <v>#VALUE!</v>
      </c>
      <c r="J8493" s="14" t="e">
        <f>=Round(0.00000000,0)</f>
        <v>#VALUE!</v>
      </c>
    </row>
    <row r="8494">
      <c r="A8494" s="11" t="s">
        <v>48</v>
      </c>
      <c r="B8494" s="12">
        <v>1271.4146</v>
      </c>
      <c r="C8494" s="12">
        <v>0</v>
      </c>
      <c r="D8494" s="13">
        <v>0</v>
      </c>
      <c r="E8494" s="12">
        <v>0</v>
      </c>
      <c r="F8494" s="14">
        <v>0</v>
      </c>
      <c r="G8494" s="13">
        <v>1662123.2528</v>
      </c>
      <c r="H8494" s="14">
        <v>2113247770.609411</v>
      </c>
      <c r="I8494" s="14" t="e">
        <f>=Round(31767.39060000,0)</f>
        <v>#VALUE!</v>
      </c>
      <c r="J8494" s="14" t="e">
        <f>=Round(0.00000000,0)</f>
        <v>#VALUE!</v>
      </c>
    </row>
    <row r="8495">
      <c r="A8495" s="11" t="s">
        <v>49</v>
      </c>
      <c r="B8495" s="12">
        <v>1271.4146</v>
      </c>
      <c r="C8495" s="12">
        <v>0</v>
      </c>
      <c r="D8495" s="13">
        <v>0</v>
      </c>
      <c r="E8495" s="12">
        <v>0</v>
      </c>
      <c r="F8495" s="14">
        <v>0</v>
      </c>
      <c r="G8495" s="13">
        <v>1662123.2528</v>
      </c>
      <c r="H8495" s="14">
        <v>2113247770.609411</v>
      </c>
      <c r="I8495" s="14" t="e">
        <f>=Round(31756.45560000,0)</f>
        <v>#VALUE!</v>
      </c>
      <c r="J8495" s="14" t="e">
        <f>=Round(0.00000000,0)</f>
        <v>#VALUE!</v>
      </c>
    </row>
    <row r="8496">
      <c r="A8496" s="11" t="s">
        <v>50</v>
      </c>
      <c r="B8496" s="12">
        <v>1271.4146</v>
      </c>
      <c r="C8496" s="12">
        <v>0</v>
      </c>
      <c r="D8496" s="13">
        <v>0</v>
      </c>
      <c r="E8496" s="12">
        <v>0</v>
      </c>
      <c r="F8496" s="14">
        <v>0</v>
      </c>
      <c r="G8496" s="13">
        <v>1662123.2528</v>
      </c>
      <c r="H8496" s="14">
        <v>2113247770.609411</v>
      </c>
      <c r="I8496" s="14" t="e">
        <f>=Round(31756.45560000,0)</f>
        <v>#VALUE!</v>
      </c>
      <c r="J8496" s="14" t="e">
        <f>=Round(0.00000000,0)</f>
        <v>#VALUE!</v>
      </c>
    </row>
    <row r="8497">
      <c r="A8497" s="11" t="s">
        <v>51</v>
      </c>
      <c r="B8497" s="12">
        <v>1268.7515</v>
      </c>
      <c r="C8497" s="12">
        <v>0</v>
      </c>
      <c r="D8497" s="13">
        <v>0</v>
      </c>
      <c r="E8497" s="12">
        <v>0</v>
      </c>
      <c r="F8497" s="14">
        <v>0</v>
      </c>
      <c r="G8497" s="13">
        <v>1662123.2528</v>
      </c>
      <c r="H8497" s="14">
        <v>2108821370.1748791</v>
      </c>
      <c r="I8497" s="14" t="e">
        <f>=Round(31756.45560000,0)</f>
        <v>#VALUE!</v>
      </c>
      <c r="J8497" s="14" t="e">
        <f>=Round(0.00000000,0)</f>
        <v>#VALUE!</v>
      </c>
    </row>
    <row r="8498">
      <c r="A8498" s="11" t="s">
        <v>52</v>
      </c>
      <c r="B8498" s="12">
        <v>1268.7071</v>
      </c>
      <c r="C8498" s="12">
        <v>0</v>
      </c>
      <c r="D8498" s="13">
        <v>0</v>
      </c>
      <c r="E8498" s="12">
        <v>0</v>
      </c>
      <c r="F8498" s="14">
        <v>0</v>
      </c>
      <c r="G8498" s="13">
        <v>1662123.2528</v>
      </c>
      <c r="H8498" s="14">
        <v>2108747571.9024551</v>
      </c>
      <c r="I8498" s="14" t="e">
        <f>=Round(31689.93860000,0)</f>
        <v>#VALUE!</v>
      </c>
      <c r="J8498" s="14" t="e">
        <f>=Round(0.00000000,0)</f>
        <v>#VALUE!</v>
      </c>
    </row>
    <row r="8499">
      <c r="A8499" s="11" t="s">
        <v>53</v>
      </c>
      <c r="B8499" s="12">
        <v>1263.6206</v>
      </c>
      <c r="C8499" s="12">
        <v>0</v>
      </c>
      <c r="D8499" s="13">
        <v>0</v>
      </c>
      <c r="E8499" s="12">
        <v>0</v>
      </c>
      <c r="F8499" s="14">
        <v>0</v>
      </c>
      <c r="G8499" s="13">
        <v>1662123.2528</v>
      </c>
      <c r="H8499" s="14">
        <v>2100293181.977088</v>
      </c>
      <c r="I8499" s="14" t="e">
        <f>=Round(31688.82960000,0)</f>
        <v>#VALUE!</v>
      </c>
      <c r="J8499" s="14" t="e">
        <f>=Round(0.00000000,0)</f>
        <v>#VALUE!</v>
      </c>
    </row>
    <row r="8500">
      <c r="A8500" s="11" t="s">
        <v>54</v>
      </c>
      <c r="B8500" s="12">
        <v>1248.7736</v>
      </c>
      <c r="C8500" s="12">
        <v>0</v>
      </c>
      <c r="D8500" s="13">
        <v>0</v>
      </c>
      <c r="E8500" s="12">
        <v>0</v>
      </c>
      <c r="F8500" s="14">
        <v>0</v>
      </c>
      <c r="G8500" s="13">
        <v>1662123.2528</v>
      </c>
      <c r="H8500" s="14">
        <v>2075615638.0427661</v>
      </c>
      <c r="I8500" s="14" t="e">
        <f>=Round(31561.78280000,0)</f>
        <v>#VALUE!</v>
      </c>
      <c r="J8500" s="14" t="e">
        <f>=Round(0.00000000,0)</f>
        <v>#VALUE!</v>
      </c>
    </row>
    <row r="8501">
      <c r="A8501" s="11" t="s">
        <v>55</v>
      </c>
      <c r="B8501" s="12">
        <v>1235.2708</v>
      </c>
      <c r="C8501" s="12">
        <v>0</v>
      </c>
      <c r="D8501" s="13">
        <v>0</v>
      </c>
      <c r="E8501" s="12">
        <v>0</v>
      </c>
      <c r="F8501" s="14">
        <v>0</v>
      </c>
      <c r="G8501" s="13">
        <v>1662123.2528</v>
      </c>
      <c r="H8501" s="14">
        <v>2053172320.1848581</v>
      </c>
      <c r="I8501" s="14" t="e">
        <f>=Round(31190.94540000,0)</f>
        <v>#VALUE!</v>
      </c>
      <c r="J8501" s="14" t="e">
        <f>=Round(0.00000000,0)</f>
        <v>#VALUE!</v>
      </c>
    </row>
    <row r="8502" ht="-1">
      <c r="A8502" s="15"/>
      <c r="B8502" s="16" t="s">
        <v>56</v>
      </c>
      <c r="C8502" s="15"/>
      <c r="D8502" s="15"/>
      <c r="E8502" s="15"/>
      <c r="F8502" s="15"/>
      <c r="G8502" s="15"/>
      <c r="H8502" s="15"/>
      <c r="I8502" s="17" t="e">
        <f>=Round(SUM(I8476:I8501),0)</f>
        <v>#VALUE!</v>
      </c>
      <c r="J8502" s="17" t="e">
        <f>=Round(SUM(J8476:J8501),0)</f>
        <v>#VALUE!</v>
      </c>
    </row>
    <row r="8503">
      <c r="A8503" s="1" t="s">
        <v>0</v>
      </c>
      <c r="B8503" s="1"/>
      <c r="C8503" s="1"/>
      <c r="D8503" s="1"/>
    </row>
    <row r="8504">
      <c r="A8504" s="0" t="s">
        <v>1</v>
      </c>
      <c r="C8504" s="0" t="s">
        <v>285</v>
      </c>
      <c r="H8504" s="2" t="s">
        <v>3</v>
      </c>
    </row>
    <row r="8505">
      <c r="A8505" s="0" t="s">
        <v>4</v>
      </c>
      <c r="C8505" s="0" t="s">
        <v>286</v>
      </c>
      <c r="H8505" s="3" t="s">
        <v>6</v>
      </c>
    </row>
    <row r="8506">
      <c r="A8506" s="0" t="s">
        <v>7</v>
      </c>
      <c r="C8506" s="4" t="s">
        <v>287</v>
      </c>
      <c r="H8506" s="2" t="s">
        <v>9</v>
      </c>
    </row>
    <row r="8507">
      <c r="A8507" s="0" t="s">
        <v>10</v>
      </c>
      <c r="C8507" s="4" t="s">
        <v>11</v>
      </c>
      <c r="H8507" s="2" t="s">
        <v>12</v>
      </c>
    </row>
    <row r="8508">
      <c r="A8508" s="0" t="s">
        <v>13</v>
      </c>
      <c r="C8508" s="0" t="s">
        <v>14</v>
      </c>
    </row>
    <row r="8509">
      <c r="A8509" s="0" t="s">
        <v>15</v>
      </c>
      <c r="C8509" s="0" t="s">
        <v>16</v>
      </c>
    </row>
    <row r="8510">
      <c r="A8510" s="0" t="s">
        <v>17</v>
      </c>
      <c r="C8510" s="0" t="s">
        <v>18</v>
      </c>
    </row>
    <row r="8513">
      <c r="A8513" s="5" t="s">
        <v>19</v>
      </c>
      <c r="B8513" s="5" t="s">
        <v>20</v>
      </c>
      <c r="C8513" s="7" t="s">
        <v>21</v>
      </c>
      <c r="D8513" s="9"/>
      <c r="E8513" s="7" t="s">
        <v>22</v>
      </c>
      <c r="F8513" s="9"/>
      <c r="G8513" s="5" t="s">
        <v>23</v>
      </c>
      <c r="H8513" s="5" t="s">
        <v>24</v>
      </c>
      <c r="I8513" s="5" t="s">
        <v>288</v>
      </c>
      <c r="J8513" s="5" t="s">
        <v>26</v>
      </c>
    </row>
    <row r="8514">
      <c r="A8514" s="6"/>
      <c r="B8514" s="6"/>
      <c r="C8514" s="8" t="s">
        <v>27</v>
      </c>
      <c r="D8514" s="8" t="s">
        <v>28</v>
      </c>
      <c r="E8514" s="8" t="s">
        <v>27</v>
      </c>
      <c r="F8514" s="8" t="s">
        <v>28</v>
      </c>
      <c r="G8514" s="6"/>
      <c r="H8514" s="6"/>
      <c r="I8514" s="10" t="s">
        <v>29</v>
      </c>
      <c r="J8514" s="6"/>
    </row>
    <row r="8515">
      <c r="A8515" s="11" t="s">
        <v>30</v>
      </c>
      <c r="B8515" s="12">
        <v>1093.112</v>
      </c>
      <c r="C8515" s="12">
        <v>0</v>
      </c>
      <c r="D8515" s="13">
        <v>0</v>
      </c>
      <c r="E8515" s="12">
        <v>0</v>
      </c>
      <c r="F8515" s="14">
        <v>0</v>
      </c>
      <c r="G8515" s="13">
        <v>91819354.60180001</v>
      </c>
      <c r="H8515" s="14">
        <v>100368838347.4828</v>
      </c>
      <c r="I8515" s="14" t="e">
        <f>=Round(452273.75960000,0)</f>
        <v>#VALUE!</v>
      </c>
      <c r="J8515" s="14" t="e">
        <f>=Round(0.00000000,0)</f>
        <v>#VALUE!</v>
      </c>
    </row>
    <row r="8516">
      <c r="A8516" s="11" t="s">
        <v>31</v>
      </c>
      <c r="B8516" s="12">
        <v>1093.28</v>
      </c>
      <c r="C8516" s="12">
        <v>0</v>
      </c>
      <c r="D8516" s="13">
        <v>0</v>
      </c>
      <c r="E8516" s="12">
        <v>0</v>
      </c>
      <c r="F8516" s="14">
        <v>0</v>
      </c>
      <c r="G8516" s="13">
        <v>91819354.60180001</v>
      </c>
      <c r="H8516" s="14">
        <v>100384263999.05591</v>
      </c>
      <c r="I8516" s="14" t="e">
        <f>=Round(452482.46800000,0)</f>
        <v>#VALUE!</v>
      </c>
      <c r="J8516" s="14" t="e">
        <f>=Round(0.00000000,0)</f>
        <v>#VALUE!</v>
      </c>
    </row>
    <row r="8517">
      <c r="A8517" s="11" t="s">
        <v>32</v>
      </c>
      <c r="B8517" s="12">
        <v>1093.4481</v>
      </c>
      <c r="C8517" s="12">
        <v>0</v>
      </c>
      <c r="D8517" s="13">
        <v>0</v>
      </c>
      <c r="E8517" s="12">
        <v>0</v>
      </c>
      <c r="F8517" s="14">
        <v>0</v>
      </c>
      <c r="G8517" s="13">
        <v>91819354.60180001</v>
      </c>
      <c r="H8517" s="14">
        <v>100399698832.56447</v>
      </c>
      <c r="I8517" s="14" t="e">
        <f>=Round(452552.00980000,0)</f>
        <v>#VALUE!</v>
      </c>
      <c r="J8517" s="14" t="e">
        <f>=Round(0.00000000,0)</f>
        <v>#VALUE!</v>
      </c>
    </row>
    <row r="8518">
      <c r="A8518" s="11" t="s">
        <v>33</v>
      </c>
      <c r="B8518" s="12">
        <v>1093.6162</v>
      </c>
      <c r="C8518" s="12">
        <v>0</v>
      </c>
      <c r="D8518" s="13">
        <v>0</v>
      </c>
      <c r="E8518" s="12">
        <v>0</v>
      </c>
      <c r="F8518" s="14">
        <v>0</v>
      </c>
      <c r="G8518" s="13">
        <v>91819354.60180001</v>
      </c>
      <c r="H8518" s="14">
        <v>100415133666.07303</v>
      </c>
      <c r="I8518" s="14" t="e">
        <f>=Round(452621.59310000,0)</f>
        <v>#VALUE!</v>
      </c>
      <c r="J8518" s="14" t="e">
        <f>=Round(0.00000000,0)</f>
        <v>#VALUE!</v>
      </c>
    </row>
    <row r="8519">
      <c r="A8519" s="11" t="s">
        <v>34</v>
      </c>
      <c r="B8519" s="12">
        <v>1093.7843</v>
      </c>
      <c r="C8519" s="12">
        <v>0</v>
      </c>
      <c r="D8519" s="13">
        <v>0</v>
      </c>
      <c r="E8519" s="12">
        <v>0</v>
      </c>
      <c r="F8519" s="14">
        <v>0</v>
      </c>
      <c r="G8519" s="13">
        <v>91819354.60180001</v>
      </c>
      <c r="H8519" s="14">
        <v>100430568499.5816</v>
      </c>
      <c r="I8519" s="14" t="e">
        <f>=Round(452691.17640000,0)</f>
        <v>#VALUE!</v>
      </c>
      <c r="J8519" s="14" t="e">
        <f>=Round(0.00000000,0)</f>
        <v>#VALUE!</v>
      </c>
    </row>
    <row r="8520">
      <c r="A8520" s="11" t="s">
        <v>35</v>
      </c>
      <c r="B8520" s="12">
        <v>1093.7843</v>
      </c>
      <c r="C8520" s="12">
        <v>0</v>
      </c>
      <c r="D8520" s="13">
        <v>0</v>
      </c>
      <c r="E8520" s="12">
        <v>0</v>
      </c>
      <c r="F8520" s="14">
        <v>0</v>
      </c>
      <c r="G8520" s="13">
        <v>91819354.60180001</v>
      </c>
      <c r="H8520" s="14">
        <v>100430568499.5816</v>
      </c>
      <c r="I8520" s="14" t="e">
        <f>=Round(452760.75960000,0)</f>
        <v>#VALUE!</v>
      </c>
      <c r="J8520" s="14" t="e">
        <f>=Round(0.00000000,0)</f>
        <v>#VALUE!</v>
      </c>
    </row>
    <row r="8521">
      <c r="A8521" s="11" t="s">
        <v>36</v>
      </c>
      <c r="B8521" s="12">
        <v>1093.7843</v>
      </c>
      <c r="C8521" s="12">
        <v>0</v>
      </c>
      <c r="D8521" s="13">
        <v>0</v>
      </c>
      <c r="E8521" s="12">
        <v>0</v>
      </c>
      <c r="F8521" s="14">
        <v>0</v>
      </c>
      <c r="G8521" s="13">
        <v>91819354.60180001</v>
      </c>
      <c r="H8521" s="14">
        <v>100430568499.5816</v>
      </c>
      <c r="I8521" s="14" t="e">
        <f>=Round(452760.75960000,0)</f>
        <v>#VALUE!</v>
      </c>
      <c r="J8521" s="14" t="e">
        <f>=Round(0.00000000,0)</f>
        <v>#VALUE!</v>
      </c>
    </row>
    <row r="8522">
      <c r="A8522" s="11" t="s">
        <v>37</v>
      </c>
      <c r="B8522" s="12">
        <v>1094.312</v>
      </c>
      <c r="C8522" s="12">
        <v>0</v>
      </c>
      <c r="D8522" s="13">
        <v>0</v>
      </c>
      <c r="E8522" s="12">
        <v>91819354.6018</v>
      </c>
      <c r="F8522" s="14">
        <v>100479021573.01</v>
      </c>
      <c r="G8522" s="13">
        <v>91819354.60180001</v>
      </c>
      <c r="H8522" s="14">
        <v>100479021573.00496</v>
      </c>
      <c r="I8522" s="14" t="e">
        <f>=Round(452760.75960000,0)</f>
        <v>#VALUE!</v>
      </c>
      <c r="J8522" s="14" t="e">
        <f>=Round(0.00000000,0)</f>
        <v>#VALUE!</v>
      </c>
    </row>
    <row r="8523">
      <c r="A8523" s="11" t="s">
        <v>38</v>
      </c>
      <c r="B8523" s="12">
        <v>1094.3981</v>
      </c>
      <c r="C8523" s="12">
        <v>0</v>
      </c>
      <c r="D8523" s="13">
        <v>0</v>
      </c>
      <c r="E8523" s="12">
        <v>0</v>
      </c>
      <c r="F8523" s="14">
        <v>0</v>
      </c>
      <c r="G8523" s="13">
        <v>0</v>
      </c>
      <c r="H8523" s="14">
        <v>0</v>
      </c>
      <c r="I8523" s="14" t="e">
        <f>=Round(452979.19560000,0)</f>
        <v>#VALUE!</v>
      </c>
      <c r="J8523" s="14" t="e">
        <f>=Round(0.00000000,0)</f>
        <v>#VALUE!</v>
      </c>
    </row>
    <row r="8524">
      <c r="A8524" s="11" t="s">
        <v>39</v>
      </c>
      <c r="B8524" s="12">
        <v>1094.5211</v>
      </c>
      <c r="C8524" s="12">
        <v>91364159.1743</v>
      </c>
      <c r="D8524" s="13">
        <v>100000000000</v>
      </c>
      <c r="E8524" s="12">
        <v>0</v>
      </c>
      <c r="F8524" s="14">
        <v>0</v>
      </c>
      <c r="G8524" s="13">
        <v>0</v>
      </c>
      <c r="H8524" s="14">
        <v>0</v>
      </c>
      <c r="I8524" s="14" t="e">
        <f>=Round(0.00000000,0)</f>
        <v>#VALUE!</v>
      </c>
      <c r="J8524" s="14" t="e">
        <f>=Round(0.00000000,0)</f>
        <v>#VALUE!</v>
      </c>
    </row>
    <row r="8525">
      <c r="A8525" s="11" t="s">
        <v>40</v>
      </c>
      <c r="B8525" s="12">
        <v>1094.7078</v>
      </c>
      <c r="C8525" s="12">
        <v>0</v>
      </c>
      <c r="D8525" s="13">
        <v>0</v>
      </c>
      <c r="E8525" s="12">
        <v>0</v>
      </c>
      <c r="F8525" s="14">
        <v>0</v>
      </c>
      <c r="G8525" s="13">
        <v>91364159.174300015</v>
      </c>
      <c r="H8525" s="14">
        <v>100017057688.54778</v>
      </c>
      <c r="I8525" s="14" t="e">
        <f>=Round(0.00000000,0)</f>
        <v>#VALUE!</v>
      </c>
      <c r="J8525" s="14" t="e">
        <f>=Round(0.00000000,0)</f>
        <v>#VALUE!</v>
      </c>
    </row>
    <row r="8526">
      <c r="A8526" s="11" t="s">
        <v>41</v>
      </c>
      <c r="B8526" s="12">
        <v>1094.8707</v>
      </c>
      <c r="C8526" s="12">
        <v>0</v>
      </c>
      <c r="D8526" s="13">
        <v>0</v>
      </c>
      <c r="E8526" s="12">
        <v>0</v>
      </c>
      <c r="F8526" s="14">
        <v>0</v>
      </c>
      <c r="G8526" s="13">
        <v>91364159.174300015</v>
      </c>
      <c r="H8526" s="14">
        <v>100031940910.07727</v>
      </c>
      <c r="I8526" s="14" t="e">
        <f>=Round(450896.57150000,0)</f>
        <v>#VALUE!</v>
      </c>
      <c r="J8526" s="14" t="e">
        <f>=Round(0.00000000,0)</f>
        <v>#VALUE!</v>
      </c>
    </row>
    <row r="8527">
      <c r="A8527" s="11" t="s">
        <v>42</v>
      </c>
      <c r="B8527" s="12">
        <v>1094.8707</v>
      </c>
      <c r="C8527" s="12">
        <v>0</v>
      </c>
      <c r="D8527" s="13">
        <v>0</v>
      </c>
      <c r="E8527" s="12">
        <v>0</v>
      </c>
      <c r="F8527" s="14">
        <v>0</v>
      </c>
      <c r="G8527" s="13">
        <v>91364159.174300015</v>
      </c>
      <c r="H8527" s="14">
        <v>100031940910.07727</v>
      </c>
      <c r="I8527" s="14" t="e">
        <f>=Round(450963.66800000,0)</f>
        <v>#VALUE!</v>
      </c>
      <c r="J8527" s="14" t="e">
        <f>=Round(0.00000000,0)</f>
        <v>#VALUE!</v>
      </c>
    </row>
    <row r="8528">
      <c r="A8528" s="11" t="s">
        <v>43</v>
      </c>
      <c r="B8528" s="12">
        <v>1094.8707</v>
      </c>
      <c r="C8528" s="12">
        <v>0</v>
      </c>
      <c r="D8528" s="13">
        <v>0</v>
      </c>
      <c r="E8528" s="12">
        <v>0</v>
      </c>
      <c r="F8528" s="14">
        <v>0</v>
      </c>
      <c r="G8528" s="13">
        <v>91364159.174300015</v>
      </c>
      <c r="H8528" s="14">
        <v>100031940910.07727</v>
      </c>
      <c r="I8528" s="14" t="e">
        <f>=Round(450963.66800000,0)</f>
        <v>#VALUE!</v>
      </c>
      <c r="J8528" s="14" t="e">
        <f>=Round(0.00000000,0)</f>
        <v>#VALUE!</v>
      </c>
    </row>
    <row r="8529">
      <c r="A8529" s="11" t="s">
        <v>44</v>
      </c>
      <c r="B8529" s="12">
        <v>1095.3595</v>
      </c>
      <c r="C8529" s="12">
        <v>0</v>
      </c>
      <c r="D8529" s="13">
        <v>0</v>
      </c>
      <c r="E8529" s="12">
        <v>0</v>
      </c>
      <c r="F8529" s="14">
        <v>0</v>
      </c>
      <c r="G8529" s="13">
        <v>91364159.174300015</v>
      </c>
      <c r="H8529" s="14">
        <v>100076599711.08167</v>
      </c>
      <c r="I8529" s="14" t="e">
        <f>=Round(450963.66800000,0)</f>
        <v>#VALUE!</v>
      </c>
      <c r="J8529" s="14" t="e">
        <f>=Round(0.00000000,0)</f>
        <v>#VALUE!</v>
      </c>
    </row>
    <row r="8530">
      <c r="A8530" s="11" t="s">
        <v>45</v>
      </c>
      <c r="B8530" s="12">
        <v>1095.5224</v>
      </c>
      <c r="C8530" s="12">
        <v>0</v>
      </c>
      <c r="D8530" s="13">
        <v>0</v>
      </c>
      <c r="E8530" s="12">
        <v>0</v>
      </c>
      <c r="F8530" s="14">
        <v>0</v>
      </c>
      <c r="G8530" s="13">
        <v>91364159.174300015</v>
      </c>
      <c r="H8530" s="14">
        <v>100091482932.61115</v>
      </c>
      <c r="I8530" s="14" t="e">
        <f>=Round(451164.99870000,0)</f>
        <v>#VALUE!</v>
      </c>
      <c r="J8530" s="14" t="e">
        <f>=Round(0.00000000,0)</f>
        <v>#VALUE!</v>
      </c>
    </row>
    <row r="8531">
      <c r="A8531" s="11" t="s">
        <v>46</v>
      </c>
      <c r="B8531" s="12">
        <v>1095.6854</v>
      </c>
      <c r="C8531" s="12">
        <v>0</v>
      </c>
      <c r="D8531" s="13">
        <v>0</v>
      </c>
      <c r="E8531" s="12">
        <v>0</v>
      </c>
      <c r="F8531" s="14">
        <v>0</v>
      </c>
      <c r="G8531" s="13">
        <v>91364159.174300015</v>
      </c>
      <c r="H8531" s="14">
        <v>100106375290.55656</v>
      </c>
      <c r="I8531" s="14" t="e">
        <f>=Round(451232.09520000,0)</f>
        <v>#VALUE!</v>
      </c>
      <c r="J8531" s="14" t="e">
        <f>=Round(0.00000000,0)</f>
        <v>#VALUE!</v>
      </c>
    </row>
    <row r="8532">
      <c r="A8532" s="11" t="s">
        <v>47</v>
      </c>
      <c r="B8532" s="12">
        <v>1095.8483</v>
      </c>
      <c r="C8532" s="12">
        <v>0</v>
      </c>
      <c r="D8532" s="13">
        <v>0</v>
      </c>
      <c r="E8532" s="12">
        <v>0</v>
      </c>
      <c r="F8532" s="14">
        <v>0</v>
      </c>
      <c r="G8532" s="13">
        <v>91364159.174300015</v>
      </c>
      <c r="H8532" s="14">
        <v>100121258512.08606</v>
      </c>
      <c r="I8532" s="14" t="e">
        <f>=Round(451299.23290000,0)</f>
        <v>#VALUE!</v>
      </c>
      <c r="J8532" s="14" t="e">
        <f>=Round(0.00000000,0)</f>
        <v>#VALUE!</v>
      </c>
    </row>
    <row r="8533">
      <c r="A8533" s="11" t="s">
        <v>48</v>
      </c>
      <c r="B8533" s="12">
        <v>1096.0112</v>
      </c>
      <c r="C8533" s="12">
        <v>0</v>
      </c>
      <c r="D8533" s="13">
        <v>0</v>
      </c>
      <c r="E8533" s="12">
        <v>0</v>
      </c>
      <c r="F8533" s="14">
        <v>0</v>
      </c>
      <c r="G8533" s="13">
        <v>91364159.174300015</v>
      </c>
      <c r="H8533" s="14">
        <v>100136141733.61556</v>
      </c>
      <c r="I8533" s="14" t="e">
        <f>=Round(451366.32940000,0)</f>
        <v>#VALUE!</v>
      </c>
      <c r="J8533" s="14" t="e">
        <f>=Round(0.00000000,0)</f>
        <v>#VALUE!</v>
      </c>
    </row>
    <row r="8534">
      <c r="A8534" s="11" t="s">
        <v>49</v>
      </c>
      <c r="B8534" s="12">
        <v>1096.0112</v>
      </c>
      <c r="C8534" s="12">
        <v>0</v>
      </c>
      <c r="D8534" s="13">
        <v>0</v>
      </c>
      <c r="E8534" s="12">
        <v>0</v>
      </c>
      <c r="F8534" s="14">
        <v>0</v>
      </c>
      <c r="G8534" s="13">
        <v>91364159.174300015</v>
      </c>
      <c r="H8534" s="14">
        <v>100136141733.61556</v>
      </c>
      <c r="I8534" s="14" t="e">
        <f>=Round(451433.42580000,0)</f>
        <v>#VALUE!</v>
      </c>
      <c r="J8534" s="14" t="e">
        <f>=Round(0.00000000,0)</f>
        <v>#VALUE!</v>
      </c>
    </row>
    <row r="8535">
      <c r="A8535" s="11" t="s">
        <v>50</v>
      </c>
      <c r="B8535" s="12">
        <v>1096.0112</v>
      </c>
      <c r="C8535" s="12">
        <v>0</v>
      </c>
      <c r="D8535" s="13">
        <v>0</v>
      </c>
      <c r="E8535" s="12">
        <v>0</v>
      </c>
      <c r="F8535" s="14">
        <v>0</v>
      </c>
      <c r="G8535" s="13">
        <v>91364159.174300015</v>
      </c>
      <c r="H8535" s="14">
        <v>100136141733.61556</v>
      </c>
      <c r="I8535" s="14" t="e">
        <f>=Round(451433.42580000,0)</f>
        <v>#VALUE!</v>
      </c>
      <c r="J8535" s="14" t="e">
        <f>=Round(0.00000000,0)</f>
        <v>#VALUE!</v>
      </c>
    </row>
    <row r="8536">
      <c r="A8536" s="11" t="s">
        <v>51</v>
      </c>
      <c r="B8536" s="12">
        <v>1096.5</v>
      </c>
      <c r="C8536" s="12">
        <v>0</v>
      </c>
      <c r="D8536" s="13">
        <v>0</v>
      </c>
      <c r="E8536" s="12">
        <v>0</v>
      </c>
      <c r="F8536" s="14">
        <v>0</v>
      </c>
      <c r="G8536" s="13">
        <v>91364159.174300015</v>
      </c>
      <c r="H8536" s="14">
        <v>100180800534.61995</v>
      </c>
      <c r="I8536" s="14" t="e">
        <f>=Round(451433.42580000,0)</f>
        <v>#VALUE!</v>
      </c>
      <c r="J8536" s="14" t="e">
        <f>=Round(0.00000000,0)</f>
        <v>#VALUE!</v>
      </c>
    </row>
    <row r="8537">
      <c r="A8537" s="11" t="s">
        <v>52</v>
      </c>
      <c r="B8537" s="12">
        <v>1096.6629</v>
      </c>
      <c r="C8537" s="12">
        <v>0</v>
      </c>
      <c r="D8537" s="13">
        <v>0</v>
      </c>
      <c r="E8537" s="12">
        <v>0</v>
      </c>
      <c r="F8537" s="14">
        <v>0</v>
      </c>
      <c r="G8537" s="13">
        <v>91364159.174300015</v>
      </c>
      <c r="H8537" s="14">
        <v>100195683756.14945</v>
      </c>
      <c r="I8537" s="14" t="e">
        <f>=Round(451634.75650000,0)</f>
        <v>#VALUE!</v>
      </c>
      <c r="J8537" s="14" t="e">
        <f>=Round(0.00000000,0)</f>
        <v>#VALUE!</v>
      </c>
    </row>
    <row r="8538">
      <c r="A8538" s="11" t="s">
        <v>53</v>
      </c>
      <c r="B8538" s="12">
        <v>1096.8615</v>
      </c>
      <c r="C8538" s="12">
        <v>0</v>
      </c>
      <c r="D8538" s="13">
        <v>0</v>
      </c>
      <c r="E8538" s="12">
        <v>0</v>
      </c>
      <c r="F8538" s="14">
        <v>0</v>
      </c>
      <c r="G8538" s="13">
        <v>91364159.174300015</v>
      </c>
      <c r="H8538" s="14">
        <v>100213828678.16145</v>
      </c>
      <c r="I8538" s="14" t="e">
        <f>=Round(451701.85300000,0)</f>
        <v>#VALUE!</v>
      </c>
      <c r="J8538" s="14" t="e">
        <f>=Round(0.00000000,0)</f>
        <v>#VALUE!</v>
      </c>
    </row>
    <row r="8539">
      <c r="A8539" s="11" t="s">
        <v>54</v>
      </c>
      <c r="B8539" s="12">
        <v>1097.0245</v>
      </c>
      <c r="C8539" s="12">
        <v>0</v>
      </c>
      <c r="D8539" s="13">
        <v>0</v>
      </c>
      <c r="E8539" s="12">
        <v>0</v>
      </c>
      <c r="F8539" s="14">
        <v>0</v>
      </c>
      <c r="G8539" s="13">
        <v>91364159.174300015</v>
      </c>
      <c r="H8539" s="14">
        <v>100228721036.10686</v>
      </c>
      <c r="I8539" s="14" t="e">
        <f>=Round(451783.65390000,0)</f>
        <v>#VALUE!</v>
      </c>
      <c r="J8539" s="14" t="e">
        <f>=Round(0.00000000,0)</f>
        <v>#VALUE!</v>
      </c>
    </row>
    <row r="8540">
      <c r="A8540" s="11" t="s">
        <v>55</v>
      </c>
      <c r="B8540" s="12">
        <v>1097.1874</v>
      </c>
      <c r="C8540" s="12">
        <v>0</v>
      </c>
      <c r="D8540" s="13">
        <v>0</v>
      </c>
      <c r="E8540" s="12">
        <v>0</v>
      </c>
      <c r="F8540" s="14">
        <v>0</v>
      </c>
      <c r="G8540" s="13">
        <v>91364159.174300015</v>
      </c>
      <c r="H8540" s="14">
        <v>100243604257.63637</v>
      </c>
      <c r="I8540" s="14" t="e">
        <f>=Round(451850.79160000,0)</f>
        <v>#VALUE!</v>
      </c>
      <c r="J8540" s="14" t="e">
        <f>=Round(0.00000000,0)</f>
        <v>#VALUE!</v>
      </c>
    </row>
    <row r="8541" ht="-1">
      <c r="A8541" s="15"/>
      <c r="B8541" s="16" t="s">
        <v>56</v>
      </c>
      <c r="C8541" s="15"/>
      <c r="D8541" s="15"/>
      <c r="E8541" s="15"/>
      <c r="F8541" s="15"/>
      <c r="G8541" s="15"/>
      <c r="H8541" s="15"/>
      <c r="I8541" s="17" t="e">
        <f>=Round(SUM(I8515:I8540),0)</f>
        <v>#VALUE!</v>
      </c>
      <c r="J8541" s="17" t="e">
        <f>=Round(SUM(J8515:J8540),0)</f>
        <v>#VALUE!</v>
      </c>
    </row>
    <row r="8542">
      <c r="A8542" s="1" t="s">
        <v>0</v>
      </c>
      <c r="B8542" s="1"/>
      <c r="C8542" s="1"/>
      <c r="D8542" s="1"/>
    </row>
    <row r="8543">
      <c r="A8543" s="0" t="s">
        <v>1</v>
      </c>
      <c r="C8543" s="0" t="s">
        <v>285</v>
      </c>
      <c r="H8543" s="2" t="s">
        <v>3</v>
      </c>
    </row>
    <row r="8544">
      <c r="A8544" s="0" t="s">
        <v>4</v>
      </c>
      <c r="C8544" s="0" t="s">
        <v>118</v>
      </c>
      <c r="H8544" s="3" t="s">
        <v>6</v>
      </c>
    </row>
    <row r="8545">
      <c r="A8545" s="0" t="s">
        <v>7</v>
      </c>
      <c r="C8545" s="4" t="s">
        <v>287</v>
      </c>
      <c r="H8545" s="2" t="s">
        <v>9</v>
      </c>
    </row>
    <row r="8546">
      <c r="A8546" s="0" t="s">
        <v>10</v>
      </c>
      <c r="C8546" s="4" t="s">
        <v>11</v>
      </c>
      <c r="H8546" s="2" t="s">
        <v>12</v>
      </c>
    </row>
    <row r="8547">
      <c r="A8547" s="0" t="s">
        <v>13</v>
      </c>
      <c r="C8547" s="0" t="s">
        <v>14</v>
      </c>
    </row>
    <row r="8548">
      <c r="A8548" s="0" t="s">
        <v>15</v>
      </c>
      <c r="C8548" s="0" t="s">
        <v>16</v>
      </c>
    </row>
    <row r="8549">
      <c r="A8549" s="0" t="s">
        <v>17</v>
      </c>
      <c r="C8549" s="0" t="s">
        <v>18</v>
      </c>
    </row>
    <row r="8552">
      <c r="A8552" s="5" t="s">
        <v>19</v>
      </c>
      <c r="B8552" s="5" t="s">
        <v>20</v>
      </c>
      <c r="C8552" s="7" t="s">
        <v>21</v>
      </c>
      <c r="D8552" s="9"/>
      <c r="E8552" s="7" t="s">
        <v>22</v>
      </c>
      <c r="F8552" s="9"/>
      <c r="G8552" s="5" t="s">
        <v>23</v>
      </c>
      <c r="H8552" s="5" t="s">
        <v>24</v>
      </c>
      <c r="I8552" s="5" t="s">
        <v>288</v>
      </c>
      <c r="J8552" s="5" t="s">
        <v>26</v>
      </c>
    </row>
    <row r="8553">
      <c r="A8553" s="6"/>
      <c r="B8553" s="6"/>
      <c r="C8553" s="8" t="s">
        <v>27</v>
      </c>
      <c r="D8553" s="8" t="s">
        <v>28</v>
      </c>
      <c r="E8553" s="8" t="s">
        <v>27</v>
      </c>
      <c r="F8553" s="8" t="s">
        <v>28</v>
      </c>
      <c r="G8553" s="6"/>
      <c r="H8553" s="6"/>
      <c r="I8553" s="10" t="s">
        <v>29</v>
      </c>
      <c r="J8553" s="6"/>
    </row>
    <row r="8554">
      <c r="A8554" s="11" t="s">
        <v>37</v>
      </c>
      <c r="B8554" s="12">
        <v>1094.312</v>
      </c>
      <c r="C8554" s="12">
        <v>9186593.9513</v>
      </c>
      <c r="D8554" s="13">
        <v>10053000000</v>
      </c>
      <c r="E8554" s="12">
        <v>0</v>
      </c>
      <c r="F8554" s="14">
        <v>0</v>
      </c>
      <c r="G8554" s="13">
        <v>0</v>
      </c>
      <c r="H8554" s="14">
        <v>0</v>
      </c>
      <c r="I8554" s="14" t="e">
        <f>=Round(0.00000000,0)</f>
        <v>#VALUE!</v>
      </c>
      <c r="J8554" s="14" t="e">
        <f>=Round(0.00000000,0)</f>
        <v>#VALUE!</v>
      </c>
    </row>
    <row r="8555">
      <c r="A8555" s="11" t="s">
        <v>38</v>
      </c>
      <c r="B8555" s="12">
        <v>1094.3981</v>
      </c>
      <c r="C8555" s="12">
        <v>0</v>
      </c>
      <c r="D8555" s="13">
        <v>0</v>
      </c>
      <c r="E8555" s="12">
        <v>0</v>
      </c>
      <c r="F8555" s="14">
        <v>0</v>
      </c>
      <c r="G8555" s="13">
        <v>9186593.9512999989</v>
      </c>
      <c r="H8555" s="14">
        <v>10053790965.774212</v>
      </c>
      <c r="I8555" s="14" t="e">
        <f>=Round(0.00000000,0)</f>
        <v>#VALUE!</v>
      </c>
      <c r="J8555" s="14" t="e">
        <f>=Round(0.00000000,0)</f>
        <v>#VALUE!</v>
      </c>
    </row>
    <row r="8556">
      <c r="A8556" s="11" t="s">
        <v>39</v>
      </c>
      <c r="B8556" s="12">
        <v>1094.5211</v>
      </c>
      <c r="C8556" s="12">
        <v>0</v>
      </c>
      <c r="D8556" s="13">
        <v>0</v>
      </c>
      <c r="E8556" s="12">
        <v>9186593.9513</v>
      </c>
      <c r="F8556" s="14">
        <v>10054920916.83</v>
      </c>
      <c r="G8556" s="13">
        <v>9186593.9512999989</v>
      </c>
      <c r="H8556" s="14">
        <v>10054920916.830221</v>
      </c>
      <c r="I8556" s="14" t="e">
        <f>=Round(45324.46750000,0)</f>
        <v>#VALUE!</v>
      </c>
      <c r="J8556" s="14" t="e">
        <f>=Round(0.00000000,0)</f>
        <v>#VALUE!</v>
      </c>
    </row>
    <row r="8557">
      <c r="A8557" s="11" t="s">
        <v>40</v>
      </c>
      <c r="B8557" s="12">
        <v>1094.7078</v>
      </c>
      <c r="C8557" s="12">
        <v>0</v>
      </c>
      <c r="D8557" s="13">
        <v>0</v>
      </c>
      <c r="E8557" s="12">
        <v>0</v>
      </c>
      <c r="F8557" s="14">
        <v>0</v>
      </c>
      <c r="G8557" s="13">
        <v>0</v>
      </c>
      <c r="H8557" s="14">
        <v>0</v>
      </c>
      <c r="I8557" s="14" t="e">
        <f>=Round(45329.56150000,0)</f>
        <v>#VALUE!</v>
      </c>
      <c r="J8557" s="14" t="e">
        <f>=Round(0.00000000,0)</f>
        <v>#VALUE!</v>
      </c>
    </row>
    <row r="8558">
      <c r="A8558" s="11" t="s">
        <v>41</v>
      </c>
      <c r="B8558" s="12">
        <v>1094.8707</v>
      </c>
      <c r="C8558" s="12">
        <v>0</v>
      </c>
      <c r="D8558" s="13">
        <v>0</v>
      </c>
      <c r="E8558" s="12">
        <v>0</v>
      </c>
      <c r="F8558" s="14">
        <v>0</v>
      </c>
      <c r="G8558" s="13">
        <v>0</v>
      </c>
      <c r="H8558" s="14">
        <v>0</v>
      </c>
      <c r="I8558" s="14" t="e">
        <f>=Round(0.00000000,0)</f>
        <v>#VALUE!</v>
      </c>
      <c r="J8558" s="14" t="e">
        <f>=Round(0.00000000,0)</f>
        <v>#VALUE!</v>
      </c>
    </row>
    <row r="8559">
      <c r="A8559" s="11" t="s">
        <v>42</v>
      </c>
      <c r="B8559" s="12">
        <v>1094.8707</v>
      </c>
      <c r="C8559" s="12">
        <v>0</v>
      </c>
      <c r="D8559" s="13">
        <v>0</v>
      </c>
      <c r="E8559" s="12">
        <v>0</v>
      </c>
      <c r="F8559" s="14">
        <v>0</v>
      </c>
      <c r="G8559" s="13">
        <v>0</v>
      </c>
      <c r="H8559" s="14">
        <v>0</v>
      </c>
      <c r="I8559" s="14" t="e">
        <f>=Round(0.00000000,0)</f>
        <v>#VALUE!</v>
      </c>
      <c r="J8559" s="14" t="e">
        <f>=Round(0.00000000,0)</f>
        <v>#VALUE!</v>
      </c>
    </row>
    <row r="8560">
      <c r="A8560" s="11" t="s">
        <v>43</v>
      </c>
      <c r="B8560" s="12">
        <v>1094.8707</v>
      </c>
      <c r="C8560" s="12">
        <v>0</v>
      </c>
      <c r="D8560" s="13">
        <v>0</v>
      </c>
      <c r="E8560" s="12">
        <v>0</v>
      </c>
      <c r="F8560" s="14">
        <v>0</v>
      </c>
      <c r="G8560" s="13">
        <v>0</v>
      </c>
      <c r="H8560" s="14">
        <v>0</v>
      </c>
      <c r="I8560" s="14" t="e">
        <f>=Round(0.00000000,0)</f>
        <v>#VALUE!</v>
      </c>
      <c r="J8560" s="14" t="e">
        <f>=Round(0.00000000,0)</f>
        <v>#VALUE!</v>
      </c>
    </row>
    <row r="8561">
      <c r="A8561" s="11" t="s">
        <v>44</v>
      </c>
      <c r="B8561" s="12">
        <v>1095.3595</v>
      </c>
      <c r="C8561" s="12">
        <v>0</v>
      </c>
      <c r="D8561" s="13">
        <v>0</v>
      </c>
      <c r="E8561" s="12">
        <v>0</v>
      </c>
      <c r="F8561" s="14">
        <v>0</v>
      </c>
      <c r="G8561" s="13">
        <v>0</v>
      </c>
      <c r="H8561" s="14">
        <v>0</v>
      </c>
      <c r="I8561" s="14" t="e">
        <f>=Round(0.00000000,0)</f>
        <v>#VALUE!</v>
      </c>
      <c r="J8561" s="14" t="e">
        <f>=Round(0.00000000,0)</f>
        <v>#VALUE!</v>
      </c>
    </row>
    <row r="8562">
      <c r="A8562" s="11" t="s">
        <v>45</v>
      </c>
      <c r="B8562" s="12">
        <v>1095.5224</v>
      </c>
      <c r="C8562" s="12">
        <v>0</v>
      </c>
      <c r="D8562" s="13">
        <v>0</v>
      </c>
      <c r="E8562" s="12">
        <v>0</v>
      </c>
      <c r="F8562" s="14">
        <v>0</v>
      </c>
      <c r="G8562" s="13">
        <v>0</v>
      </c>
      <c r="H8562" s="14">
        <v>0</v>
      </c>
      <c r="I8562" s="14" t="e">
        <f>=Round(0.00000000,0)</f>
        <v>#VALUE!</v>
      </c>
      <c r="J8562" s="14" t="e">
        <f>=Round(0.00000000,0)</f>
        <v>#VALUE!</v>
      </c>
    </row>
    <row r="8563">
      <c r="A8563" s="11" t="s">
        <v>46</v>
      </c>
      <c r="B8563" s="12">
        <v>1095.6854</v>
      </c>
      <c r="C8563" s="12">
        <v>0</v>
      </c>
      <c r="D8563" s="13">
        <v>0</v>
      </c>
      <c r="E8563" s="12">
        <v>0</v>
      </c>
      <c r="F8563" s="14">
        <v>0</v>
      </c>
      <c r="G8563" s="13">
        <v>0</v>
      </c>
      <c r="H8563" s="14">
        <v>0</v>
      </c>
      <c r="I8563" s="14" t="e">
        <f>=Round(0.00000000,0)</f>
        <v>#VALUE!</v>
      </c>
      <c r="J8563" s="14" t="e">
        <f>=Round(0.00000000,0)</f>
        <v>#VALUE!</v>
      </c>
    </row>
    <row r="8564">
      <c r="A8564" s="11" t="s">
        <v>47</v>
      </c>
      <c r="B8564" s="12">
        <v>1095.8483</v>
      </c>
      <c r="C8564" s="12">
        <v>0</v>
      </c>
      <c r="D8564" s="13">
        <v>0</v>
      </c>
      <c r="E8564" s="12">
        <v>0</v>
      </c>
      <c r="F8564" s="14">
        <v>0</v>
      </c>
      <c r="G8564" s="13">
        <v>0</v>
      </c>
      <c r="H8564" s="14">
        <v>0</v>
      </c>
      <c r="I8564" s="14" t="e">
        <f>=Round(0.00000000,0)</f>
        <v>#VALUE!</v>
      </c>
      <c r="J8564" s="14" t="e">
        <f>=Round(0.00000000,0)</f>
        <v>#VALUE!</v>
      </c>
    </row>
    <row r="8565">
      <c r="A8565" s="11" t="s">
        <v>48</v>
      </c>
      <c r="B8565" s="12">
        <v>1096.0112</v>
      </c>
      <c r="C8565" s="12">
        <v>0</v>
      </c>
      <c r="D8565" s="13">
        <v>0</v>
      </c>
      <c r="E8565" s="12">
        <v>0</v>
      </c>
      <c r="F8565" s="14">
        <v>0</v>
      </c>
      <c r="G8565" s="13">
        <v>0</v>
      </c>
      <c r="H8565" s="14">
        <v>0</v>
      </c>
      <c r="I8565" s="14" t="e">
        <f>=Round(0.00000000,0)</f>
        <v>#VALUE!</v>
      </c>
      <c r="J8565" s="14" t="e">
        <f>=Round(0.00000000,0)</f>
        <v>#VALUE!</v>
      </c>
    </row>
    <row r="8566">
      <c r="A8566" s="11" t="s">
        <v>49</v>
      </c>
      <c r="B8566" s="12">
        <v>1096.0112</v>
      </c>
      <c r="C8566" s="12">
        <v>0</v>
      </c>
      <c r="D8566" s="13">
        <v>0</v>
      </c>
      <c r="E8566" s="12">
        <v>0</v>
      </c>
      <c r="F8566" s="14">
        <v>0</v>
      </c>
      <c r="G8566" s="13">
        <v>0</v>
      </c>
      <c r="H8566" s="14">
        <v>0</v>
      </c>
      <c r="I8566" s="14" t="e">
        <f>=Round(0.00000000,0)</f>
        <v>#VALUE!</v>
      </c>
      <c r="J8566" s="14" t="e">
        <f>=Round(0.00000000,0)</f>
        <v>#VALUE!</v>
      </c>
    </row>
    <row r="8567">
      <c r="A8567" s="11" t="s">
        <v>50</v>
      </c>
      <c r="B8567" s="12">
        <v>1096.0112</v>
      </c>
      <c r="C8567" s="12">
        <v>0</v>
      </c>
      <c r="D8567" s="13">
        <v>0</v>
      </c>
      <c r="E8567" s="12">
        <v>0</v>
      </c>
      <c r="F8567" s="14">
        <v>0</v>
      </c>
      <c r="G8567" s="13">
        <v>0</v>
      </c>
      <c r="H8567" s="14">
        <v>0</v>
      </c>
      <c r="I8567" s="14" t="e">
        <f>=Round(0.00000000,0)</f>
        <v>#VALUE!</v>
      </c>
      <c r="J8567" s="14" t="e">
        <f>=Round(0.00000000,0)</f>
        <v>#VALUE!</v>
      </c>
    </row>
    <row r="8568">
      <c r="A8568" s="11" t="s">
        <v>51</v>
      </c>
      <c r="B8568" s="12">
        <v>1096.5</v>
      </c>
      <c r="C8568" s="12">
        <v>0</v>
      </c>
      <c r="D8568" s="13">
        <v>0</v>
      </c>
      <c r="E8568" s="12">
        <v>0</v>
      </c>
      <c r="F8568" s="14">
        <v>0</v>
      </c>
      <c r="G8568" s="13">
        <v>0</v>
      </c>
      <c r="H8568" s="14">
        <v>0</v>
      </c>
      <c r="I8568" s="14" t="e">
        <f>=Round(0.00000000,0)</f>
        <v>#VALUE!</v>
      </c>
      <c r="J8568" s="14" t="e">
        <f>=Round(0.00000000,0)</f>
        <v>#VALUE!</v>
      </c>
    </row>
    <row r="8569">
      <c r="A8569" s="11" t="s">
        <v>52</v>
      </c>
      <c r="B8569" s="12">
        <v>1096.6629</v>
      </c>
      <c r="C8569" s="12">
        <v>0</v>
      </c>
      <c r="D8569" s="13">
        <v>0</v>
      </c>
      <c r="E8569" s="12">
        <v>0</v>
      </c>
      <c r="F8569" s="14">
        <v>0</v>
      </c>
      <c r="G8569" s="13">
        <v>0</v>
      </c>
      <c r="H8569" s="14">
        <v>0</v>
      </c>
      <c r="I8569" s="14" t="e">
        <f>=Round(0.00000000,0)</f>
        <v>#VALUE!</v>
      </c>
      <c r="J8569" s="14" t="e">
        <f>=Round(0.00000000,0)</f>
        <v>#VALUE!</v>
      </c>
    </row>
    <row r="8570">
      <c r="A8570" s="11" t="s">
        <v>53</v>
      </c>
      <c r="B8570" s="12">
        <v>1096.8615</v>
      </c>
      <c r="C8570" s="12">
        <v>0</v>
      </c>
      <c r="D8570" s="13">
        <v>0</v>
      </c>
      <c r="E8570" s="12">
        <v>0</v>
      </c>
      <c r="F8570" s="14">
        <v>0</v>
      </c>
      <c r="G8570" s="13">
        <v>0</v>
      </c>
      <c r="H8570" s="14">
        <v>0</v>
      </c>
      <c r="I8570" s="14" t="e">
        <f>=Round(0.00000000,0)</f>
        <v>#VALUE!</v>
      </c>
      <c r="J8570" s="14" t="e">
        <f>=Round(0.00000000,0)</f>
        <v>#VALUE!</v>
      </c>
    </row>
    <row r="8571">
      <c r="A8571" s="11" t="s">
        <v>54</v>
      </c>
      <c r="B8571" s="12">
        <v>1097.0245</v>
      </c>
      <c r="C8571" s="12">
        <v>0</v>
      </c>
      <c r="D8571" s="13">
        <v>0</v>
      </c>
      <c r="E8571" s="12">
        <v>0</v>
      </c>
      <c r="F8571" s="14">
        <v>0</v>
      </c>
      <c r="G8571" s="13">
        <v>0</v>
      </c>
      <c r="H8571" s="14">
        <v>0</v>
      </c>
      <c r="I8571" s="14" t="e">
        <f>=Round(0.00000000,0)</f>
        <v>#VALUE!</v>
      </c>
      <c r="J8571" s="14" t="e">
        <f>=Round(0.00000000,0)</f>
        <v>#VALUE!</v>
      </c>
    </row>
    <row r="8572">
      <c r="A8572" s="11" t="s">
        <v>55</v>
      </c>
      <c r="B8572" s="12">
        <v>1097.1874</v>
      </c>
      <c r="C8572" s="12">
        <v>0</v>
      </c>
      <c r="D8572" s="13">
        <v>0</v>
      </c>
      <c r="E8572" s="12">
        <v>0</v>
      </c>
      <c r="F8572" s="14">
        <v>0</v>
      </c>
      <c r="G8572" s="13">
        <v>0</v>
      </c>
      <c r="H8572" s="14">
        <v>0</v>
      </c>
      <c r="I8572" s="14" t="e">
        <f>=Round(0.00000000,0)</f>
        <v>#VALUE!</v>
      </c>
      <c r="J8572" s="14" t="e">
        <f>=Round(0.00000000,0)</f>
        <v>#VALUE!</v>
      </c>
    </row>
    <row r="8573" ht="-1">
      <c r="A8573" s="15"/>
      <c r="B8573" s="16" t="s">
        <v>56</v>
      </c>
      <c r="C8573" s="15"/>
      <c r="D8573" s="15"/>
      <c r="E8573" s="15"/>
      <c r="F8573" s="15"/>
      <c r="G8573" s="15"/>
      <c r="H8573" s="15"/>
      <c r="I8573" s="17" t="e">
        <f>=Round(SUM(I8554:I8572),0)</f>
        <v>#VALUE!</v>
      </c>
      <c r="J8573" s="17" t="e">
        <f>=Round(SUM(J8554:J8572),0)</f>
        <v>#VALUE!</v>
      </c>
    </row>
    <row r="8574">
      <c r="A8574" s="1" t="s">
        <v>0</v>
      </c>
      <c r="B8574" s="1"/>
      <c r="C8574" s="1"/>
      <c r="D8574" s="1"/>
    </row>
    <row r="8575">
      <c r="A8575" s="0" t="s">
        <v>1</v>
      </c>
      <c r="C8575" s="0" t="s">
        <v>289</v>
      </c>
      <c r="H8575" s="2" t="s">
        <v>3</v>
      </c>
    </row>
    <row r="8576">
      <c r="A8576" s="0" t="s">
        <v>4</v>
      </c>
      <c r="C8576" s="0" t="s">
        <v>290</v>
      </c>
      <c r="H8576" s="3" t="s">
        <v>6</v>
      </c>
    </row>
    <row r="8577">
      <c r="A8577" s="0" t="s">
        <v>7</v>
      </c>
      <c r="C8577" s="4" t="s">
        <v>270</v>
      </c>
      <c r="H8577" s="2" t="s">
        <v>9</v>
      </c>
    </row>
    <row r="8578">
      <c r="A8578" s="0" t="s">
        <v>10</v>
      </c>
      <c r="C8578" s="4" t="s">
        <v>11</v>
      </c>
      <c r="H8578" s="2" t="s">
        <v>12</v>
      </c>
    </row>
    <row r="8579">
      <c r="A8579" s="0" t="s">
        <v>13</v>
      </c>
      <c r="C8579" s="0" t="s">
        <v>14</v>
      </c>
    </row>
    <row r="8580">
      <c r="A8580" s="0" t="s">
        <v>15</v>
      </c>
      <c r="C8580" s="0" t="s">
        <v>16</v>
      </c>
    </row>
    <row r="8581">
      <c r="A8581" s="0" t="s">
        <v>17</v>
      </c>
      <c r="C8581" s="0" t="s">
        <v>18</v>
      </c>
    </row>
    <row r="8584">
      <c r="A8584" s="5" t="s">
        <v>19</v>
      </c>
      <c r="B8584" s="5" t="s">
        <v>20</v>
      </c>
      <c r="C8584" s="7" t="s">
        <v>21</v>
      </c>
      <c r="D8584" s="9"/>
      <c r="E8584" s="7" t="s">
        <v>22</v>
      </c>
      <c r="F8584" s="9"/>
      <c r="G8584" s="5" t="s">
        <v>23</v>
      </c>
      <c r="H8584" s="5" t="s">
        <v>24</v>
      </c>
      <c r="I8584" s="5" t="s">
        <v>271</v>
      </c>
      <c r="J8584" s="5" t="s">
        <v>26</v>
      </c>
    </row>
    <row r="8585">
      <c r="A8585" s="6"/>
      <c r="B8585" s="6"/>
      <c r="C8585" s="8" t="s">
        <v>27</v>
      </c>
      <c r="D8585" s="8" t="s">
        <v>28</v>
      </c>
      <c r="E8585" s="8" t="s">
        <v>27</v>
      </c>
      <c r="F8585" s="8" t="s">
        <v>28</v>
      </c>
      <c r="G8585" s="6"/>
      <c r="H8585" s="6"/>
      <c r="I8585" s="10" t="s">
        <v>29</v>
      </c>
      <c r="J8585" s="6"/>
    </row>
    <row r="8586">
      <c r="A8586" s="11" t="s">
        <v>30</v>
      </c>
      <c r="B8586" s="12">
        <v>1312.2618</v>
      </c>
      <c r="C8586" s="12">
        <v>0</v>
      </c>
      <c r="D8586" s="13">
        <v>0</v>
      </c>
      <c r="E8586" s="12">
        <v>0</v>
      </c>
      <c r="F8586" s="14">
        <v>0</v>
      </c>
      <c r="G8586" s="13">
        <v>1824321.1867</v>
      </c>
      <c r="H8586" s="14">
        <v>2393987004.2370782</v>
      </c>
      <c r="I8586" s="14" t="e">
        <f>=Round(5394.67270000,0)</f>
        <v>#VALUE!</v>
      </c>
      <c r="J8586" s="14" t="e">
        <f>=Round(0.00000000,0)</f>
        <v>#VALUE!</v>
      </c>
    </row>
    <row r="8587">
      <c r="A8587" s="11" t="s">
        <v>31</v>
      </c>
      <c r="B8587" s="12">
        <v>1313.459</v>
      </c>
      <c r="C8587" s="12">
        <v>0</v>
      </c>
      <c r="D8587" s="13">
        <v>0</v>
      </c>
      <c r="E8587" s="12">
        <v>0</v>
      </c>
      <c r="F8587" s="14">
        <v>0</v>
      </c>
      <c r="G8587" s="13">
        <v>1824321.1867</v>
      </c>
      <c r="H8587" s="14">
        <v>2396171081.5617952</v>
      </c>
      <c r="I8587" s="14" t="e">
        <f>=Round(5396.28220000,0)</f>
        <v>#VALUE!</v>
      </c>
      <c r="J8587" s="14" t="e">
        <f>=Round(0.00000000,0)</f>
        <v>#VALUE!</v>
      </c>
    </row>
    <row r="8588">
      <c r="A8588" s="11" t="s">
        <v>32</v>
      </c>
      <c r="B8588" s="12">
        <v>1314.5532</v>
      </c>
      <c r="C8588" s="12">
        <v>0</v>
      </c>
      <c r="D8588" s="13">
        <v>0</v>
      </c>
      <c r="E8588" s="12">
        <v>0</v>
      </c>
      <c r="F8588" s="14">
        <v>0</v>
      </c>
      <c r="G8588" s="13">
        <v>1824321.1867</v>
      </c>
      <c r="H8588" s="14">
        <v>2398167253.8042822</v>
      </c>
      <c r="I8588" s="14" t="e">
        <f>=Round(5401.20530000,0)</f>
        <v>#VALUE!</v>
      </c>
      <c r="J8588" s="14" t="e">
        <f>=Round(0.00000000,0)</f>
        <v>#VALUE!</v>
      </c>
    </row>
    <row r="8589">
      <c r="A8589" s="11" t="s">
        <v>33</v>
      </c>
      <c r="B8589" s="12">
        <v>1314.8248</v>
      </c>
      <c r="C8589" s="12">
        <v>0</v>
      </c>
      <c r="D8589" s="13">
        <v>0</v>
      </c>
      <c r="E8589" s="12">
        <v>0</v>
      </c>
      <c r="F8589" s="14">
        <v>0</v>
      </c>
      <c r="G8589" s="13">
        <v>1824321.1867</v>
      </c>
      <c r="H8589" s="14">
        <v>2398662739.43859</v>
      </c>
      <c r="I8589" s="14" t="e">
        <f>=Round(5405.70490000,0)</f>
        <v>#VALUE!</v>
      </c>
      <c r="J8589" s="14" t="e">
        <f>=Round(0.00000000,0)</f>
        <v>#VALUE!</v>
      </c>
    </row>
    <row r="8590">
      <c r="A8590" s="11" t="s">
        <v>34</v>
      </c>
      <c r="B8590" s="12">
        <v>1316.8829</v>
      </c>
      <c r="C8590" s="12">
        <v>0</v>
      </c>
      <c r="D8590" s="13">
        <v>0</v>
      </c>
      <c r="E8590" s="12">
        <v>0</v>
      </c>
      <c r="F8590" s="14">
        <v>0</v>
      </c>
      <c r="G8590" s="13">
        <v>1824321.1867</v>
      </c>
      <c r="H8590" s="14">
        <v>2402417374.8729372</v>
      </c>
      <c r="I8590" s="14" t="e">
        <f>=Round(5406.82170000,0)</f>
        <v>#VALUE!</v>
      </c>
      <c r="J8590" s="14" t="e">
        <f>=Round(0.00000000,0)</f>
        <v>#VALUE!</v>
      </c>
    </row>
    <row r="8591">
      <c r="A8591" s="11" t="s">
        <v>35</v>
      </c>
      <c r="B8591" s="12">
        <v>1316.8829</v>
      </c>
      <c r="C8591" s="12">
        <v>0</v>
      </c>
      <c r="D8591" s="13">
        <v>0</v>
      </c>
      <c r="E8591" s="12">
        <v>0</v>
      </c>
      <c r="F8591" s="14">
        <v>0</v>
      </c>
      <c r="G8591" s="13">
        <v>1824321.1867</v>
      </c>
      <c r="H8591" s="14">
        <v>2402417374.8729372</v>
      </c>
      <c r="I8591" s="14" t="e">
        <f>=Round(5415.28510000,0)</f>
        <v>#VALUE!</v>
      </c>
      <c r="J8591" s="14" t="e">
        <f>=Round(0.00000000,0)</f>
        <v>#VALUE!</v>
      </c>
    </row>
    <row r="8592">
      <c r="A8592" s="11" t="s">
        <v>36</v>
      </c>
      <c r="B8592" s="12">
        <v>1316.8829</v>
      </c>
      <c r="C8592" s="12">
        <v>0</v>
      </c>
      <c r="D8592" s="13">
        <v>0</v>
      </c>
      <c r="E8592" s="12">
        <v>0</v>
      </c>
      <c r="F8592" s="14">
        <v>0</v>
      </c>
      <c r="G8592" s="13">
        <v>1824321.1867</v>
      </c>
      <c r="H8592" s="14">
        <v>2402417374.8729372</v>
      </c>
      <c r="I8592" s="14" t="e">
        <f>=Round(5415.28510000,0)</f>
        <v>#VALUE!</v>
      </c>
      <c r="J8592" s="14" t="e">
        <f>=Round(0.00000000,0)</f>
        <v>#VALUE!</v>
      </c>
    </row>
    <row r="8593">
      <c r="A8593" s="11" t="s">
        <v>37</v>
      </c>
      <c r="B8593" s="12">
        <v>1317.5064</v>
      </c>
      <c r="C8593" s="12">
        <v>0</v>
      </c>
      <c r="D8593" s="13">
        <v>0</v>
      </c>
      <c r="E8593" s="12">
        <v>0</v>
      </c>
      <c r="F8593" s="14">
        <v>0</v>
      </c>
      <c r="G8593" s="13">
        <v>1824321.1867</v>
      </c>
      <c r="H8593" s="14">
        <v>2403554839.1328449</v>
      </c>
      <c r="I8593" s="14" t="e">
        <f>=Round(5415.28510000,0)</f>
        <v>#VALUE!</v>
      </c>
      <c r="J8593" s="14" t="e">
        <f>=Round(0.00000000,0)</f>
        <v>#VALUE!</v>
      </c>
    </row>
    <row r="8594">
      <c r="A8594" s="11" t="s">
        <v>38</v>
      </c>
      <c r="B8594" s="12">
        <v>1317.4287</v>
      </c>
      <c r="C8594" s="12">
        <v>0</v>
      </c>
      <c r="D8594" s="13">
        <v>0</v>
      </c>
      <c r="E8594" s="12">
        <v>0</v>
      </c>
      <c r="F8594" s="14">
        <v>0</v>
      </c>
      <c r="G8594" s="13">
        <v>1824321.1867</v>
      </c>
      <c r="H8594" s="14">
        <v>2403413089.3766379</v>
      </c>
      <c r="I8594" s="14" t="e">
        <f>=Round(5417.84900000,0)</f>
        <v>#VALUE!</v>
      </c>
      <c r="J8594" s="14" t="e">
        <f>=Round(0.00000000,0)</f>
        <v>#VALUE!</v>
      </c>
    </row>
    <row r="8595">
      <c r="A8595" s="11" t="s">
        <v>39</v>
      </c>
      <c r="B8595" s="12">
        <v>1320.6812</v>
      </c>
      <c r="C8595" s="12">
        <v>0</v>
      </c>
      <c r="D8595" s="13">
        <v>0</v>
      </c>
      <c r="E8595" s="12">
        <v>0</v>
      </c>
      <c r="F8595" s="14">
        <v>0</v>
      </c>
      <c r="G8595" s="13">
        <v>1824321.1867</v>
      </c>
      <c r="H8595" s="14">
        <v>2409346694.03638</v>
      </c>
      <c r="I8595" s="14" t="e">
        <f>=Round(5417.52950000,0)</f>
        <v>#VALUE!</v>
      </c>
      <c r="J8595" s="14" t="e">
        <f>=Round(0.00000000,0)</f>
        <v>#VALUE!</v>
      </c>
    </row>
    <row r="8596">
      <c r="A8596" s="11" t="s">
        <v>40</v>
      </c>
      <c r="B8596" s="12">
        <v>1321.5605</v>
      </c>
      <c r="C8596" s="12">
        <v>0</v>
      </c>
      <c r="D8596" s="13">
        <v>0</v>
      </c>
      <c r="E8596" s="12">
        <v>0</v>
      </c>
      <c r="F8596" s="14">
        <v>0</v>
      </c>
      <c r="G8596" s="13">
        <v>1824321.1867</v>
      </c>
      <c r="H8596" s="14">
        <v>2410950819.6558452</v>
      </c>
      <c r="I8596" s="14" t="e">
        <f>=Round(5430.90440000,0)</f>
        <v>#VALUE!</v>
      </c>
      <c r="J8596" s="14" t="e">
        <f>=Round(0.00000000,0)</f>
        <v>#VALUE!</v>
      </c>
    </row>
    <row r="8597">
      <c r="A8597" s="11" t="s">
        <v>41</v>
      </c>
      <c r="B8597" s="12">
        <v>1322.1643</v>
      </c>
      <c r="C8597" s="12">
        <v>0</v>
      </c>
      <c r="D8597" s="13">
        <v>0</v>
      </c>
      <c r="E8597" s="12">
        <v>0</v>
      </c>
      <c r="F8597" s="14">
        <v>0</v>
      </c>
      <c r="G8597" s="13">
        <v>1824321.1867</v>
      </c>
      <c r="H8597" s="14">
        <v>2412052344.7883749</v>
      </c>
      <c r="I8597" s="14" t="e">
        <f>=Round(5434.52030000,0)</f>
        <v>#VALUE!</v>
      </c>
      <c r="J8597" s="14" t="e">
        <f>=Round(0.00000000,0)</f>
        <v>#VALUE!</v>
      </c>
    </row>
    <row r="8598">
      <c r="A8598" s="11" t="s">
        <v>42</v>
      </c>
      <c r="B8598" s="12">
        <v>1322.1643</v>
      </c>
      <c r="C8598" s="12">
        <v>0</v>
      </c>
      <c r="D8598" s="13">
        <v>0</v>
      </c>
      <c r="E8598" s="12">
        <v>0</v>
      </c>
      <c r="F8598" s="14">
        <v>0</v>
      </c>
      <c r="G8598" s="13">
        <v>1824321.1867</v>
      </c>
      <c r="H8598" s="14">
        <v>2412052344.7883749</v>
      </c>
      <c r="I8598" s="14" t="e">
        <f>=Round(5437.00320000,0)</f>
        <v>#VALUE!</v>
      </c>
      <c r="J8598" s="14" t="e">
        <f>=Round(0.00000000,0)</f>
        <v>#VALUE!</v>
      </c>
    </row>
    <row r="8599">
      <c r="A8599" s="11" t="s">
        <v>43</v>
      </c>
      <c r="B8599" s="12">
        <v>1322.1643</v>
      </c>
      <c r="C8599" s="12">
        <v>0</v>
      </c>
      <c r="D8599" s="13">
        <v>0</v>
      </c>
      <c r="E8599" s="12">
        <v>0</v>
      </c>
      <c r="F8599" s="14">
        <v>0</v>
      </c>
      <c r="G8599" s="13">
        <v>1824321.1867</v>
      </c>
      <c r="H8599" s="14">
        <v>2412052344.7883749</v>
      </c>
      <c r="I8599" s="14" t="e">
        <f>=Round(5437.00320000,0)</f>
        <v>#VALUE!</v>
      </c>
      <c r="J8599" s="14" t="e">
        <f>=Round(0.00000000,0)</f>
        <v>#VALUE!</v>
      </c>
    </row>
    <row r="8600">
      <c r="A8600" s="11" t="s">
        <v>44</v>
      </c>
      <c r="B8600" s="12">
        <v>1322.7631</v>
      </c>
      <c r="C8600" s="12">
        <v>0</v>
      </c>
      <c r="D8600" s="13">
        <v>0</v>
      </c>
      <c r="E8600" s="12">
        <v>0</v>
      </c>
      <c r="F8600" s="14">
        <v>0</v>
      </c>
      <c r="G8600" s="13">
        <v>1824321.1867</v>
      </c>
      <c r="H8600" s="14">
        <v>2413144748.314971</v>
      </c>
      <c r="I8600" s="14" t="e">
        <f>=Round(5437.00320000,0)</f>
        <v>#VALUE!</v>
      </c>
      <c r="J8600" s="14" t="e">
        <f>=Round(0.00000000,0)</f>
        <v>#VALUE!</v>
      </c>
    </row>
    <row r="8601">
      <c r="A8601" s="11" t="s">
        <v>45</v>
      </c>
      <c r="B8601" s="12">
        <v>1323.3557</v>
      </c>
      <c r="C8601" s="12">
        <v>0</v>
      </c>
      <c r="D8601" s="13">
        <v>0</v>
      </c>
      <c r="E8601" s="12">
        <v>0</v>
      </c>
      <c r="F8601" s="14">
        <v>0</v>
      </c>
      <c r="G8601" s="13">
        <v>1824321.1867</v>
      </c>
      <c r="H8601" s="14">
        <v>2414225841.050209</v>
      </c>
      <c r="I8601" s="14" t="e">
        <f>=Round(5439.46560000,0)</f>
        <v>#VALUE!</v>
      </c>
      <c r="J8601" s="14" t="e">
        <f>=Round(0.00000000,0)</f>
        <v>#VALUE!</v>
      </c>
    </row>
    <row r="8602">
      <c r="A8602" s="11" t="s">
        <v>46</v>
      </c>
      <c r="B8602" s="12">
        <v>1325.1605</v>
      </c>
      <c r="C8602" s="12">
        <v>0</v>
      </c>
      <c r="D8602" s="13">
        <v>0</v>
      </c>
      <c r="E8602" s="12">
        <v>0</v>
      </c>
      <c r="F8602" s="14">
        <v>0</v>
      </c>
      <c r="G8602" s="13">
        <v>1824321.1867</v>
      </c>
      <c r="H8602" s="14">
        <v>2417518375.9279652</v>
      </c>
      <c r="I8602" s="14" t="e">
        <f>=Round(5441.90250000,0)</f>
        <v>#VALUE!</v>
      </c>
      <c r="J8602" s="14" t="e">
        <f>=Round(0.00000000,0)</f>
        <v>#VALUE!</v>
      </c>
    </row>
    <row r="8603">
      <c r="A8603" s="11" t="s">
        <v>47</v>
      </c>
      <c r="B8603" s="12">
        <v>1326.9363</v>
      </c>
      <c r="C8603" s="12">
        <v>0</v>
      </c>
      <c r="D8603" s="13">
        <v>0</v>
      </c>
      <c r="E8603" s="12">
        <v>0</v>
      </c>
      <c r="F8603" s="14">
        <v>0</v>
      </c>
      <c r="G8603" s="13">
        <v>1824321.1867</v>
      </c>
      <c r="H8603" s="14">
        <v>2420758005.4913068</v>
      </c>
      <c r="I8603" s="14" t="e">
        <f>=Round(5449.32420000,0)</f>
        <v>#VALUE!</v>
      </c>
      <c r="J8603" s="14" t="e">
        <f>=Round(0.00000000,0)</f>
        <v>#VALUE!</v>
      </c>
    </row>
    <row r="8604">
      <c r="A8604" s="11" t="s">
        <v>48</v>
      </c>
      <c r="B8604" s="12">
        <v>1327.4946</v>
      </c>
      <c r="C8604" s="12">
        <v>0</v>
      </c>
      <c r="D8604" s="13">
        <v>0</v>
      </c>
      <c r="E8604" s="12">
        <v>0</v>
      </c>
      <c r="F8604" s="14">
        <v>0</v>
      </c>
      <c r="G8604" s="13">
        <v>1824321.1867</v>
      </c>
      <c r="H8604" s="14">
        <v>2421776524.0098419</v>
      </c>
      <c r="I8604" s="14" t="e">
        <f>=Round(5456.62670000,0)</f>
        <v>#VALUE!</v>
      </c>
      <c r="J8604" s="14" t="e">
        <f>=Round(0.00000000,0)</f>
        <v>#VALUE!</v>
      </c>
    </row>
    <row r="8605">
      <c r="A8605" s="11" t="s">
        <v>49</v>
      </c>
      <c r="B8605" s="12">
        <v>1327.4946</v>
      </c>
      <c r="C8605" s="12">
        <v>0</v>
      </c>
      <c r="D8605" s="13">
        <v>0</v>
      </c>
      <c r="E8605" s="12">
        <v>0</v>
      </c>
      <c r="F8605" s="14">
        <v>0</v>
      </c>
      <c r="G8605" s="13">
        <v>1824321.1867</v>
      </c>
      <c r="H8605" s="14">
        <v>2421776524.0098419</v>
      </c>
      <c r="I8605" s="14" t="e">
        <f>=Round(5458.92250000,0)</f>
        <v>#VALUE!</v>
      </c>
      <c r="J8605" s="14" t="e">
        <f>=Round(0.00000000,0)</f>
        <v>#VALUE!</v>
      </c>
    </row>
    <row r="8606">
      <c r="A8606" s="11" t="s">
        <v>50</v>
      </c>
      <c r="B8606" s="12">
        <v>1327.4946</v>
      </c>
      <c r="C8606" s="12">
        <v>0</v>
      </c>
      <c r="D8606" s="13">
        <v>0</v>
      </c>
      <c r="E8606" s="12">
        <v>0</v>
      </c>
      <c r="F8606" s="14">
        <v>0</v>
      </c>
      <c r="G8606" s="13">
        <v>1824321.1867</v>
      </c>
      <c r="H8606" s="14">
        <v>2421776524.0098419</v>
      </c>
      <c r="I8606" s="14" t="e">
        <f>=Round(5458.92250000,0)</f>
        <v>#VALUE!</v>
      </c>
      <c r="J8606" s="14" t="e">
        <f>=Round(0.00000000,0)</f>
        <v>#VALUE!</v>
      </c>
    </row>
    <row r="8607">
      <c r="A8607" s="11" t="s">
        <v>51</v>
      </c>
      <c r="B8607" s="12">
        <v>1328.2648</v>
      </c>
      <c r="C8607" s="12">
        <v>0</v>
      </c>
      <c r="D8607" s="13">
        <v>0</v>
      </c>
      <c r="E8607" s="12">
        <v>0</v>
      </c>
      <c r="F8607" s="14">
        <v>0</v>
      </c>
      <c r="G8607" s="13">
        <v>1824321.1867</v>
      </c>
      <c r="H8607" s="14">
        <v>2423181616.1878381</v>
      </c>
      <c r="I8607" s="14" t="e">
        <f>=Round(5458.92250000,0)</f>
        <v>#VALUE!</v>
      </c>
      <c r="J8607" s="14" t="e">
        <f>=Round(0.00000000,0)</f>
        <v>#VALUE!</v>
      </c>
    </row>
    <row r="8608">
      <c r="A8608" s="11" t="s">
        <v>52</v>
      </c>
      <c r="B8608" s="12">
        <v>1328.4331</v>
      </c>
      <c r="C8608" s="12">
        <v>0</v>
      </c>
      <c r="D8608" s="13">
        <v>0</v>
      </c>
      <c r="E8608" s="12">
        <v>0</v>
      </c>
      <c r="F8608" s="14">
        <v>0</v>
      </c>
      <c r="G8608" s="13">
        <v>1824321.1867</v>
      </c>
      <c r="H8608" s="14">
        <v>2423488649.44356</v>
      </c>
      <c r="I8608" s="14" t="e">
        <f>=Round(5462.08970000,0)</f>
        <v>#VALUE!</v>
      </c>
      <c r="J8608" s="14" t="e">
        <f>=Round(0.00000000,0)</f>
        <v>#VALUE!</v>
      </c>
    </row>
    <row r="8609">
      <c r="A8609" s="11" t="s">
        <v>53</v>
      </c>
      <c r="B8609" s="12">
        <v>1328.3365</v>
      </c>
      <c r="C8609" s="12">
        <v>0</v>
      </c>
      <c r="D8609" s="13">
        <v>0</v>
      </c>
      <c r="E8609" s="12">
        <v>0</v>
      </c>
      <c r="F8609" s="14">
        <v>0</v>
      </c>
      <c r="G8609" s="13">
        <v>1824321.1867</v>
      </c>
      <c r="H8609" s="14">
        <v>2423312420.0169249</v>
      </c>
      <c r="I8609" s="14" t="e">
        <f>=Round(5462.78180000,0)</f>
        <v>#VALUE!</v>
      </c>
      <c r="J8609" s="14" t="e">
        <f>=Round(0.00000000,0)</f>
        <v>#VALUE!</v>
      </c>
    </row>
    <row r="8610">
      <c r="A8610" s="11" t="s">
        <v>54</v>
      </c>
      <c r="B8610" s="12">
        <v>1326.8595</v>
      </c>
      <c r="C8610" s="12">
        <v>0</v>
      </c>
      <c r="D8610" s="13">
        <v>0</v>
      </c>
      <c r="E8610" s="12">
        <v>0</v>
      </c>
      <c r="F8610" s="14">
        <v>0</v>
      </c>
      <c r="G8610" s="13">
        <v>1824321.1867</v>
      </c>
      <c r="H8610" s="14">
        <v>2420617897.6241689</v>
      </c>
      <c r="I8610" s="14" t="e">
        <f>=Round(5462.38460000,0)</f>
        <v>#VALUE!</v>
      </c>
      <c r="J8610" s="14" t="e">
        <f>=Round(0.00000000,0)</f>
        <v>#VALUE!</v>
      </c>
    </row>
    <row r="8611">
      <c r="A8611" s="11" t="s">
        <v>55</v>
      </c>
      <c r="B8611" s="12">
        <v>1326.6189</v>
      </c>
      <c r="C8611" s="12">
        <v>0</v>
      </c>
      <c r="D8611" s="13">
        <v>0</v>
      </c>
      <c r="E8611" s="12">
        <v>0</v>
      </c>
      <c r="F8611" s="14">
        <v>0</v>
      </c>
      <c r="G8611" s="13">
        <v>1824321.1867</v>
      </c>
      <c r="H8611" s="14">
        <v>2420178965.9466491</v>
      </c>
      <c r="I8611" s="14" t="e">
        <f>=Round(5456.31080000,0)</f>
        <v>#VALUE!</v>
      </c>
      <c r="J8611" s="14" t="e">
        <f>=Round(0.00000000,0)</f>
        <v>#VALUE!</v>
      </c>
    </row>
    <row r="8612" ht="-1">
      <c r="A8612" s="15"/>
      <c r="B8612" s="16" t="s">
        <v>56</v>
      </c>
      <c r="C8612" s="15"/>
      <c r="D8612" s="15"/>
      <c r="E8612" s="15"/>
      <c r="F8612" s="15"/>
      <c r="G8612" s="15"/>
      <c r="H8612" s="15"/>
      <c r="I8612" s="17" t="e">
        <f>=Round(SUM(I8586:I8611),0)</f>
        <v>#VALUE!</v>
      </c>
      <c r="J8612" s="17" t="e">
        <f>=Round(SUM(J8586:J8611),0)</f>
        <v>#VALUE!</v>
      </c>
    </row>
    <row r="8613">
      <c r="A8613" s="1" t="s">
        <v>0</v>
      </c>
      <c r="B8613" s="1"/>
      <c r="C8613" s="1"/>
      <c r="D8613" s="1"/>
    </row>
    <row r="8614">
      <c r="A8614" s="0" t="s">
        <v>1</v>
      </c>
      <c r="C8614" s="0" t="s">
        <v>289</v>
      </c>
      <c r="H8614" s="2" t="s">
        <v>3</v>
      </c>
    </row>
    <row r="8615">
      <c r="A8615" s="0" t="s">
        <v>4</v>
      </c>
      <c r="C8615" s="0" t="s">
        <v>291</v>
      </c>
      <c r="H8615" s="3" t="s">
        <v>6</v>
      </c>
    </row>
    <row r="8616">
      <c r="A8616" s="0" t="s">
        <v>7</v>
      </c>
      <c r="C8616" s="4" t="s">
        <v>270</v>
      </c>
      <c r="H8616" s="2" t="s">
        <v>9</v>
      </c>
    </row>
    <row r="8617">
      <c r="A8617" s="0" t="s">
        <v>10</v>
      </c>
      <c r="C8617" s="4" t="s">
        <v>11</v>
      </c>
      <c r="H8617" s="2" t="s">
        <v>12</v>
      </c>
    </row>
    <row r="8618">
      <c r="A8618" s="0" t="s">
        <v>13</v>
      </c>
      <c r="C8618" s="0" t="s">
        <v>14</v>
      </c>
    </row>
    <row r="8619">
      <c r="A8619" s="0" t="s">
        <v>15</v>
      </c>
      <c r="C8619" s="0" t="s">
        <v>16</v>
      </c>
    </row>
    <row r="8620">
      <c r="A8620" s="0" t="s">
        <v>17</v>
      </c>
      <c r="C8620" s="0" t="s">
        <v>18</v>
      </c>
    </row>
    <row r="8623">
      <c r="A8623" s="5" t="s">
        <v>19</v>
      </c>
      <c r="B8623" s="5" t="s">
        <v>20</v>
      </c>
      <c r="C8623" s="7" t="s">
        <v>21</v>
      </c>
      <c r="D8623" s="9"/>
      <c r="E8623" s="7" t="s">
        <v>22</v>
      </c>
      <c r="F8623" s="9"/>
      <c r="G8623" s="5" t="s">
        <v>23</v>
      </c>
      <c r="H8623" s="5" t="s">
        <v>24</v>
      </c>
      <c r="I8623" s="5" t="s">
        <v>271</v>
      </c>
      <c r="J8623" s="5" t="s">
        <v>26</v>
      </c>
    </row>
    <row r="8624">
      <c r="A8624" s="6"/>
      <c r="B8624" s="6"/>
      <c r="C8624" s="8" t="s">
        <v>27</v>
      </c>
      <c r="D8624" s="8" t="s">
        <v>28</v>
      </c>
      <c r="E8624" s="8" t="s">
        <v>27</v>
      </c>
      <c r="F8624" s="8" t="s">
        <v>28</v>
      </c>
      <c r="G8624" s="6"/>
      <c r="H8624" s="6"/>
      <c r="I8624" s="10" t="s">
        <v>29</v>
      </c>
      <c r="J8624" s="6"/>
    </row>
    <row r="8625">
      <c r="A8625" s="11" t="s">
        <v>30</v>
      </c>
      <c r="B8625" s="12">
        <v>1312.2618</v>
      </c>
      <c r="C8625" s="12">
        <v>0</v>
      </c>
      <c r="D8625" s="13">
        <v>0</v>
      </c>
      <c r="E8625" s="12">
        <v>0</v>
      </c>
      <c r="F8625" s="14">
        <v>0</v>
      </c>
      <c r="G8625" s="13">
        <v>3410785.5148</v>
      </c>
      <c r="H8625" s="14">
        <v>4475843539.0653753</v>
      </c>
      <c r="I8625" s="14" t="e">
        <f>=Round(10085.98240000,0)</f>
        <v>#VALUE!</v>
      </c>
      <c r="J8625" s="14" t="e">
        <f>=Round(0.00000000,0)</f>
        <v>#VALUE!</v>
      </c>
    </row>
    <row r="8626">
      <c r="A8626" s="11" t="s">
        <v>31</v>
      </c>
      <c r="B8626" s="12">
        <v>1313.459</v>
      </c>
      <c r="C8626" s="12">
        <v>0</v>
      </c>
      <c r="D8626" s="13">
        <v>0</v>
      </c>
      <c r="E8626" s="12">
        <v>0</v>
      </c>
      <c r="F8626" s="14">
        <v>0</v>
      </c>
      <c r="G8626" s="13">
        <v>3410785.5148</v>
      </c>
      <c r="H8626" s="14">
        <v>4479926931.4836931</v>
      </c>
      <c r="I8626" s="14" t="e">
        <f>=Round(10088.99160000,0)</f>
        <v>#VALUE!</v>
      </c>
      <c r="J8626" s="14" t="e">
        <f>=Round(0.00000000,0)</f>
        <v>#VALUE!</v>
      </c>
    </row>
    <row r="8627">
      <c r="A8627" s="11" t="s">
        <v>32</v>
      </c>
      <c r="B8627" s="12">
        <v>1314.5532</v>
      </c>
      <c r="C8627" s="12">
        <v>0</v>
      </c>
      <c r="D8627" s="13">
        <v>0</v>
      </c>
      <c r="E8627" s="12">
        <v>0</v>
      </c>
      <c r="F8627" s="14">
        <v>0</v>
      </c>
      <c r="G8627" s="13">
        <v>3410785.5148</v>
      </c>
      <c r="H8627" s="14">
        <v>4483659012.9939871</v>
      </c>
      <c r="I8627" s="14" t="e">
        <f>=Round(10098.19600000,0)</f>
        <v>#VALUE!</v>
      </c>
      <c r="J8627" s="14" t="e">
        <f>=Round(0.00000000,0)</f>
        <v>#VALUE!</v>
      </c>
    </row>
    <row r="8628">
      <c r="A8628" s="11" t="s">
        <v>33</v>
      </c>
      <c r="B8628" s="12">
        <v>1314.8248</v>
      </c>
      <c r="C8628" s="12">
        <v>0</v>
      </c>
      <c r="D8628" s="13">
        <v>0</v>
      </c>
      <c r="E8628" s="12">
        <v>0</v>
      </c>
      <c r="F8628" s="14">
        <v>0</v>
      </c>
      <c r="G8628" s="13">
        <v>3410785.5148</v>
      </c>
      <c r="H8628" s="14">
        <v>4484585382.3398066</v>
      </c>
      <c r="I8628" s="14" t="e">
        <f>=Round(10106.60840000,0)</f>
        <v>#VALUE!</v>
      </c>
      <c r="J8628" s="14" t="e">
        <f>=Round(0.00000000,0)</f>
        <v>#VALUE!</v>
      </c>
    </row>
    <row r="8629">
      <c r="A8629" s="11" t="s">
        <v>34</v>
      </c>
      <c r="B8629" s="12">
        <v>1316.8829</v>
      </c>
      <c r="C8629" s="12">
        <v>0</v>
      </c>
      <c r="D8629" s="13">
        <v>0</v>
      </c>
      <c r="E8629" s="12">
        <v>0</v>
      </c>
      <c r="F8629" s="14">
        <v>0</v>
      </c>
      <c r="G8629" s="13">
        <v>3410785.5148</v>
      </c>
      <c r="H8629" s="14">
        <v>4491605120.0078173</v>
      </c>
      <c r="I8629" s="14" t="e">
        <f>=Round(10108.69660000,0)</f>
        <v>#VALUE!</v>
      </c>
      <c r="J8629" s="14" t="e">
        <f>=Round(0.00000000,0)</f>
        <v>#VALUE!</v>
      </c>
    </row>
    <row r="8630">
      <c r="A8630" s="11" t="s">
        <v>35</v>
      </c>
      <c r="B8630" s="12">
        <v>1316.8829</v>
      </c>
      <c r="C8630" s="12">
        <v>0</v>
      </c>
      <c r="D8630" s="13">
        <v>0</v>
      </c>
      <c r="E8630" s="12">
        <v>0</v>
      </c>
      <c r="F8630" s="14">
        <v>0</v>
      </c>
      <c r="G8630" s="13">
        <v>3410785.5148</v>
      </c>
      <c r="H8630" s="14">
        <v>4491605120.0078173</v>
      </c>
      <c r="I8630" s="14" t="e">
        <f>=Round(10124.51970000,0)</f>
        <v>#VALUE!</v>
      </c>
      <c r="J8630" s="14" t="e">
        <f>=Round(0.00000000,0)</f>
        <v>#VALUE!</v>
      </c>
    </row>
    <row r="8631">
      <c r="A8631" s="11" t="s">
        <v>36</v>
      </c>
      <c r="B8631" s="12">
        <v>1316.8829</v>
      </c>
      <c r="C8631" s="12">
        <v>0</v>
      </c>
      <c r="D8631" s="13">
        <v>0</v>
      </c>
      <c r="E8631" s="12">
        <v>0</v>
      </c>
      <c r="F8631" s="14">
        <v>0</v>
      </c>
      <c r="G8631" s="13">
        <v>3410785.5148</v>
      </c>
      <c r="H8631" s="14">
        <v>4491605120.0078173</v>
      </c>
      <c r="I8631" s="14" t="e">
        <f>=Round(10124.51970000,0)</f>
        <v>#VALUE!</v>
      </c>
      <c r="J8631" s="14" t="e">
        <f>=Round(0.00000000,0)</f>
        <v>#VALUE!</v>
      </c>
    </row>
    <row r="8632">
      <c r="A8632" s="11" t="s">
        <v>37</v>
      </c>
      <c r="B8632" s="12">
        <v>1317.5064</v>
      </c>
      <c r="C8632" s="12">
        <v>0</v>
      </c>
      <c r="D8632" s="13">
        <v>0</v>
      </c>
      <c r="E8632" s="12">
        <v>0</v>
      </c>
      <c r="F8632" s="14">
        <v>0</v>
      </c>
      <c r="G8632" s="13">
        <v>3410785.5148</v>
      </c>
      <c r="H8632" s="14">
        <v>4493731744.7762947</v>
      </c>
      <c r="I8632" s="14" t="e">
        <f>=Round(10124.51970000,0)</f>
        <v>#VALUE!</v>
      </c>
      <c r="J8632" s="14" t="e">
        <f>=Round(0.00000000,0)</f>
        <v>#VALUE!</v>
      </c>
    </row>
    <row r="8633">
      <c r="A8633" s="11" t="s">
        <v>38</v>
      </c>
      <c r="B8633" s="12">
        <v>1317.4287</v>
      </c>
      <c r="C8633" s="12">
        <v>0</v>
      </c>
      <c r="D8633" s="13">
        <v>0</v>
      </c>
      <c r="E8633" s="12">
        <v>0</v>
      </c>
      <c r="F8633" s="14">
        <v>0</v>
      </c>
      <c r="G8633" s="13">
        <v>3410785.5148</v>
      </c>
      <c r="H8633" s="14">
        <v>4493466726.7417946</v>
      </c>
      <c r="I8633" s="14" t="e">
        <f>=Round(10129.31340000,0)</f>
        <v>#VALUE!</v>
      </c>
      <c r="J8633" s="14" t="e">
        <f>=Round(0.00000000,0)</f>
        <v>#VALUE!</v>
      </c>
    </row>
    <row r="8634">
      <c r="A8634" s="11" t="s">
        <v>39</v>
      </c>
      <c r="B8634" s="12">
        <v>1320.6812</v>
      </c>
      <c r="C8634" s="12">
        <v>0</v>
      </c>
      <c r="D8634" s="13">
        <v>0</v>
      </c>
      <c r="E8634" s="12">
        <v>0</v>
      </c>
      <c r="F8634" s="14">
        <v>0</v>
      </c>
      <c r="G8634" s="13">
        <v>3410785.5148</v>
      </c>
      <c r="H8634" s="14">
        <v>4504560306.6286821</v>
      </c>
      <c r="I8634" s="14" t="e">
        <f>=Round(10128.71600000,0)</f>
        <v>#VALUE!</v>
      </c>
      <c r="J8634" s="14" t="e">
        <f>=Round(0.00000000,0)</f>
        <v>#VALUE!</v>
      </c>
    </row>
    <row r="8635">
      <c r="A8635" s="11" t="s">
        <v>40</v>
      </c>
      <c r="B8635" s="12">
        <v>1321.5605</v>
      </c>
      <c r="C8635" s="12">
        <v>0</v>
      </c>
      <c r="D8635" s="13">
        <v>0</v>
      </c>
      <c r="E8635" s="12">
        <v>0</v>
      </c>
      <c r="F8635" s="14">
        <v>0</v>
      </c>
      <c r="G8635" s="13">
        <v>3410785.5148</v>
      </c>
      <c r="H8635" s="14">
        <v>4507559410.3318453</v>
      </c>
      <c r="I8635" s="14" t="e">
        <f>=Round(10153.72200000,0)</f>
        <v>#VALUE!</v>
      </c>
      <c r="J8635" s="14" t="e">
        <f>=Round(0.00000000,0)</f>
        <v>#VALUE!</v>
      </c>
    </row>
    <row r="8636">
      <c r="A8636" s="11" t="s">
        <v>41</v>
      </c>
      <c r="B8636" s="12">
        <v>1322.1643</v>
      </c>
      <c r="C8636" s="12">
        <v>0</v>
      </c>
      <c r="D8636" s="13">
        <v>0</v>
      </c>
      <c r="E8636" s="12">
        <v>0</v>
      </c>
      <c r="F8636" s="14">
        <v>0</v>
      </c>
      <c r="G8636" s="13">
        <v>3410785.5148</v>
      </c>
      <c r="H8636" s="14">
        <v>4509618842.6256819</v>
      </c>
      <c r="I8636" s="14" t="e">
        <f>=Round(10160.48230000,0)</f>
        <v>#VALUE!</v>
      </c>
      <c r="J8636" s="14" t="e">
        <f>=Round(0.00000000,0)</f>
        <v>#VALUE!</v>
      </c>
    </row>
    <row r="8637">
      <c r="A8637" s="11" t="s">
        <v>42</v>
      </c>
      <c r="B8637" s="12">
        <v>1322.1643</v>
      </c>
      <c r="C8637" s="12">
        <v>0</v>
      </c>
      <c r="D8637" s="13">
        <v>0</v>
      </c>
      <c r="E8637" s="12">
        <v>0</v>
      </c>
      <c r="F8637" s="14">
        <v>0</v>
      </c>
      <c r="G8637" s="13">
        <v>3410785.5148</v>
      </c>
      <c r="H8637" s="14">
        <v>4509618842.6256819</v>
      </c>
      <c r="I8637" s="14" t="e">
        <f>=Round(10165.12440000,0)</f>
        <v>#VALUE!</v>
      </c>
      <c r="J8637" s="14" t="e">
        <f>=Round(0.00000000,0)</f>
        <v>#VALUE!</v>
      </c>
    </row>
    <row r="8638">
      <c r="A8638" s="11" t="s">
        <v>43</v>
      </c>
      <c r="B8638" s="12">
        <v>1322.1643</v>
      </c>
      <c r="C8638" s="12">
        <v>0</v>
      </c>
      <c r="D8638" s="13">
        <v>0</v>
      </c>
      <c r="E8638" s="12">
        <v>0</v>
      </c>
      <c r="F8638" s="14">
        <v>0</v>
      </c>
      <c r="G8638" s="13">
        <v>3410785.5148</v>
      </c>
      <c r="H8638" s="14">
        <v>4509618842.6256819</v>
      </c>
      <c r="I8638" s="14" t="e">
        <f>=Round(10165.12440000,0)</f>
        <v>#VALUE!</v>
      </c>
      <c r="J8638" s="14" t="e">
        <f>=Round(0.00000000,0)</f>
        <v>#VALUE!</v>
      </c>
    </row>
    <row r="8639">
      <c r="A8639" s="11" t="s">
        <v>44</v>
      </c>
      <c r="B8639" s="12">
        <v>1322.7631</v>
      </c>
      <c r="C8639" s="12">
        <v>0</v>
      </c>
      <c r="D8639" s="13">
        <v>0</v>
      </c>
      <c r="E8639" s="12">
        <v>0</v>
      </c>
      <c r="F8639" s="14">
        <v>0</v>
      </c>
      <c r="G8639" s="13">
        <v>3410785.5148</v>
      </c>
      <c r="H8639" s="14">
        <v>4511661220.9919443</v>
      </c>
      <c r="I8639" s="14" t="e">
        <f>=Round(10165.12440000,0)</f>
        <v>#VALUE!</v>
      </c>
      <c r="J8639" s="14" t="e">
        <f>=Round(0.00000000,0)</f>
        <v>#VALUE!</v>
      </c>
    </row>
    <row r="8640">
      <c r="A8640" s="11" t="s">
        <v>45</v>
      </c>
      <c r="B8640" s="12">
        <v>1323.3557</v>
      </c>
      <c r="C8640" s="12">
        <v>0</v>
      </c>
      <c r="D8640" s="13">
        <v>0</v>
      </c>
      <c r="E8640" s="12">
        <v>0</v>
      </c>
      <c r="F8640" s="14">
        <v>0</v>
      </c>
      <c r="G8640" s="13">
        <v>3410785.5148</v>
      </c>
      <c r="H8640" s="14">
        <v>4513682452.4880142</v>
      </c>
      <c r="I8640" s="14" t="e">
        <f>=Round(10169.72820000,0)</f>
        <v>#VALUE!</v>
      </c>
      <c r="J8640" s="14" t="e">
        <f>=Round(0.00000000,0)</f>
        <v>#VALUE!</v>
      </c>
    </row>
    <row r="8641">
      <c r="A8641" s="11" t="s">
        <v>46</v>
      </c>
      <c r="B8641" s="12">
        <v>1325.1605</v>
      </c>
      <c r="C8641" s="12">
        <v>0</v>
      </c>
      <c r="D8641" s="13">
        <v>0</v>
      </c>
      <c r="E8641" s="12">
        <v>0</v>
      </c>
      <c r="F8641" s="14">
        <v>0</v>
      </c>
      <c r="G8641" s="13">
        <v>3410785.5148</v>
      </c>
      <c r="H8641" s="14">
        <v>4519838238.1851254</v>
      </c>
      <c r="I8641" s="14" t="e">
        <f>=Round(10174.28420000,0)</f>
        <v>#VALUE!</v>
      </c>
      <c r="J8641" s="14" t="e">
        <f>=Round(0.00000000,0)</f>
        <v>#VALUE!</v>
      </c>
    </row>
    <row r="8642">
      <c r="A8642" s="11" t="s">
        <v>47</v>
      </c>
      <c r="B8642" s="12">
        <v>1326.9363</v>
      </c>
      <c r="C8642" s="12">
        <v>0</v>
      </c>
      <c r="D8642" s="13">
        <v>0</v>
      </c>
      <c r="E8642" s="12">
        <v>0</v>
      </c>
      <c r="F8642" s="14">
        <v>0</v>
      </c>
      <c r="G8642" s="13">
        <v>3410785.5148</v>
      </c>
      <c r="H8642" s="14">
        <v>4525895111.1023073</v>
      </c>
      <c r="I8642" s="14" t="e">
        <f>=Round(10188.16000000,0)</f>
        <v>#VALUE!</v>
      </c>
      <c r="J8642" s="14" t="e">
        <f>=Round(0.00000000,0)</f>
        <v>#VALUE!</v>
      </c>
    </row>
    <row r="8643">
      <c r="A8643" s="11" t="s">
        <v>48</v>
      </c>
      <c r="B8643" s="12">
        <v>1327.4946</v>
      </c>
      <c r="C8643" s="12">
        <v>0</v>
      </c>
      <c r="D8643" s="13">
        <v>0</v>
      </c>
      <c r="E8643" s="12">
        <v>0</v>
      </c>
      <c r="F8643" s="14">
        <v>0</v>
      </c>
      <c r="G8643" s="13">
        <v>3410785.5148</v>
      </c>
      <c r="H8643" s="14">
        <v>4527799352.65522</v>
      </c>
      <c r="I8643" s="14" t="e">
        <f>=Round(10201.81280000,0)</f>
        <v>#VALUE!</v>
      </c>
      <c r="J8643" s="14" t="e">
        <f>=Round(0.00000000,0)</f>
        <v>#VALUE!</v>
      </c>
    </row>
    <row r="8644">
      <c r="A8644" s="11" t="s">
        <v>49</v>
      </c>
      <c r="B8644" s="12">
        <v>1327.4946</v>
      </c>
      <c r="C8644" s="12">
        <v>0</v>
      </c>
      <c r="D8644" s="13">
        <v>0</v>
      </c>
      <c r="E8644" s="12">
        <v>0</v>
      </c>
      <c r="F8644" s="14">
        <v>0</v>
      </c>
      <c r="G8644" s="13">
        <v>3410785.5148</v>
      </c>
      <c r="H8644" s="14">
        <v>4527799352.65522</v>
      </c>
      <c r="I8644" s="14" t="e">
        <f>=Round(10206.10510000,0)</f>
        <v>#VALUE!</v>
      </c>
      <c r="J8644" s="14" t="e">
        <f>=Round(0.00000000,0)</f>
        <v>#VALUE!</v>
      </c>
    </row>
    <row r="8645">
      <c r="A8645" s="11" t="s">
        <v>50</v>
      </c>
      <c r="B8645" s="12">
        <v>1327.4946</v>
      </c>
      <c r="C8645" s="12">
        <v>0</v>
      </c>
      <c r="D8645" s="13">
        <v>0</v>
      </c>
      <c r="E8645" s="12">
        <v>0</v>
      </c>
      <c r="F8645" s="14">
        <v>0</v>
      </c>
      <c r="G8645" s="13">
        <v>3410785.5148</v>
      </c>
      <c r="H8645" s="14">
        <v>4527799352.65522</v>
      </c>
      <c r="I8645" s="14" t="e">
        <f>=Round(10206.10510000,0)</f>
        <v>#VALUE!</v>
      </c>
      <c r="J8645" s="14" t="e">
        <f>=Round(0.00000000,0)</f>
        <v>#VALUE!</v>
      </c>
    </row>
    <row r="8646">
      <c r="A8646" s="11" t="s">
        <v>51</v>
      </c>
      <c r="B8646" s="12">
        <v>1328.2648</v>
      </c>
      <c r="C8646" s="12">
        <v>0</v>
      </c>
      <c r="D8646" s="13">
        <v>0</v>
      </c>
      <c r="E8646" s="12">
        <v>0</v>
      </c>
      <c r="F8646" s="14">
        <v>0</v>
      </c>
      <c r="G8646" s="13">
        <v>3410785.5148</v>
      </c>
      <c r="H8646" s="14">
        <v>4530426339.6587191</v>
      </c>
      <c r="I8646" s="14" t="e">
        <f>=Round(10206.10510000,0)</f>
        <v>#VALUE!</v>
      </c>
      <c r="J8646" s="14" t="e">
        <f>=Round(0.00000000,0)</f>
        <v>#VALUE!</v>
      </c>
    </row>
    <row r="8647">
      <c r="A8647" s="11" t="s">
        <v>52</v>
      </c>
      <c r="B8647" s="12">
        <v>1328.4331</v>
      </c>
      <c r="C8647" s="12">
        <v>0</v>
      </c>
      <c r="D8647" s="13">
        <v>0</v>
      </c>
      <c r="E8647" s="12">
        <v>0</v>
      </c>
      <c r="F8647" s="14">
        <v>0</v>
      </c>
      <c r="G8647" s="13">
        <v>3410785.5148</v>
      </c>
      <c r="H8647" s="14">
        <v>4531000374.86086</v>
      </c>
      <c r="I8647" s="14" t="e">
        <f>=Round(10212.02660000,0)</f>
        <v>#VALUE!</v>
      </c>
      <c r="J8647" s="14" t="e">
        <f>=Round(0.00000000,0)</f>
        <v>#VALUE!</v>
      </c>
    </row>
    <row r="8648">
      <c r="A8648" s="11" t="s">
        <v>53</v>
      </c>
      <c r="B8648" s="12">
        <v>1328.3365</v>
      </c>
      <c r="C8648" s="12">
        <v>0</v>
      </c>
      <c r="D8648" s="13">
        <v>0</v>
      </c>
      <c r="E8648" s="12">
        <v>0</v>
      </c>
      <c r="F8648" s="14">
        <v>0</v>
      </c>
      <c r="G8648" s="13">
        <v>3410785.5148</v>
      </c>
      <c r="H8648" s="14">
        <v>4530670892.98013</v>
      </c>
      <c r="I8648" s="14" t="e">
        <f>=Round(10213.32050000,0)</f>
        <v>#VALUE!</v>
      </c>
      <c r="J8648" s="14" t="e">
        <f>=Round(0.00000000,0)</f>
        <v>#VALUE!</v>
      </c>
    </row>
    <row r="8649">
      <c r="A8649" s="11" t="s">
        <v>54</v>
      </c>
      <c r="B8649" s="12">
        <v>1326.8595</v>
      </c>
      <c r="C8649" s="12">
        <v>0</v>
      </c>
      <c r="D8649" s="13">
        <v>0</v>
      </c>
      <c r="E8649" s="12">
        <v>0</v>
      </c>
      <c r="F8649" s="14">
        <v>0</v>
      </c>
      <c r="G8649" s="13">
        <v>3410785.5148</v>
      </c>
      <c r="H8649" s="14">
        <v>4525633162.7747707</v>
      </c>
      <c r="I8649" s="14" t="e">
        <f>=Round(10212.57780000,0)</f>
        <v>#VALUE!</v>
      </c>
      <c r="J8649" s="14" t="e">
        <f>=Round(0.00000000,0)</f>
        <v>#VALUE!</v>
      </c>
    </row>
    <row r="8650">
      <c r="A8650" s="11" t="s">
        <v>55</v>
      </c>
      <c r="B8650" s="12">
        <v>1326.6189</v>
      </c>
      <c r="C8650" s="12">
        <v>0</v>
      </c>
      <c r="D8650" s="13">
        <v>0</v>
      </c>
      <c r="E8650" s="12">
        <v>0</v>
      </c>
      <c r="F8650" s="14">
        <v>0</v>
      </c>
      <c r="G8650" s="13">
        <v>3410785.5148</v>
      </c>
      <c r="H8650" s="14">
        <v>4524812527.77991</v>
      </c>
      <c r="I8650" s="14" t="e">
        <f>=Round(10201.22230000,0)</f>
        <v>#VALUE!</v>
      </c>
      <c r="J8650" s="14" t="e">
        <f>=Round(0.00000000,0)</f>
        <v>#VALUE!</v>
      </c>
    </row>
    <row r="8651" ht="-1">
      <c r="A8651" s="15"/>
      <c r="B8651" s="16" t="s">
        <v>56</v>
      </c>
      <c r="C8651" s="15"/>
      <c r="D8651" s="15"/>
      <c r="E8651" s="15"/>
      <c r="F8651" s="15"/>
      <c r="G8651" s="15"/>
      <c r="H8651" s="15"/>
      <c r="I8651" s="17" t="e">
        <f>=Round(SUM(I8625:I8650),0)</f>
        <v>#VALUE!</v>
      </c>
      <c r="J8651" s="17" t="e">
        <f>=Round(SUM(J8625:J8650),0)</f>
        <v>#VALUE!</v>
      </c>
    </row>
    <row r="8652">
      <c r="A8652" s="1" t="s">
        <v>0</v>
      </c>
      <c r="B8652" s="1"/>
      <c r="C8652" s="1"/>
      <c r="D8652" s="1"/>
    </row>
    <row r="8653">
      <c r="A8653" s="0" t="s">
        <v>1</v>
      </c>
      <c r="C8653" s="0" t="s">
        <v>289</v>
      </c>
      <c r="H8653" s="2" t="s">
        <v>3</v>
      </c>
    </row>
    <row r="8654">
      <c r="A8654" s="0" t="s">
        <v>4</v>
      </c>
      <c r="C8654" s="0" t="s">
        <v>292</v>
      </c>
      <c r="H8654" s="3" t="s">
        <v>6</v>
      </c>
    </row>
    <row r="8655">
      <c r="A8655" s="0" t="s">
        <v>7</v>
      </c>
      <c r="C8655" s="4" t="s">
        <v>270</v>
      </c>
      <c r="H8655" s="2" t="s">
        <v>9</v>
      </c>
    </row>
    <row r="8656">
      <c r="A8656" s="0" t="s">
        <v>10</v>
      </c>
      <c r="C8656" s="4" t="s">
        <v>11</v>
      </c>
      <c r="H8656" s="2" t="s">
        <v>12</v>
      </c>
    </row>
    <row r="8657">
      <c r="A8657" s="0" t="s">
        <v>13</v>
      </c>
      <c r="C8657" s="0" t="s">
        <v>14</v>
      </c>
    </row>
    <row r="8658">
      <c r="A8658" s="0" t="s">
        <v>15</v>
      </c>
      <c r="C8658" s="0" t="s">
        <v>16</v>
      </c>
    </row>
    <row r="8659">
      <c r="A8659" s="0" t="s">
        <v>17</v>
      </c>
      <c r="C8659" s="0" t="s">
        <v>18</v>
      </c>
    </row>
    <row r="8662">
      <c r="A8662" s="5" t="s">
        <v>19</v>
      </c>
      <c r="B8662" s="5" t="s">
        <v>20</v>
      </c>
      <c r="C8662" s="7" t="s">
        <v>21</v>
      </c>
      <c r="D8662" s="9"/>
      <c r="E8662" s="7" t="s">
        <v>22</v>
      </c>
      <c r="F8662" s="9"/>
      <c r="G8662" s="5" t="s">
        <v>23</v>
      </c>
      <c r="H8662" s="5" t="s">
        <v>24</v>
      </c>
      <c r="I8662" s="5" t="s">
        <v>271</v>
      </c>
      <c r="J8662" s="5" t="s">
        <v>26</v>
      </c>
    </row>
    <row r="8663">
      <c r="A8663" s="6"/>
      <c r="B8663" s="6"/>
      <c r="C8663" s="8" t="s">
        <v>27</v>
      </c>
      <c r="D8663" s="8" t="s">
        <v>28</v>
      </c>
      <c r="E8663" s="8" t="s">
        <v>27</v>
      </c>
      <c r="F8663" s="8" t="s">
        <v>28</v>
      </c>
      <c r="G8663" s="6"/>
      <c r="H8663" s="6"/>
      <c r="I8663" s="10" t="s">
        <v>29</v>
      </c>
      <c r="J8663" s="6"/>
    </row>
    <row r="8664">
      <c r="A8664" s="11" t="s">
        <v>30</v>
      </c>
      <c r="B8664" s="12">
        <v>1312.2618</v>
      </c>
      <c r="C8664" s="12">
        <v>0</v>
      </c>
      <c r="D8664" s="13">
        <v>0</v>
      </c>
      <c r="E8664" s="12">
        <v>0</v>
      </c>
      <c r="F8664" s="14">
        <v>0</v>
      </c>
      <c r="G8664" s="13">
        <v>4426744.0099</v>
      </c>
      <c r="H8664" s="14">
        <v>5809047062.5705919</v>
      </c>
      <c r="I8664" s="14" t="e">
        <f>=Round(13090.25790000,0)</f>
        <v>#VALUE!</v>
      </c>
      <c r="J8664" s="14" t="e">
        <f>=Round(0.00000000,0)</f>
        <v>#VALUE!</v>
      </c>
    </row>
    <row r="8665">
      <c r="A8665" s="11" t="s">
        <v>31</v>
      </c>
      <c r="B8665" s="12">
        <v>1313.459</v>
      </c>
      <c r="C8665" s="12">
        <v>0</v>
      </c>
      <c r="D8665" s="13">
        <v>0</v>
      </c>
      <c r="E8665" s="12">
        <v>0</v>
      </c>
      <c r="F8665" s="14">
        <v>0</v>
      </c>
      <c r="G8665" s="13">
        <v>4426744.0099</v>
      </c>
      <c r="H8665" s="14">
        <v>5814346760.4992437</v>
      </c>
      <c r="I8665" s="14" t="e">
        <f>=Round(13094.16350000,0)</f>
        <v>#VALUE!</v>
      </c>
      <c r="J8665" s="14" t="e">
        <f>=Round(0.00000000,0)</f>
        <v>#VALUE!</v>
      </c>
    </row>
    <row r="8666">
      <c r="A8666" s="11" t="s">
        <v>32</v>
      </c>
      <c r="B8666" s="12">
        <v>1314.5532</v>
      </c>
      <c r="C8666" s="12">
        <v>0</v>
      </c>
      <c r="D8666" s="13">
        <v>0</v>
      </c>
      <c r="E8666" s="12">
        <v>0</v>
      </c>
      <c r="F8666" s="14">
        <v>0</v>
      </c>
      <c r="G8666" s="13">
        <v>4426744.0099</v>
      </c>
      <c r="H8666" s="14">
        <v>5819190503.7948771</v>
      </c>
      <c r="I8666" s="14" t="e">
        <f>=Round(13106.10950000,0)</f>
        <v>#VALUE!</v>
      </c>
      <c r="J8666" s="14" t="e">
        <f>=Round(0.00000000,0)</f>
        <v>#VALUE!</v>
      </c>
    </row>
    <row r="8667">
      <c r="A8667" s="11" t="s">
        <v>33</v>
      </c>
      <c r="B8667" s="12">
        <v>1314.8248</v>
      </c>
      <c r="C8667" s="12">
        <v>0</v>
      </c>
      <c r="D8667" s="13">
        <v>0</v>
      </c>
      <c r="E8667" s="12">
        <v>0</v>
      </c>
      <c r="F8667" s="14">
        <v>0</v>
      </c>
      <c r="G8667" s="13">
        <v>4426744.0099</v>
      </c>
      <c r="H8667" s="14">
        <v>5820392807.4679661</v>
      </c>
      <c r="I8667" s="14" t="e">
        <f>=Round(13117.02780000,0)</f>
        <v>#VALUE!</v>
      </c>
      <c r="J8667" s="14" t="e">
        <f>=Round(0.00000000,0)</f>
        <v>#VALUE!</v>
      </c>
    </row>
    <row r="8668">
      <c r="A8668" s="11" t="s">
        <v>34</v>
      </c>
      <c r="B8668" s="12">
        <v>1316.8829</v>
      </c>
      <c r="C8668" s="12">
        <v>0</v>
      </c>
      <c r="D8668" s="13">
        <v>0</v>
      </c>
      <c r="E8668" s="12">
        <v>0</v>
      </c>
      <c r="F8668" s="14">
        <v>0</v>
      </c>
      <c r="G8668" s="13">
        <v>4426744.0099</v>
      </c>
      <c r="H8668" s="14">
        <v>5829503489.3147411</v>
      </c>
      <c r="I8668" s="14" t="e">
        <f>=Round(13119.73790000,0)</f>
        <v>#VALUE!</v>
      </c>
      <c r="J8668" s="14" t="e">
        <f>=Round(0.00000000,0)</f>
        <v>#VALUE!</v>
      </c>
    </row>
    <row r="8669">
      <c r="A8669" s="11" t="s">
        <v>35</v>
      </c>
      <c r="B8669" s="12">
        <v>1316.8829</v>
      </c>
      <c r="C8669" s="12">
        <v>0</v>
      </c>
      <c r="D8669" s="13">
        <v>0</v>
      </c>
      <c r="E8669" s="12">
        <v>0</v>
      </c>
      <c r="F8669" s="14">
        <v>0</v>
      </c>
      <c r="G8669" s="13">
        <v>4426744.0099</v>
      </c>
      <c r="H8669" s="14">
        <v>5829503489.3147411</v>
      </c>
      <c r="I8669" s="14" t="e">
        <f>=Round(13140.27430000,0)</f>
        <v>#VALUE!</v>
      </c>
      <c r="J8669" s="14" t="e">
        <f>=Round(0.00000000,0)</f>
        <v>#VALUE!</v>
      </c>
    </row>
    <row r="8670">
      <c r="A8670" s="11" t="s">
        <v>36</v>
      </c>
      <c r="B8670" s="12">
        <v>1316.8829</v>
      </c>
      <c r="C8670" s="12">
        <v>0</v>
      </c>
      <c r="D8670" s="13">
        <v>0</v>
      </c>
      <c r="E8670" s="12">
        <v>0</v>
      </c>
      <c r="F8670" s="14">
        <v>0</v>
      </c>
      <c r="G8670" s="13">
        <v>4426744.0099</v>
      </c>
      <c r="H8670" s="14">
        <v>5829503489.3147411</v>
      </c>
      <c r="I8670" s="14" t="e">
        <f>=Round(13140.27430000,0)</f>
        <v>#VALUE!</v>
      </c>
      <c r="J8670" s="14" t="e">
        <f>=Round(0.00000000,0)</f>
        <v>#VALUE!</v>
      </c>
    </row>
    <row r="8671">
      <c r="A8671" s="11" t="s">
        <v>37</v>
      </c>
      <c r="B8671" s="12">
        <v>1317.5064</v>
      </c>
      <c r="C8671" s="12">
        <v>0</v>
      </c>
      <c r="D8671" s="13">
        <v>0</v>
      </c>
      <c r="E8671" s="12">
        <v>0</v>
      </c>
      <c r="F8671" s="14">
        <v>0</v>
      </c>
      <c r="G8671" s="13">
        <v>4426744.0099</v>
      </c>
      <c r="H8671" s="14">
        <v>5832263564.2049131</v>
      </c>
      <c r="I8671" s="14" t="e">
        <f>=Round(13140.27430000,0)</f>
        <v>#VALUE!</v>
      </c>
      <c r="J8671" s="14" t="e">
        <f>=Round(0.00000000,0)</f>
        <v>#VALUE!</v>
      </c>
    </row>
    <row r="8672">
      <c r="A8672" s="11" t="s">
        <v>38</v>
      </c>
      <c r="B8672" s="12">
        <v>1317.4287</v>
      </c>
      <c r="C8672" s="12">
        <v>0</v>
      </c>
      <c r="D8672" s="13">
        <v>0</v>
      </c>
      <c r="E8672" s="12">
        <v>0</v>
      </c>
      <c r="F8672" s="14">
        <v>0</v>
      </c>
      <c r="G8672" s="13">
        <v>4426744.0099</v>
      </c>
      <c r="H8672" s="14">
        <v>5831919606.195344</v>
      </c>
      <c r="I8672" s="14" t="e">
        <f>=Round(13146.49570000,0)</f>
        <v>#VALUE!</v>
      </c>
      <c r="J8672" s="14" t="e">
        <f>=Round(0.00000000,0)</f>
        <v>#VALUE!</v>
      </c>
    </row>
    <row r="8673">
      <c r="A8673" s="11" t="s">
        <v>39</v>
      </c>
      <c r="B8673" s="12">
        <v>1320.6812</v>
      </c>
      <c r="C8673" s="12">
        <v>0</v>
      </c>
      <c r="D8673" s="13">
        <v>0</v>
      </c>
      <c r="E8673" s="12">
        <v>0</v>
      </c>
      <c r="F8673" s="14">
        <v>0</v>
      </c>
      <c r="G8673" s="13">
        <v>4426744.0099</v>
      </c>
      <c r="H8673" s="14">
        <v>5846317591.0875444</v>
      </c>
      <c r="I8673" s="14" t="e">
        <f>=Round(13145.72040000,0)</f>
        <v>#VALUE!</v>
      </c>
      <c r="J8673" s="14" t="e">
        <f>=Round(0.00000000,0)</f>
        <v>#VALUE!</v>
      </c>
    </row>
    <row r="8674">
      <c r="A8674" s="11" t="s">
        <v>40</v>
      </c>
      <c r="B8674" s="12">
        <v>1321.5605</v>
      </c>
      <c r="C8674" s="12">
        <v>0</v>
      </c>
      <c r="D8674" s="13">
        <v>0</v>
      </c>
      <c r="E8674" s="12">
        <v>0</v>
      </c>
      <c r="F8674" s="14">
        <v>0</v>
      </c>
      <c r="G8674" s="13">
        <v>4426744.0099</v>
      </c>
      <c r="H8674" s="14">
        <v>5850210027.0954494</v>
      </c>
      <c r="I8674" s="14" t="e">
        <f>=Round(13178.17490000,0)</f>
        <v>#VALUE!</v>
      </c>
      <c r="J8674" s="14" t="e">
        <f>=Round(0.00000000,0)</f>
        <v>#VALUE!</v>
      </c>
    </row>
    <row r="8675">
      <c r="A8675" s="11" t="s">
        <v>41</v>
      </c>
      <c r="B8675" s="12">
        <v>1322.1643</v>
      </c>
      <c r="C8675" s="12">
        <v>0</v>
      </c>
      <c r="D8675" s="13">
        <v>0</v>
      </c>
      <c r="E8675" s="12">
        <v>0</v>
      </c>
      <c r="F8675" s="14">
        <v>0</v>
      </c>
      <c r="G8675" s="13">
        <v>4426744.0099</v>
      </c>
      <c r="H8675" s="14">
        <v>5852882895.1286268</v>
      </c>
      <c r="I8675" s="14" t="e">
        <f>=Round(13186.94880000,0)</f>
        <v>#VALUE!</v>
      </c>
      <c r="J8675" s="14" t="e">
        <f>=Round(0.00000000,0)</f>
        <v>#VALUE!</v>
      </c>
    </row>
    <row r="8676">
      <c r="A8676" s="11" t="s">
        <v>42</v>
      </c>
      <c r="B8676" s="12">
        <v>1322.1643</v>
      </c>
      <c r="C8676" s="12">
        <v>0</v>
      </c>
      <c r="D8676" s="13">
        <v>0</v>
      </c>
      <c r="E8676" s="12">
        <v>0</v>
      </c>
      <c r="F8676" s="14">
        <v>0</v>
      </c>
      <c r="G8676" s="13">
        <v>4426744.0099</v>
      </c>
      <c r="H8676" s="14">
        <v>5852882895.1286268</v>
      </c>
      <c r="I8676" s="14" t="e">
        <f>=Round(13192.97370000,0)</f>
        <v>#VALUE!</v>
      </c>
      <c r="J8676" s="14" t="e">
        <f>=Round(0.00000000,0)</f>
        <v>#VALUE!</v>
      </c>
    </row>
    <row r="8677">
      <c r="A8677" s="11" t="s">
        <v>43</v>
      </c>
      <c r="B8677" s="12">
        <v>1322.1643</v>
      </c>
      <c r="C8677" s="12">
        <v>0</v>
      </c>
      <c r="D8677" s="13">
        <v>0</v>
      </c>
      <c r="E8677" s="12">
        <v>0</v>
      </c>
      <c r="F8677" s="14">
        <v>0</v>
      </c>
      <c r="G8677" s="13">
        <v>4426744.0099</v>
      </c>
      <c r="H8677" s="14">
        <v>5852882895.1286268</v>
      </c>
      <c r="I8677" s="14" t="e">
        <f>=Round(13192.97370000,0)</f>
        <v>#VALUE!</v>
      </c>
      <c r="J8677" s="14" t="e">
        <f>=Round(0.00000000,0)</f>
        <v>#VALUE!</v>
      </c>
    </row>
    <row r="8678">
      <c r="A8678" s="11" t="s">
        <v>44</v>
      </c>
      <c r="B8678" s="12">
        <v>1322.7631</v>
      </c>
      <c r="C8678" s="12">
        <v>0</v>
      </c>
      <c r="D8678" s="13">
        <v>0</v>
      </c>
      <c r="E8678" s="12">
        <v>0</v>
      </c>
      <c r="F8678" s="14">
        <v>0</v>
      </c>
      <c r="G8678" s="13">
        <v>4426744.0099</v>
      </c>
      <c r="H8678" s="14">
        <v>5855533629.4417553</v>
      </c>
      <c r="I8678" s="14" t="e">
        <f>=Round(13192.97370000,0)</f>
        <v>#VALUE!</v>
      </c>
      <c r="J8678" s="14" t="e">
        <f>=Round(0.00000000,0)</f>
        <v>#VALUE!</v>
      </c>
    </row>
    <row r="8679">
      <c r="A8679" s="11" t="s">
        <v>45</v>
      </c>
      <c r="B8679" s="12">
        <v>1323.3557</v>
      </c>
      <c r="C8679" s="12">
        <v>0</v>
      </c>
      <c r="D8679" s="13">
        <v>0</v>
      </c>
      <c r="E8679" s="12">
        <v>0</v>
      </c>
      <c r="F8679" s="14">
        <v>0</v>
      </c>
      <c r="G8679" s="13">
        <v>4426744.0099</v>
      </c>
      <c r="H8679" s="14">
        <v>5858156917.9420214</v>
      </c>
      <c r="I8679" s="14" t="e">
        <f>=Round(13198.94880000,0)</f>
        <v>#VALUE!</v>
      </c>
      <c r="J8679" s="14" t="e">
        <f>=Round(0.00000000,0)</f>
        <v>#VALUE!</v>
      </c>
    </row>
    <row r="8680">
      <c r="A8680" s="11" t="s">
        <v>46</v>
      </c>
      <c r="B8680" s="12">
        <v>1325.1605</v>
      </c>
      <c r="C8680" s="12">
        <v>0</v>
      </c>
      <c r="D8680" s="13">
        <v>0</v>
      </c>
      <c r="E8680" s="12">
        <v>0</v>
      </c>
      <c r="F8680" s="14">
        <v>0</v>
      </c>
      <c r="G8680" s="13">
        <v>4426744.0099</v>
      </c>
      <c r="H8680" s="14">
        <v>5866146305.5310888</v>
      </c>
      <c r="I8680" s="14" t="e">
        <f>=Round(13204.86190000,0)</f>
        <v>#VALUE!</v>
      </c>
      <c r="J8680" s="14" t="e">
        <f>=Round(0.00000000,0)</f>
        <v>#VALUE!</v>
      </c>
    </row>
    <row r="8681">
      <c r="A8681" s="11" t="s">
        <v>47</v>
      </c>
      <c r="B8681" s="12">
        <v>1326.9363</v>
      </c>
      <c r="C8681" s="12">
        <v>0</v>
      </c>
      <c r="D8681" s="13">
        <v>0</v>
      </c>
      <c r="E8681" s="12">
        <v>0</v>
      </c>
      <c r="F8681" s="14">
        <v>0</v>
      </c>
      <c r="G8681" s="13">
        <v>4426744.0099</v>
      </c>
      <c r="H8681" s="14">
        <v>5874007317.543869</v>
      </c>
      <c r="I8681" s="14" t="e">
        <f>=Round(13222.87080000,0)</f>
        <v>#VALUE!</v>
      </c>
      <c r="J8681" s="14" t="e">
        <f>=Round(0.00000000,0)</f>
        <v>#VALUE!</v>
      </c>
    </row>
    <row r="8682">
      <c r="A8682" s="11" t="s">
        <v>48</v>
      </c>
      <c r="B8682" s="12">
        <v>1327.4946</v>
      </c>
      <c r="C8682" s="12">
        <v>0</v>
      </c>
      <c r="D8682" s="13">
        <v>0</v>
      </c>
      <c r="E8682" s="12">
        <v>0</v>
      </c>
      <c r="F8682" s="14">
        <v>0</v>
      </c>
      <c r="G8682" s="13">
        <v>4426744.0099</v>
      </c>
      <c r="H8682" s="14">
        <v>5876478768.724597</v>
      </c>
      <c r="I8682" s="14" t="e">
        <f>=Round(13240.59030000,0)</f>
        <v>#VALUE!</v>
      </c>
      <c r="J8682" s="14" t="e">
        <f>=Round(0.00000000,0)</f>
        <v>#VALUE!</v>
      </c>
    </row>
    <row r="8683">
      <c r="A8683" s="11" t="s">
        <v>49</v>
      </c>
      <c r="B8683" s="12">
        <v>1327.4946</v>
      </c>
      <c r="C8683" s="12">
        <v>0</v>
      </c>
      <c r="D8683" s="13">
        <v>0</v>
      </c>
      <c r="E8683" s="12">
        <v>0</v>
      </c>
      <c r="F8683" s="14">
        <v>0</v>
      </c>
      <c r="G8683" s="13">
        <v>4426744.0099</v>
      </c>
      <c r="H8683" s="14">
        <v>5876478768.724597</v>
      </c>
      <c r="I8683" s="14" t="e">
        <f>=Round(13246.16120000,0)</f>
        <v>#VALUE!</v>
      </c>
      <c r="J8683" s="14" t="e">
        <f>=Round(0.00000000,0)</f>
        <v>#VALUE!</v>
      </c>
    </row>
    <row r="8684">
      <c r="A8684" s="11" t="s">
        <v>50</v>
      </c>
      <c r="B8684" s="12">
        <v>1327.4946</v>
      </c>
      <c r="C8684" s="12">
        <v>0</v>
      </c>
      <c r="D8684" s="13">
        <v>0</v>
      </c>
      <c r="E8684" s="12">
        <v>0</v>
      </c>
      <c r="F8684" s="14">
        <v>0</v>
      </c>
      <c r="G8684" s="13">
        <v>4426744.0099</v>
      </c>
      <c r="H8684" s="14">
        <v>5876478768.724597</v>
      </c>
      <c r="I8684" s="14" t="e">
        <f>=Round(13246.16120000,0)</f>
        <v>#VALUE!</v>
      </c>
      <c r="J8684" s="14" t="e">
        <f>=Round(0.00000000,0)</f>
        <v>#VALUE!</v>
      </c>
    </row>
    <row r="8685">
      <c r="A8685" s="11" t="s">
        <v>51</v>
      </c>
      <c r="B8685" s="12">
        <v>1328.2648</v>
      </c>
      <c r="C8685" s="12">
        <v>0</v>
      </c>
      <c r="D8685" s="13">
        <v>0</v>
      </c>
      <c r="E8685" s="12">
        <v>0</v>
      </c>
      <c r="F8685" s="14">
        <v>0</v>
      </c>
      <c r="G8685" s="13">
        <v>4426744.0099</v>
      </c>
      <c r="H8685" s="14">
        <v>5879888246.9610224</v>
      </c>
      <c r="I8685" s="14" t="e">
        <f>=Round(13246.16120000,0)</f>
        <v>#VALUE!</v>
      </c>
      <c r="J8685" s="14" t="e">
        <f>=Round(0.00000000,0)</f>
        <v>#VALUE!</v>
      </c>
    </row>
    <row r="8686">
      <c r="A8686" s="11" t="s">
        <v>52</v>
      </c>
      <c r="B8686" s="12">
        <v>1328.4331</v>
      </c>
      <c r="C8686" s="12">
        <v>0</v>
      </c>
      <c r="D8686" s="13">
        <v>0</v>
      </c>
      <c r="E8686" s="12">
        <v>0</v>
      </c>
      <c r="F8686" s="14">
        <v>0</v>
      </c>
      <c r="G8686" s="13">
        <v>4426744.0099</v>
      </c>
      <c r="H8686" s="14">
        <v>5880633267.9778881</v>
      </c>
      <c r="I8686" s="14" t="e">
        <f>=Round(13253.84650000,0)</f>
        <v>#VALUE!</v>
      </c>
      <c r="J8686" s="14" t="e">
        <f>=Round(0.00000000,0)</f>
        <v>#VALUE!</v>
      </c>
    </row>
    <row r="8687">
      <c r="A8687" s="11" t="s">
        <v>53</v>
      </c>
      <c r="B8687" s="12">
        <v>1328.3365</v>
      </c>
      <c r="C8687" s="12">
        <v>0</v>
      </c>
      <c r="D8687" s="13">
        <v>0</v>
      </c>
      <c r="E8687" s="12">
        <v>0</v>
      </c>
      <c r="F8687" s="14">
        <v>0</v>
      </c>
      <c r="G8687" s="13">
        <v>4426744.0099</v>
      </c>
      <c r="H8687" s="14">
        <v>5880205644.5065308</v>
      </c>
      <c r="I8687" s="14" t="e">
        <f>=Round(13255.52580000,0)</f>
        <v>#VALUE!</v>
      </c>
      <c r="J8687" s="14" t="e">
        <f>=Round(0.00000000,0)</f>
        <v>#VALUE!</v>
      </c>
    </row>
    <row r="8688">
      <c r="A8688" s="11" t="s">
        <v>54</v>
      </c>
      <c r="B8688" s="12">
        <v>1326.8595</v>
      </c>
      <c r="C8688" s="12">
        <v>0</v>
      </c>
      <c r="D8688" s="13">
        <v>0</v>
      </c>
      <c r="E8688" s="12">
        <v>0</v>
      </c>
      <c r="F8688" s="14">
        <v>0</v>
      </c>
      <c r="G8688" s="13">
        <v>4426744.0099</v>
      </c>
      <c r="H8688" s="14">
        <v>5873667343.6039085</v>
      </c>
      <c r="I8688" s="14" t="e">
        <f>=Round(13254.56190000,0)</f>
        <v>#VALUE!</v>
      </c>
      <c r="J8688" s="14" t="e">
        <f>=Round(0.00000000,0)</f>
        <v>#VALUE!</v>
      </c>
    </row>
    <row r="8689">
      <c r="A8689" s="11" t="s">
        <v>55</v>
      </c>
      <c r="B8689" s="12">
        <v>1326.6189</v>
      </c>
      <c r="C8689" s="12">
        <v>0</v>
      </c>
      <c r="D8689" s="13">
        <v>0</v>
      </c>
      <c r="E8689" s="12">
        <v>0</v>
      </c>
      <c r="F8689" s="14">
        <v>0</v>
      </c>
      <c r="G8689" s="13">
        <v>4426744.0099</v>
      </c>
      <c r="H8689" s="14">
        <v>5872602268.9951267</v>
      </c>
      <c r="I8689" s="14" t="e">
        <f>=Round(13239.82390000,0)</f>
        <v>#VALUE!</v>
      </c>
      <c r="J8689" s="14" t="e">
        <f>=Round(0.00000000,0)</f>
        <v>#VALUE!</v>
      </c>
    </row>
    <row r="8690" ht="-1">
      <c r="A8690" s="15"/>
      <c r="B8690" s="16" t="s">
        <v>56</v>
      </c>
      <c r="C8690" s="15"/>
      <c r="D8690" s="15"/>
      <c r="E8690" s="15"/>
      <c r="F8690" s="15"/>
      <c r="G8690" s="15"/>
      <c r="H8690" s="15"/>
      <c r="I8690" s="17" t="e">
        <f>=Round(SUM(I8664:I8689),0)</f>
        <v>#VALUE!</v>
      </c>
      <c r="J8690" s="17" t="e">
        <f>=Round(SUM(J8664:J8689),0)</f>
        <v>#VALUE!</v>
      </c>
    </row>
    <row r="8691">
      <c r="A8691" s="1" t="s">
        <v>0</v>
      </c>
      <c r="B8691" s="1"/>
      <c r="C8691" s="1"/>
      <c r="D8691" s="1"/>
    </row>
    <row r="8692">
      <c r="A8692" s="0" t="s">
        <v>1</v>
      </c>
      <c r="C8692" s="0" t="s">
        <v>289</v>
      </c>
      <c r="H8692" s="2" t="s">
        <v>3</v>
      </c>
    </row>
    <row r="8693">
      <c r="A8693" s="0" t="s">
        <v>4</v>
      </c>
      <c r="C8693" s="0" t="s">
        <v>293</v>
      </c>
      <c r="H8693" s="3" t="s">
        <v>6</v>
      </c>
    </row>
    <row r="8694">
      <c r="A8694" s="0" t="s">
        <v>7</v>
      </c>
      <c r="C8694" s="4" t="s">
        <v>270</v>
      </c>
      <c r="H8694" s="2" t="s">
        <v>9</v>
      </c>
    </row>
    <row r="8695">
      <c r="A8695" s="0" t="s">
        <v>10</v>
      </c>
      <c r="C8695" s="4" t="s">
        <v>11</v>
      </c>
      <c r="H8695" s="2" t="s">
        <v>12</v>
      </c>
    </row>
    <row r="8696">
      <c r="A8696" s="0" t="s">
        <v>13</v>
      </c>
      <c r="C8696" s="0" t="s">
        <v>14</v>
      </c>
    </row>
    <row r="8697">
      <c r="A8697" s="0" t="s">
        <v>15</v>
      </c>
      <c r="C8697" s="0" t="s">
        <v>16</v>
      </c>
    </row>
    <row r="8698">
      <c r="A8698" s="0" t="s">
        <v>17</v>
      </c>
      <c r="C8698" s="0" t="s">
        <v>18</v>
      </c>
    </row>
    <row r="8701">
      <c r="A8701" s="5" t="s">
        <v>19</v>
      </c>
      <c r="B8701" s="5" t="s">
        <v>20</v>
      </c>
      <c r="C8701" s="7" t="s">
        <v>21</v>
      </c>
      <c r="D8701" s="9"/>
      <c r="E8701" s="7" t="s">
        <v>22</v>
      </c>
      <c r="F8701" s="9"/>
      <c r="G8701" s="5" t="s">
        <v>23</v>
      </c>
      <c r="H8701" s="5" t="s">
        <v>24</v>
      </c>
      <c r="I8701" s="5" t="s">
        <v>271</v>
      </c>
      <c r="J8701" s="5" t="s">
        <v>26</v>
      </c>
    </row>
    <row r="8702">
      <c r="A8702" s="6"/>
      <c r="B8702" s="6"/>
      <c r="C8702" s="8" t="s">
        <v>27</v>
      </c>
      <c r="D8702" s="8" t="s">
        <v>28</v>
      </c>
      <c r="E8702" s="8" t="s">
        <v>27</v>
      </c>
      <c r="F8702" s="8" t="s">
        <v>28</v>
      </c>
      <c r="G8702" s="6"/>
      <c r="H8702" s="6"/>
      <c r="I8702" s="10" t="s">
        <v>29</v>
      </c>
      <c r="J8702" s="6"/>
    </row>
    <row r="8703">
      <c r="A8703" s="11" t="s">
        <v>30</v>
      </c>
      <c r="B8703" s="12">
        <v>1312.2618</v>
      </c>
      <c r="C8703" s="12">
        <v>0</v>
      </c>
      <c r="D8703" s="13">
        <v>0</v>
      </c>
      <c r="E8703" s="12">
        <v>0</v>
      </c>
      <c r="F8703" s="14">
        <v>0</v>
      </c>
      <c r="G8703" s="13">
        <v>218092404.5409</v>
      </c>
      <c r="H8703" s="14">
        <v>286194331349.16962</v>
      </c>
      <c r="I8703" s="14" t="e">
        <f>=Round(644917.76020000,0)</f>
        <v>#VALUE!</v>
      </c>
      <c r="J8703" s="14" t="e">
        <f>=Round(0.00000000,0)</f>
        <v>#VALUE!</v>
      </c>
    </row>
    <row r="8704">
      <c r="A8704" s="11" t="s">
        <v>31</v>
      </c>
      <c r="B8704" s="12">
        <v>1313.459</v>
      </c>
      <c r="C8704" s="12">
        <v>0</v>
      </c>
      <c r="D8704" s="13">
        <v>0</v>
      </c>
      <c r="E8704" s="12">
        <v>0</v>
      </c>
      <c r="F8704" s="14">
        <v>0</v>
      </c>
      <c r="G8704" s="13">
        <v>218092404.5409</v>
      </c>
      <c r="H8704" s="14">
        <v>286455431575.886</v>
      </c>
      <c r="I8704" s="14" t="e">
        <f>=Round(645110.17310000,0)</f>
        <v>#VALUE!</v>
      </c>
      <c r="J8704" s="14" t="e">
        <f>=Round(0.00000000,0)</f>
        <v>#VALUE!</v>
      </c>
    </row>
    <row r="8705">
      <c r="A8705" s="11" t="s">
        <v>32</v>
      </c>
      <c r="B8705" s="12">
        <v>1314.5532</v>
      </c>
      <c r="C8705" s="12">
        <v>0</v>
      </c>
      <c r="D8705" s="13">
        <v>0</v>
      </c>
      <c r="E8705" s="12">
        <v>0</v>
      </c>
      <c r="F8705" s="14">
        <v>0</v>
      </c>
      <c r="G8705" s="13">
        <v>218092404.5409</v>
      </c>
      <c r="H8705" s="14">
        <v>286694068284.93463</v>
      </c>
      <c r="I8705" s="14" t="e">
        <f>=Round(645698.71870000,0)</f>
        <v>#VALUE!</v>
      </c>
      <c r="J8705" s="14" t="e">
        <f>=Round(0.00000000,0)</f>
        <v>#VALUE!</v>
      </c>
    </row>
    <row r="8706">
      <c r="A8706" s="11" t="s">
        <v>33</v>
      </c>
      <c r="B8706" s="12">
        <v>1314.8248</v>
      </c>
      <c r="C8706" s="12">
        <v>0</v>
      </c>
      <c r="D8706" s="13">
        <v>0</v>
      </c>
      <c r="E8706" s="12">
        <v>0</v>
      </c>
      <c r="F8706" s="14">
        <v>0</v>
      </c>
      <c r="G8706" s="13">
        <v>218092404.5409</v>
      </c>
      <c r="H8706" s="14">
        <v>286753302182.00793</v>
      </c>
      <c r="I8706" s="14" t="e">
        <f>=Round(646236.62930000,0)</f>
        <v>#VALUE!</v>
      </c>
      <c r="J8706" s="14" t="e">
        <f>=Round(0.00000000,0)</f>
        <v>#VALUE!</v>
      </c>
    </row>
    <row r="8707">
      <c r="A8707" s="11" t="s">
        <v>34</v>
      </c>
      <c r="B8707" s="12">
        <v>1316.8829</v>
      </c>
      <c r="C8707" s="12">
        <v>0</v>
      </c>
      <c r="D8707" s="13">
        <v>0</v>
      </c>
      <c r="E8707" s="12">
        <v>0</v>
      </c>
      <c r="F8707" s="14">
        <v>0</v>
      </c>
      <c r="G8707" s="13">
        <v>218092404.5409</v>
      </c>
      <c r="H8707" s="14">
        <v>287202158159.79358</v>
      </c>
      <c r="I8707" s="14" t="e">
        <f>=Round(646370.14840000,0)</f>
        <v>#VALUE!</v>
      </c>
      <c r="J8707" s="14" t="e">
        <f>=Round(0.00000000,0)</f>
        <v>#VALUE!</v>
      </c>
    </row>
    <row r="8708">
      <c r="A8708" s="11" t="s">
        <v>35</v>
      </c>
      <c r="B8708" s="12">
        <v>1316.8829</v>
      </c>
      <c r="C8708" s="12">
        <v>0</v>
      </c>
      <c r="D8708" s="13">
        <v>0</v>
      </c>
      <c r="E8708" s="12">
        <v>0</v>
      </c>
      <c r="F8708" s="14">
        <v>0</v>
      </c>
      <c r="G8708" s="13">
        <v>218092404.5409</v>
      </c>
      <c r="H8708" s="14">
        <v>287202158159.79358</v>
      </c>
      <c r="I8708" s="14" t="e">
        <f>=Round(647381.91390000,0)</f>
        <v>#VALUE!</v>
      </c>
      <c r="J8708" s="14" t="e">
        <f>=Round(0.00000000,0)</f>
        <v>#VALUE!</v>
      </c>
    </row>
    <row r="8709">
      <c r="A8709" s="11" t="s">
        <v>36</v>
      </c>
      <c r="B8709" s="12">
        <v>1316.8829</v>
      </c>
      <c r="C8709" s="12">
        <v>0</v>
      </c>
      <c r="D8709" s="13">
        <v>0</v>
      </c>
      <c r="E8709" s="12">
        <v>0</v>
      </c>
      <c r="F8709" s="14">
        <v>0</v>
      </c>
      <c r="G8709" s="13">
        <v>218092404.5409</v>
      </c>
      <c r="H8709" s="14">
        <v>287202158159.79358</v>
      </c>
      <c r="I8709" s="14" t="e">
        <f>=Round(647381.91390000,0)</f>
        <v>#VALUE!</v>
      </c>
      <c r="J8709" s="14" t="e">
        <f>=Round(0.00000000,0)</f>
        <v>#VALUE!</v>
      </c>
    </row>
    <row r="8710">
      <c r="A8710" s="11" t="s">
        <v>37</v>
      </c>
      <c r="B8710" s="12">
        <v>1317.5064</v>
      </c>
      <c r="C8710" s="12">
        <v>0</v>
      </c>
      <c r="D8710" s="13">
        <v>0</v>
      </c>
      <c r="E8710" s="12">
        <v>0</v>
      </c>
      <c r="F8710" s="14">
        <v>0</v>
      </c>
      <c r="G8710" s="13">
        <v>218092404.5409</v>
      </c>
      <c r="H8710" s="14">
        <v>287338138774.02478</v>
      </c>
      <c r="I8710" s="14" t="e">
        <f>=Round(647381.91390000,0)</f>
        <v>#VALUE!</v>
      </c>
      <c r="J8710" s="14" t="e">
        <f>=Round(0.00000000,0)</f>
        <v>#VALUE!</v>
      </c>
    </row>
    <row r="8711">
      <c r="A8711" s="11" t="s">
        <v>38</v>
      </c>
      <c r="B8711" s="12">
        <v>1317.4287</v>
      </c>
      <c r="C8711" s="12">
        <v>0</v>
      </c>
      <c r="D8711" s="13">
        <v>0</v>
      </c>
      <c r="E8711" s="12">
        <v>0</v>
      </c>
      <c r="F8711" s="14">
        <v>0</v>
      </c>
      <c r="G8711" s="13">
        <v>218092404.5409</v>
      </c>
      <c r="H8711" s="14">
        <v>287321192994.192</v>
      </c>
      <c r="I8711" s="14" t="e">
        <f>=Round(647688.42760000,0)</f>
        <v>#VALUE!</v>
      </c>
      <c r="J8711" s="14" t="e">
        <f>=Round(0.00000000,0)</f>
        <v>#VALUE!</v>
      </c>
    </row>
    <row r="8712">
      <c r="A8712" s="11" t="s">
        <v>39</v>
      </c>
      <c r="B8712" s="12">
        <v>1320.6812</v>
      </c>
      <c r="C8712" s="12">
        <v>0</v>
      </c>
      <c r="D8712" s="13">
        <v>0</v>
      </c>
      <c r="E8712" s="12">
        <v>0</v>
      </c>
      <c r="F8712" s="14">
        <v>0</v>
      </c>
      <c r="G8712" s="13">
        <v>218092404.5409</v>
      </c>
      <c r="H8712" s="14">
        <v>288030538539.96124</v>
      </c>
      <c r="I8712" s="14" t="e">
        <f>=Round(647650.23010000,0)</f>
        <v>#VALUE!</v>
      </c>
      <c r="J8712" s="14" t="e">
        <f>=Round(0.00000000,0)</f>
        <v>#VALUE!</v>
      </c>
    </row>
    <row r="8713">
      <c r="A8713" s="11" t="s">
        <v>40</v>
      </c>
      <c r="B8713" s="12">
        <v>1321.5605</v>
      </c>
      <c r="C8713" s="12">
        <v>0</v>
      </c>
      <c r="D8713" s="13">
        <v>0</v>
      </c>
      <c r="E8713" s="12">
        <v>0</v>
      </c>
      <c r="F8713" s="14">
        <v>0</v>
      </c>
      <c r="G8713" s="13">
        <v>218092404.5409</v>
      </c>
      <c r="H8713" s="14">
        <v>288222307191.27411</v>
      </c>
      <c r="I8713" s="14" t="e">
        <f>=Round(649249.16470000,0)</f>
        <v>#VALUE!</v>
      </c>
      <c r="J8713" s="14" t="e">
        <f>=Round(0.00000000,0)</f>
        <v>#VALUE!</v>
      </c>
    </row>
    <row r="8714">
      <c r="A8714" s="11" t="s">
        <v>41</v>
      </c>
      <c r="B8714" s="12">
        <v>1322.1643</v>
      </c>
      <c r="C8714" s="12">
        <v>0</v>
      </c>
      <c r="D8714" s="13">
        <v>0</v>
      </c>
      <c r="E8714" s="12">
        <v>0</v>
      </c>
      <c r="F8714" s="14">
        <v>0</v>
      </c>
      <c r="G8714" s="13">
        <v>218092404.5409</v>
      </c>
      <c r="H8714" s="14">
        <v>288353991385.13586</v>
      </c>
      <c r="I8714" s="14" t="e">
        <f>=Round(649681.43010000,0)</f>
        <v>#VALUE!</v>
      </c>
      <c r="J8714" s="14" t="e">
        <f>=Round(0.00000000,0)</f>
        <v>#VALUE!</v>
      </c>
    </row>
    <row r="8715">
      <c r="A8715" s="11" t="s">
        <v>42</v>
      </c>
      <c r="B8715" s="12">
        <v>1322.1643</v>
      </c>
      <c r="C8715" s="12">
        <v>0</v>
      </c>
      <c r="D8715" s="13">
        <v>0</v>
      </c>
      <c r="E8715" s="12">
        <v>0</v>
      </c>
      <c r="F8715" s="14">
        <v>0</v>
      </c>
      <c r="G8715" s="13">
        <v>218092404.5409</v>
      </c>
      <c r="H8715" s="14">
        <v>288353991385.13586</v>
      </c>
      <c r="I8715" s="14" t="e">
        <f>=Round(649978.25930000,0)</f>
        <v>#VALUE!</v>
      </c>
      <c r="J8715" s="14" t="e">
        <f>=Round(0.00000000,0)</f>
        <v>#VALUE!</v>
      </c>
    </row>
    <row r="8716">
      <c r="A8716" s="11" t="s">
        <v>43</v>
      </c>
      <c r="B8716" s="12">
        <v>1322.1643</v>
      </c>
      <c r="C8716" s="12">
        <v>0</v>
      </c>
      <c r="D8716" s="13">
        <v>0</v>
      </c>
      <c r="E8716" s="12">
        <v>0</v>
      </c>
      <c r="F8716" s="14">
        <v>0</v>
      </c>
      <c r="G8716" s="13">
        <v>218092404.5409</v>
      </c>
      <c r="H8716" s="14">
        <v>288353991385.13586</v>
      </c>
      <c r="I8716" s="14" t="e">
        <f>=Round(649978.25930000,0)</f>
        <v>#VALUE!</v>
      </c>
      <c r="J8716" s="14" t="e">
        <f>=Round(0.00000000,0)</f>
        <v>#VALUE!</v>
      </c>
    </row>
    <row r="8717">
      <c r="A8717" s="11" t="s">
        <v>44</v>
      </c>
      <c r="B8717" s="12">
        <v>1322.7631</v>
      </c>
      <c r="C8717" s="12">
        <v>0</v>
      </c>
      <c r="D8717" s="13">
        <v>0</v>
      </c>
      <c r="E8717" s="12">
        <v>0</v>
      </c>
      <c r="F8717" s="14">
        <v>0</v>
      </c>
      <c r="G8717" s="13">
        <v>218092404.5409</v>
      </c>
      <c r="H8717" s="14">
        <v>288484585116.975</v>
      </c>
      <c r="I8717" s="14" t="e">
        <f>=Round(649978.25930000,0)</f>
        <v>#VALUE!</v>
      </c>
      <c r="J8717" s="14" t="e">
        <f>=Round(0.00000000,0)</f>
        <v>#VALUE!</v>
      </c>
    </row>
    <row r="8718">
      <c r="A8718" s="11" t="s">
        <v>45</v>
      </c>
      <c r="B8718" s="12">
        <v>1323.3557</v>
      </c>
      <c r="C8718" s="12">
        <v>0</v>
      </c>
      <c r="D8718" s="13">
        <v>0</v>
      </c>
      <c r="E8718" s="12">
        <v>0</v>
      </c>
      <c r="F8718" s="14">
        <v>0</v>
      </c>
      <c r="G8718" s="13">
        <v>218092404.5409</v>
      </c>
      <c r="H8718" s="14">
        <v>288613826675.90594</v>
      </c>
      <c r="I8718" s="14" t="e">
        <f>=Round(650272.63040000,0)</f>
        <v>#VALUE!</v>
      </c>
      <c r="J8718" s="14" t="e">
        <f>=Round(0.00000000,0)</f>
        <v>#VALUE!</v>
      </c>
    </row>
    <row r="8719">
      <c r="A8719" s="11" t="s">
        <v>46</v>
      </c>
      <c r="B8719" s="12">
        <v>1325.1605</v>
      </c>
      <c r="C8719" s="12">
        <v>0</v>
      </c>
      <c r="D8719" s="13">
        <v>0</v>
      </c>
      <c r="E8719" s="12">
        <v>0</v>
      </c>
      <c r="F8719" s="14">
        <v>0</v>
      </c>
      <c r="G8719" s="13">
        <v>218092404.5409</v>
      </c>
      <c r="H8719" s="14">
        <v>289007439847.62134</v>
      </c>
      <c r="I8719" s="14" t="e">
        <f>=Round(650563.95360000,0)</f>
        <v>#VALUE!</v>
      </c>
      <c r="J8719" s="14" t="e">
        <f>=Round(0.00000000,0)</f>
        <v>#VALUE!</v>
      </c>
    </row>
    <row r="8720">
      <c r="A8720" s="11" t="s">
        <v>47</v>
      </c>
      <c r="B8720" s="12">
        <v>1326.9363</v>
      </c>
      <c r="C8720" s="12">
        <v>2637654.8746</v>
      </c>
      <c r="D8720" s="13">
        <v>3500000000</v>
      </c>
      <c r="E8720" s="12">
        <v>0</v>
      </c>
      <c r="F8720" s="14">
        <v>0</v>
      </c>
      <c r="G8720" s="13">
        <v>218092404.5409</v>
      </c>
      <c r="H8720" s="14">
        <v>289394728339.60504</v>
      </c>
      <c r="I8720" s="14" t="e">
        <f>=Round(651451.19640000,0)</f>
        <v>#VALUE!</v>
      </c>
      <c r="J8720" s="14" t="e">
        <f>=Round(0.00000000,0)</f>
        <v>#VALUE!</v>
      </c>
    </row>
    <row r="8721">
      <c r="A8721" s="11" t="s">
        <v>48</v>
      </c>
      <c r="B8721" s="12">
        <v>1327.4946</v>
      </c>
      <c r="C8721" s="12">
        <v>0</v>
      </c>
      <c r="D8721" s="13">
        <v>0</v>
      </c>
      <c r="E8721" s="12">
        <v>0</v>
      </c>
      <c r="F8721" s="14">
        <v>0</v>
      </c>
      <c r="G8721" s="13">
        <v>220730059.4155</v>
      </c>
      <c r="H8721" s="14">
        <v>293017961931.75537</v>
      </c>
      <c r="I8721" s="14" t="e">
        <f>=Round(652324.18270000,0)</f>
        <v>#VALUE!</v>
      </c>
      <c r="J8721" s="14" t="e">
        <f>=Round(0.00000000,0)</f>
        <v>#VALUE!</v>
      </c>
    </row>
    <row r="8722">
      <c r="A8722" s="11" t="s">
        <v>49</v>
      </c>
      <c r="B8722" s="12">
        <v>1327.4946</v>
      </c>
      <c r="C8722" s="12">
        <v>0</v>
      </c>
      <c r="D8722" s="13">
        <v>0</v>
      </c>
      <c r="E8722" s="12">
        <v>0</v>
      </c>
      <c r="F8722" s="14">
        <v>0</v>
      </c>
      <c r="G8722" s="13">
        <v>220730059.4155</v>
      </c>
      <c r="H8722" s="14">
        <v>293017961931.75537</v>
      </c>
      <c r="I8722" s="14" t="e">
        <f>=Round(660491.30760000,0)</f>
        <v>#VALUE!</v>
      </c>
      <c r="J8722" s="14" t="e">
        <f>=Round(0.00000000,0)</f>
        <v>#VALUE!</v>
      </c>
    </row>
    <row r="8723">
      <c r="A8723" s="11" t="s">
        <v>50</v>
      </c>
      <c r="B8723" s="12">
        <v>1327.4946</v>
      </c>
      <c r="C8723" s="12">
        <v>0</v>
      </c>
      <c r="D8723" s="13">
        <v>0</v>
      </c>
      <c r="E8723" s="12">
        <v>0</v>
      </c>
      <c r="F8723" s="14">
        <v>0</v>
      </c>
      <c r="G8723" s="13">
        <v>220730059.4155</v>
      </c>
      <c r="H8723" s="14">
        <v>293017961931.75537</v>
      </c>
      <c r="I8723" s="14" t="e">
        <f>=Round(660491.30760000,0)</f>
        <v>#VALUE!</v>
      </c>
      <c r="J8723" s="14" t="e">
        <f>=Round(0.00000000,0)</f>
        <v>#VALUE!</v>
      </c>
    </row>
    <row r="8724">
      <c r="A8724" s="11" t="s">
        <v>51</v>
      </c>
      <c r="B8724" s="12">
        <v>1328.2648</v>
      </c>
      <c r="C8724" s="12">
        <v>0</v>
      </c>
      <c r="D8724" s="13">
        <v>0</v>
      </c>
      <c r="E8724" s="12">
        <v>0</v>
      </c>
      <c r="F8724" s="14">
        <v>0</v>
      </c>
      <c r="G8724" s="13">
        <v>220730059.4155</v>
      </c>
      <c r="H8724" s="14">
        <v>293187968223.51727</v>
      </c>
      <c r="I8724" s="14" t="e">
        <f>=Round(660491.30760000,0)</f>
        <v>#VALUE!</v>
      </c>
      <c r="J8724" s="14" t="e">
        <f>=Round(0.00000000,0)</f>
        <v>#VALUE!</v>
      </c>
    </row>
    <row r="8725">
      <c r="A8725" s="11" t="s">
        <v>52</v>
      </c>
      <c r="B8725" s="12">
        <v>1328.4331</v>
      </c>
      <c r="C8725" s="12">
        <v>0</v>
      </c>
      <c r="D8725" s="13">
        <v>0</v>
      </c>
      <c r="E8725" s="12">
        <v>0</v>
      </c>
      <c r="F8725" s="14">
        <v>0</v>
      </c>
      <c r="G8725" s="13">
        <v>220730059.4155</v>
      </c>
      <c r="H8725" s="14">
        <v>293225117092.51685</v>
      </c>
      <c r="I8725" s="14" t="e">
        <f>=Round(660874.51850000,0)</f>
        <v>#VALUE!</v>
      </c>
      <c r="J8725" s="14" t="e">
        <f>=Round(0.00000000,0)</f>
        <v>#VALUE!</v>
      </c>
    </row>
    <row r="8726">
      <c r="A8726" s="11" t="s">
        <v>53</v>
      </c>
      <c r="B8726" s="12">
        <v>1328.3365</v>
      </c>
      <c r="C8726" s="12">
        <v>0</v>
      </c>
      <c r="D8726" s="13">
        <v>0</v>
      </c>
      <c r="E8726" s="12">
        <v>0</v>
      </c>
      <c r="F8726" s="14">
        <v>0</v>
      </c>
      <c r="G8726" s="13">
        <v>220730059.4155</v>
      </c>
      <c r="H8726" s="14">
        <v>293203794568.77734</v>
      </c>
      <c r="I8726" s="14" t="e">
        <f>=Round(660958.25570000,0)</f>
        <v>#VALUE!</v>
      </c>
      <c r="J8726" s="14" t="e">
        <f>=Round(0.00000000,0)</f>
        <v>#VALUE!</v>
      </c>
    </row>
    <row r="8727">
      <c r="A8727" s="11" t="s">
        <v>54</v>
      </c>
      <c r="B8727" s="12">
        <v>1326.8595</v>
      </c>
      <c r="C8727" s="12">
        <v>0</v>
      </c>
      <c r="D8727" s="13">
        <v>0</v>
      </c>
      <c r="E8727" s="12">
        <v>0</v>
      </c>
      <c r="F8727" s="14">
        <v>0</v>
      </c>
      <c r="G8727" s="13">
        <v>220730059.4155</v>
      </c>
      <c r="H8727" s="14">
        <v>292877776271.02063</v>
      </c>
      <c r="I8727" s="14" t="e">
        <f>=Round(660910.19270000,0)</f>
        <v>#VALUE!</v>
      </c>
      <c r="J8727" s="14" t="e">
        <f>=Round(0.00000000,0)</f>
        <v>#VALUE!</v>
      </c>
    </row>
    <row r="8728">
      <c r="A8728" s="11" t="s">
        <v>55</v>
      </c>
      <c r="B8728" s="12">
        <v>1326.6189</v>
      </c>
      <c r="C8728" s="12">
        <v>0</v>
      </c>
      <c r="D8728" s="13">
        <v>0</v>
      </c>
      <c r="E8728" s="12">
        <v>0</v>
      </c>
      <c r="F8728" s="14">
        <v>0</v>
      </c>
      <c r="G8728" s="13">
        <v>220730059.4155</v>
      </c>
      <c r="H8728" s="14">
        <v>292824668618.72522</v>
      </c>
      <c r="I8728" s="14" t="e">
        <f>=Round(660175.31540000,0)</f>
        <v>#VALUE!</v>
      </c>
      <c r="J8728" s="14" t="e">
        <f>=Round(0.00000000,0)</f>
        <v>#VALUE!</v>
      </c>
    </row>
    <row r="8729" ht="-1">
      <c r="A8729" s="15"/>
      <c r="B8729" s="16" t="s">
        <v>56</v>
      </c>
      <c r="C8729" s="15"/>
      <c r="D8729" s="15"/>
      <c r="E8729" s="15"/>
      <c r="F8729" s="15"/>
      <c r="G8729" s="15"/>
      <c r="H8729" s="15"/>
      <c r="I8729" s="17" t="e">
        <f>=Round(SUM(I8703:I8728),0)</f>
        <v>#VALUE!</v>
      </c>
      <c r="J8729" s="17" t="e">
        <f>=Round(SUM(J8703:J8728),0)</f>
        <v>#VALUE!</v>
      </c>
    </row>
    <row r="8730">
      <c r="A8730" s="1" t="s">
        <v>0</v>
      </c>
      <c r="B8730" s="1"/>
      <c r="C8730" s="1"/>
      <c r="D8730" s="1"/>
    </row>
    <row r="8731">
      <c r="A8731" s="0" t="s">
        <v>1</v>
      </c>
      <c r="C8731" s="0" t="s">
        <v>294</v>
      </c>
      <c r="H8731" s="2" t="s">
        <v>3</v>
      </c>
    </row>
    <row r="8732">
      <c r="A8732" s="0" t="s">
        <v>4</v>
      </c>
      <c r="C8732" s="0" t="s">
        <v>121</v>
      </c>
      <c r="H8732" s="3" t="s">
        <v>6</v>
      </c>
    </row>
    <row r="8733">
      <c r="A8733" s="0" t="s">
        <v>7</v>
      </c>
      <c r="C8733" s="4" t="s">
        <v>219</v>
      </c>
      <c r="H8733" s="2" t="s">
        <v>9</v>
      </c>
    </row>
    <row r="8734">
      <c r="A8734" s="0" t="s">
        <v>10</v>
      </c>
      <c r="C8734" s="4" t="s">
        <v>11</v>
      </c>
      <c r="H8734" s="2" t="s">
        <v>12</v>
      </c>
    </row>
    <row r="8735">
      <c r="A8735" s="0" t="s">
        <v>13</v>
      </c>
      <c r="C8735" s="0" t="s">
        <v>14</v>
      </c>
    </row>
    <row r="8736">
      <c r="A8736" s="0" t="s">
        <v>15</v>
      </c>
      <c r="C8736" s="0" t="s">
        <v>16</v>
      </c>
    </row>
    <row r="8737">
      <c r="A8737" s="0" t="s">
        <v>17</v>
      </c>
      <c r="C8737" s="0" t="s">
        <v>18</v>
      </c>
    </row>
    <row r="8740">
      <c r="A8740" s="5" t="s">
        <v>19</v>
      </c>
      <c r="B8740" s="5" t="s">
        <v>20</v>
      </c>
      <c r="C8740" s="7" t="s">
        <v>21</v>
      </c>
      <c r="D8740" s="9"/>
      <c r="E8740" s="7" t="s">
        <v>22</v>
      </c>
      <c r="F8740" s="9"/>
      <c r="G8740" s="5" t="s">
        <v>23</v>
      </c>
      <c r="H8740" s="5" t="s">
        <v>24</v>
      </c>
      <c r="I8740" s="5" t="s">
        <v>220</v>
      </c>
      <c r="J8740" s="5" t="s">
        <v>26</v>
      </c>
    </row>
    <row r="8741">
      <c r="A8741" s="6"/>
      <c r="B8741" s="6"/>
      <c r="C8741" s="8" t="s">
        <v>27</v>
      </c>
      <c r="D8741" s="8" t="s">
        <v>28</v>
      </c>
      <c r="E8741" s="8" t="s">
        <v>27</v>
      </c>
      <c r="F8741" s="8" t="s">
        <v>28</v>
      </c>
      <c r="G8741" s="6"/>
      <c r="H8741" s="6"/>
      <c r="I8741" s="10" t="s">
        <v>29</v>
      </c>
      <c r="J8741" s="6"/>
    </row>
    <row r="8742">
      <c r="A8742" s="11" t="s">
        <v>30</v>
      </c>
      <c r="B8742" s="12">
        <v>886.077</v>
      </c>
      <c r="C8742" s="12">
        <v>0</v>
      </c>
      <c r="D8742" s="13">
        <v>0</v>
      </c>
      <c r="E8742" s="12">
        <v>0</v>
      </c>
      <c r="F8742" s="14">
        <v>0</v>
      </c>
      <c r="G8742" s="13">
        <v>48631788.439899996</v>
      </c>
      <c r="H8742" s="14">
        <v>43091509205.461273</v>
      </c>
      <c r="I8742" s="14" t="e">
        <f>=Round(1947301.21720000,0)</f>
        <v>#VALUE!</v>
      </c>
      <c r="J8742" s="14" t="e">
        <f>=Round(0.00000000,0)</f>
        <v>#VALUE!</v>
      </c>
    </row>
    <row r="8743">
      <c r="A8743" s="11" t="s">
        <v>31</v>
      </c>
      <c r="B8743" s="12">
        <v>891.3224</v>
      </c>
      <c r="C8743" s="12">
        <v>0</v>
      </c>
      <c r="D8743" s="13">
        <v>0</v>
      </c>
      <c r="E8743" s="12">
        <v>0</v>
      </c>
      <c r="F8743" s="14">
        <v>0</v>
      </c>
      <c r="G8743" s="13">
        <v>48631788.439899996</v>
      </c>
      <c r="H8743" s="14">
        <v>43346602388.543922</v>
      </c>
      <c r="I8743" s="14" t="e">
        <f>=Round(1942650.00520000,0)</f>
        <v>#VALUE!</v>
      </c>
      <c r="J8743" s="14" t="e">
        <f>=Round(0.00000000,0)</f>
        <v>#VALUE!</v>
      </c>
    </row>
    <row r="8744">
      <c r="A8744" s="11" t="s">
        <v>32</v>
      </c>
      <c r="B8744" s="12">
        <v>892.5165</v>
      </c>
      <c r="C8744" s="12">
        <v>0</v>
      </c>
      <c r="D8744" s="13">
        <v>0</v>
      </c>
      <c r="E8744" s="12">
        <v>0</v>
      </c>
      <c r="F8744" s="14">
        <v>0</v>
      </c>
      <c r="G8744" s="13">
        <v>48631788.439899996</v>
      </c>
      <c r="H8744" s="14">
        <v>43404673607.12001</v>
      </c>
      <c r="I8744" s="14" t="e">
        <f>=Round(1954150.10770000,0)</f>
        <v>#VALUE!</v>
      </c>
      <c r="J8744" s="14" t="e">
        <f>=Round(0.00000000,0)</f>
        <v>#VALUE!</v>
      </c>
    </row>
    <row r="8745">
      <c r="A8745" s="11" t="s">
        <v>33</v>
      </c>
      <c r="B8745" s="12">
        <v>894.8291</v>
      </c>
      <c r="C8745" s="12">
        <v>0</v>
      </c>
      <c r="D8745" s="13">
        <v>0</v>
      </c>
      <c r="E8745" s="12">
        <v>0</v>
      </c>
      <c r="F8745" s="14">
        <v>0</v>
      </c>
      <c r="G8745" s="13">
        <v>48631788.439899996</v>
      </c>
      <c r="H8745" s="14">
        <v>43517139481.066116</v>
      </c>
      <c r="I8745" s="14" t="e">
        <f>=Round(1956768.07250000,0)</f>
        <v>#VALUE!</v>
      </c>
      <c r="J8745" s="14" t="e">
        <f>=Round(0.00000000,0)</f>
        <v>#VALUE!</v>
      </c>
    </row>
    <row r="8746">
      <c r="A8746" s="11" t="s">
        <v>34</v>
      </c>
      <c r="B8746" s="12">
        <v>895.2547</v>
      </c>
      <c r="C8746" s="12">
        <v>0</v>
      </c>
      <c r="D8746" s="13">
        <v>0</v>
      </c>
      <c r="E8746" s="12">
        <v>0</v>
      </c>
      <c r="F8746" s="14">
        <v>0</v>
      </c>
      <c r="G8746" s="13">
        <v>48631788.439899996</v>
      </c>
      <c r="H8746" s="14">
        <v>43537837170.226143</v>
      </c>
      <c r="I8746" s="14" t="e">
        <f>=Round(1961838.25530000,0)</f>
        <v>#VALUE!</v>
      </c>
      <c r="J8746" s="14" t="e">
        <f>=Round(0.00000000,0)</f>
        <v>#VALUE!</v>
      </c>
    </row>
    <row r="8747">
      <c r="A8747" s="11" t="s">
        <v>35</v>
      </c>
      <c r="B8747" s="12">
        <v>895.2547</v>
      </c>
      <c r="C8747" s="12">
        <v>0</v>
      </c>
      <c r="D8747" s="13">
        <v>0</v>
      </c>
      <c r="E8747" s="12">
        <v>0</v>
      </c>
      <c r="F8747" s="14">
        <v>0</v>
      </c>
      <c r="G8747" s="13">
        <v>48631788.439899996</v>
      </c>
      <c r="H8747" s="14">
        <v>43537837170.226143</v>
      </c>
      <c r="I8747" s="14" t="e">
        <f>=Round(1962771.34780000,0)</f>
        <v>#VALUE!</v>
      </c>
      <c r="J8747" s="14" t="e">
        <f>=Round(0.00000000,0)</f>
        <v>#VALUE!</v>
      </c>
    </row>
    <row r="8748">
      <c r="A8748" s="11" t="s">
        <v>36</v>
      </c>
      <c r="B8748" s="12">
        <v>895.2547</v>
      </c>
      <c r="C8748" s="12">
        <v>0</v>
      </c>
      <c r="D8748" s="13">
        <v>0</v>
      </c>
      <c r="E8748" s="12">
        <v>0</v>
      </c>
      <c r="F8748" s="14">
        <v>0</v>
      </c>
      <c r="G8748" s="13">
        <v>48631788.439899996</v>
      </c>
      <c r="H8748" s="14">
        <v>43537837170.226143</v>
      </c>
      <c r="I8748" s="14" t="e">
        <f>=Round(1962771.34780000,0)</f>
        <v>#VALUE!</v>
      </c>
      <c r="J8748" s="14" t="e">
        <f>=Round(0.00000000,0)</f>
        <v>#VALUE!</v>
      </c>
    </row>
    <row r="8749">
      <c r="A8749" s="11" t="s">
        <v>37</v>
      </c>
      <c r="B8749" s="12">
        <v>893.7643</v>
      </c>
      <c r="C8749" s="12">
        <v>0</v>
      </c>
      <c r="D8749" s="13">
        <v>0</v>
      </c>
      <c r="E8749" s="12">
        <v>0</v>
      </c>
      <c r="F8749" s="14">
        <v>0</v>
      </c>
      <c r="G8749" s="13">
        <v>48631788.439899996</v>
      </c>
      <c r="H8749" s="14">
        <v>43465356352.735313</v>
      </c>
      <c r="I8749" s="14" t="e">
        <f>=Round(1962771.34780000,0)</f>
        <v>#VALUE!</v>
      </c>
      <c r="J8749" s="14" t="e">
        <f>=Round(0.00000000,0)</f>
        <v>#VALUE!</v>
      </c>
    </row>
    <row r="8750">
      <c r="A8750" s="11" t="s">
        <v>38</v>
      </c>
      <c r="B8750" s="12">
        <v>893.2173</v>
      </c>
      <c r="C8750" s="12">
        <v>0</v>
      </c>
      <c r="D8750" s="13">
        <v>0</v>
      </c>
      <c r="E8750" s="12">
        <v>0</v>
      </c>
      <c r="F8750" s="14">
        <v>0</v>
      </c>
      <c r="G8750" s="13">
        <v>48631788.439899996</v>
      </c>
      <c r="H8750" s="14">
        <v>43438754764.458687</v>
      </c>
      <c r="I8750" s="14" t="e">
        <f>=Round(1959503.77000000,0)</f>
        <v>#VALUE!</v>
      </c>
      <c r="J8750" s="14" t="e">
        <f>=Round(0.00000000,0)</f>
        <v>#VALUE!</v>
      </c>
    </row>
    <row r="8751">
      <c r="A8751" s="11" t="s">
        <v>39</v>
      </c>
      <c r="B8751" s="12">
        <v>893.0975</v>
      </c>
      <c r="C8751" s="12">
        <v>0</v>
      </c>
      <c r="D8751" s="13">
        <v>0</v>
      </c>
      <c r="E8751" s="12">
        <v>0</v>
      </c>
      <c r="F8751" s="14">
        <v>0</v>
      </c>
      <c r="G8751" s="13">
        <v>48631788.439899996</v>
      </c>
      <c r="H8751" s="14">
        <v>43432928676.20359</v>
      </c>
      <c r="I8751" s="14" t="e">
        <f>=Round(1958304.51810000,0)</f>
        <v>#VALUE!</v>
      </c>
      <c r="J8751" s="14" t="e">
        <f>=Round(0.00000000,0)</f>
        <v>#VALUE!</v>
      </c>
    </row>
    <row r="8752">
      <c r="A8752" s="11" t="s">
        <v>40</v>
      </c>
      <c r="B8752" s="12">
        <v>891.3733</v>
      </c>
      <c r="C8752" s="12">
        <v>0</v>
      </c>
      <c r="D8752" s="13">
        <v>0</v>
      </c>
      <c r="E8752" s="12">
        <v>0</v>
      </c>
      <c r="F8752" s="14">
        <v>0</v>
      </c>
      <c r="G8752" s="13">
        <v>48631788.439899996</v>
      </c>
      <c r="H8752" s="14">
        <v>43349077746.575516</v>
      </c>
      <c r="I8752" s="14" t="e">
        <f>=Round(1958041.86660000,0)</f>
        <v>#VALUE!</v>
      </c>
      <c r="J8752" s="14" t="e">
        <f>=Round(0.00000000,0)</f>
        <v>#VALUE!</v>
      </c>
    </row>
    <row r="8753">
      <c r="A8753" s="11" t="s">
        <v>41</v>
      </c>
      <c r="B8753" s="12">
        <v>891.2111</v>
      </c>
      <c r="C8753" s="12">
        <v>0</v>
      </c>
      <c r="D8753" s="13">
        <v>0</v>
      </c>
      <c r="E8753" s="12">
        <v>0</v>
      </c>
      <c r="F8753" s="14">
        <v>0</v>
      </c>
      <c r="G8753" s="13">
        <v>48631788.439899996</v>
      </c>
      <c r="H8753" s="14">
        <v>43341189670.490562</v>
      </c>
      <c r="I8753" s="14" t="e">
        <f>=Round(1954261.70170000,0)</f>
        <v>#VALUE!</v>
      </c>
      <c r="J8753" s="14" t="e">
        <f>=Round(0.00000000,0)</f>
        <v>#VALUE!</v>
      </c>
    </row>
    <row r="8754">
      <c r="A8754" s="11" t="s">
        <v>42</v>
      </c>
      <c r="B8754" s="12">
        <v>891.2111</v>
      </c>
      <c r="C8754" s="12">
        <v>0</v>
      </c>
      <c r="D8754" s="13">
        <v>0</v>
      </c>
      <c r="E8754" s="12">
        <v>0</v>
      </c>
      <c r="F8754" s="14">
        <v>0</v>
      </c>
      <c r="G8754" s="13">
        <v>48631788.439899996</v>
      </c>
      <c r="H8754" s="14">
        <v>43341189670.490562</v>
      </c>
      <c r="I8754" s="14" t="e">
        <f>=Round(1953906.09170000,0)</f>
        <v>#VALUE!</v>
      </c>
      <c r="J8754" s="14" t="e">
        <f>=Round(0.00000000,0)</f>
        <v>#VALUE!</v>
      </c>
    </row>
    <row r="8755">
      <c r="A8755" s="11" t="s">
        <v>43</v>
      </c>
      <c r="B8755" s="12">
        <v>891.2111</v>
      </c>
      <c r="C8755" s="12">
        <v>0</v>
      </c>
      <c r="D8755" s="13">
        <v>0</v>
      </c>
      <c r="E8755" s="12">
        <v>0</v>
      </c>
      <c r="F8755" s="14">
        <v>0</v>
      </c>
      <c r="G8755" s="13">
        <v>48631788.439899996</v>
      </c>
      <c r="H8755" s="14">
        <v>43341189670.490562</v>
      </c>
      <c r="I8755" s="14" t="e">
        <f>=Round(1953906.09170000,0)</f>
        <v>#VALUE!</v>
      </c>
      <c r="J8755" s="14" t="e">
        <f>=Round(0.00000000,0)</f>
        <v>#VALUE!</v>
      </c>
    </row>
    <row r="8756">
      <c r="A8756" s="11" t="s">
        <v>44</v>
      </c>
      <c r="B8756" s="12">
        <v>892.1277</v>
      </c>
      <c r="C8756" s="12">
        <v>0</v>
      </c>
      <c r="D8756" s="13">
        <v>0</v>
      </c>
      <c r="E8756" s="12">
        <v>0</v>
      </c>
      <c r="F8756" s="14">
        <v>0</v>
      </c>
      <c r="G8756" s="13">
        <v>48631788.439899996</v>
      </c>
      <c r="H8756" s="14">
        <v>43385765567.774574</v>
      </c>
      <c r="I8756" s="14" t="e">
        <f>=Round(1953906.09170000,0)</f>
        <v>#VALUE!</v>
      </c>
      <c r="J8756" s="14" t="e">
        <f>=Round(0.00000000,0)</f>
        <v>#VALUE!</v>
      </c>
    </row>
    <row r="8757">
      <c r="A8757" s="11" t="s">
        <v>45</v>
      </c>
      <c r="B8757" s="12">
        <v>893.9213</v>
      </c>
      <c r="C8757" s="12">
        <v>0</v>
      </c>
      <c r="D8757" s="13">
        <v>0</v>
      </c>
      <c r="E8757" s="12">
        <v>0</v>
      </c>
      <c r="F8757" s="14">
        <v>0</v>
      </c>
      <c r="G8757" s="13">
        <v>48631788.439899996</v>
      </c>
      <c r="H8757" s="14">
        <v>43472991543.520386</v>
      </c>
      <c r="I8757" s="14" t="e">
        <f>=Round(1955915.66080000,0)</f>
        <v>#VALUE!</v>
      </c>
      <c r="J8757" s="14" t="e">
        <f>=Round(0.00000000,0)</f>
        <v>#VALUE!</v>
      </c>
    </row>
    <row r="8758">
      <c r="A8758" s="11" t="s">
        <v>46</v>
      </c>
      <c r="B8758" s="12">
        <v>895.38</v>
      </c>
      <c r="C8758" s="12">
        <v>0</v>
      </c>
      <c r="D8758" s="13">
        <v>0</v>
      </c>
      <c r="E8758" s="12">
        <v>0</v>
      </c>
      <c r="F8758" s="14">
        <v>0</v>
      </c>
      <c r="G8758" s="13">
        <v>48631788.439899996</v>
      </c>
      <c r="H8758" s="14">
        <v>43543930733.317665</v>
      </c>
      <c r="I8758" s="14" t="e">
        <f>=Round(1959847.97940000,0)</f>
        <v>#VALUE!</v>
      </c>
      <c r="J8758" s="14" t="e">
        <f>=Round(0.00000000,0)</f>
        <v>#VALUE!</v>
      </c>
    </row>
    <row r="8759">
      <c r="A8759" s="11" t="s">
        <v>47</v>
      </c>
      <c r="B8759" s="12">
        <v>896.1572</v>
      </c>
      <c r="C8759" s="12">
        <v>0</v>
      </c>
      <c r="D8759" s="13">
        <v>0</v>
      </c>
      <c r="E8759" s="12">
        <v>0</v>
      </c>
      <c r="F8759" s="14">
        <v>0</v>
      </c>
      <c r="G8759" s="13">
        <v>48631788.439899996</v>
      </c>
      <c r="H8759" s="14">
        <v>43581727359.293152</v>
      </c>
      <c r="I8759" s="14" t="e">
        <f>=Round(1963046.05760000,0)</f>
        <v>#VALUE!</v>
      </c>
      <c r="J8759" s="14" t="e">
        <f>=Round(0.00000000,0)</f>
        <v>#VALUE!</v>
      </c>
    </row>
    <row r="8760">
      <c r="A8760" s="11" t="s">
        <v>48</v>
      </c>
      <c r="B8760" s="12">
        <v>894.3544</v>
      </c>
      <c r="C8760" s="12">
        <v>0</v>
      </c>
      <c r="D8760" s="13">
        <v>0</v>
      </c>
      <c r="E8760" s="12">
        <v>0</v>
      </c>
      <c r="F8760" s="14">
        <v>0</v>
      </c>
      <c r="G8760" s="13">
        <v>48631788.439899996</v>
      </c>
      <c r="H8760" s="14">
        <v>43494053971.093704</v>
      </c>
      <c r="I8760" s="14" t="e">
        <f>=Round(1964750.00390000,0)</f>
        <v>#VALUE!</v>
      </c>
      <c r="J8760" s="14" t="e">
        <f>=Round(0.00000000,0)</f>
        <v>#VALUE!</v>
      </c>
    </row>
    <row r="8761">
      <c r="A8761" s="11" t="s">
        <v>49</v>
      </c>
      <c r="B8761" s="12">
        <v>894.3544</v>
      </c>
      <c r="C8761" s="12">
        <v>0</v>
      </c>
      <c r="D8761" s="13">
        <v>0</v>
      </c>
      <c r="E8761" s="12">
        <v>0</v>
      </c>
      <c r="F8761" s="14">
        <v>0</v>
      </c>
      <c r="G8761" s="13">
        <v>48631788.439899996</v>
      </c>
      <c r="H8761" s="14">
        <v>43494053971.093704</v>
      </c>
      <c r="I8761" s="14" t="e">
        <f>=Round(1960797.51510000,0)</f>
        <v>#VALUE!</v>
      </c>
      <c r="J8761" s="14" t="e">
        <f>=Round(0.00000000,0)</f>
        <v>#VALUE!</v>
      </c>
    </row>
    <row r="8762">
      <c r="A8762" s="11" t="s">
        <v>50</v>
      </c>
      <c r="B8762" s="12">
        <v>894.3544</v>
      </c>
      <c r="C8762" s="12">
        <v>0</v>
      </c>
      <c r="D8762" s="13">
        <v>0</v>
      </c>
      <c r="E8762" s="12">
        <v>0</v>
      </c>
      <c r="F8762" s="14">
        <v>0</v>
      </c>
      <c r="G8762" s="13">
        <v>48631788.439899996</v>
      </c>
      <c r="H8762" s="14">
        <v>43494053971.093704</v>
      </c>
      <c r="I8762" s="14" t="e">
        <f>=Round(1960797.51510000,0)</f>
        <v>#VALUE!</v>
      </c>
      <c r="J8762" s="14" t="e">
        <f>=Round(0.00000000,0)</f>
        <v>#VALUE!</v>
      </c>
    </row>
    <row r="8763">
      <c r="A8763" s="11" t="s">
        <v>51</v>
      </c>
      <c r="B8763" s="12">
        <v>890.4188</v>
      </c>
      <c r="C8763" s="12">
        <v>0</v>
      </c>
      <c r="D8763" s="13">
        <v>0</v>
      </c>
      <c r="E8763" s="12">
        <v>0</v>
      </c>
      <c r="F8763" s="14">
        <v>0</v>
      </c>
      <c r="G8763" s="13">
        <v>48631788.439899996</v>
      </c>
      <c r="H8763" s="14">
        <v>43302658704.509628</v>
      </c>
      <c r="I8763" s="14" t="e">
        <f>=Round(1960797.51510000,0)</f>
        <v>#VALUE!</v>
      </c>
      <c r="J8763" s="14" t="e">
        <f>=Round(0.00000000,0)</f>
        <v>#VALUE!</v>
      </c>
    </row>
    <row r="8764">
      <c r="A8764" s="11" t="s">
        <v>52</v>
      </c>
      <c r="B8764" s="12">
        <v>890.205</v>
      </c>
      <c r="C8764" s="12">
        <v>0</v>
      </c>
      <c r="D8764" s="13">
        <v>0</v>
      </c>
      <c r="E8764" s="12">
        <v>0</v>
      </c>
      <c r="F8764" s="14">
        <v>0</v>
      </c>
      <c r="G8764" s="13">
        <v>48631788.439899996</v>
      </c>
      <c r="H8764" s="14">
        <v>43292261228.141182</v>
      </c>
      <c r="I8764" s="14" t="e">
        <f>=Round(1952169.04000000,0)</f>
        <v>#VALUE!</v>
      </c>
      <c r="J8764" s="14" t="e">
        <f>=Round(0.00000000,0)</f>
        <v>#VALUE!</v>
      </c>
    </row>
    <row r="8765">
      <c r="A8765" s="11" t="s">
        <v>53</v>
      </c>
      <c r="B8765" s="12">
        <v>886.641</v>
      </c>
      <c r="C8765" s="12">
        <v>0</v>
      </c>
      <c r="D8765" s="13">
        <v>0</v>
      </c>
      <c r="E8765" s="12">
        <v>0</v>
      </c>
      <c r="F8765" s="14">
        <v>0</v>
      </c>
      <c r="G8765" s="13">
        <v>48631788.439899996</v>
      </c>
      <c r="H8765" s="14">
        <v>43118937534.141373</v>
      </c>
      <c r="I8765" s="14" t="e">
        <f>=Round(1951700.30130000,0)</f>
        <v>#VALUE!</v>
      </c>
      <c r="J8765" s="14" t="e">
        <f>=Round(0.00000000,0)</f>
        <v>#VALUE!</v>
      </c>
    </row>
    <row r="8766">
      <c r="A8766" s="11" t="s">
        <v>54</v>
      </c>
      <c r="B8766" s="12">
        <v>879.5206</v>
      </c>
      <c r="C8766" s="12">
        <v>0</v>
      </c>
      <c r="D8766" s="13">
        <v>0</v>
      </c>
      <c r="E8766" s="12">
        <v>0</v>
      </c>
      <c r="F8766" s="14">
        <v>0</v>
      </c>
      <c r="G8766" s="13">
        <v>48631788.439899996</v>
      </c>
      <c r="H8766" s="14">
        <v>42772659747.73391</v>
      </c>
      <c r="I8766" s="14" t="e">
        <f>=Round(1943886.52820000,0)</f>
        <v>#VALUE!</v>
      </c>
      <c r="J8766" s="14" t="e">
        <f>=Round(0.00000000,0)</f>
        <v>#VALUE!</v>
      </c>
    </row>
    <row r="8767">
      <c r="A8767" s="11" t="s">
        <v>55</v>
      </c>
      <c r="B8767" s="12">
        <v>873.6364</v>
      </c>
      <c r="C8767" s="12">
        <v>0</v>
      </c>
      <c r="D8767" s="13">
        <v>0</v>
      </c>
      <c r="E8767" s="12">
        <v>0</v>
      </c>
      <c r="F8767" s="14">
        <v>0</v>
      </c>
      <c r="G8767" s="13">
        <v>48631788.439899996</v>
      </c>
      <c r="H8767" s="14">
        <v>42486500578.195854</v>
      </c>
      <c r="I8767" s="14" t="e">
        <f>=Round(1928275.64440000,0)</f>
        <v>#VALUE!</v>
      </c>
      <c r="J8767" s="14" t="e">
        <f>=Round(0.00000000,0)</f>
        <v>#VALUE!</v>
      </c>
    </row>
    <row r="8768" ht="-1">
      <c r="A8768" s="15"/>
      <c r="B8768" s="16" t="s">
        <v>56</v>
      </c>
      <c r="C8768" s="15"/>
      <c r="D8768" s="15"/>
      <c r="E8768" s="15"/>
      <c r="F8768" s="15"/>
      <c r="G8768" s="15"/>
      <c r="H8768" s="15"/>
      <c r="I8768" s="17" t="e">
        <f>=Round(SUM(I8742:I8767),0)</f>
        <v>#VALUE!</v>
      </c>
      <c r="J8768" s="17" t="e">
        <f>=Round(SUM(J8742:J8767),0)</f>
        <v>#VALUE!</v>
      </c>
    </row>
    <row r="8769">
      <c r="A8769" s="1" t="s">
        <v>0</v>
      </c>
      <c r="B8769" s="1"/>
      <c r="C8769" s="1"/>
      <c r="D8769" s="1"/>
    </row>
    <row r="8770">
      <c r="A8770" s="0" t="s">
        <v>1</v>
      </c>
      <c r="C8770" s="0" t="s">
        <v>295</v>
      </c>
      <c r="H8770" s="2" t="s">
        <v>3</v>
      </c>
    </row>
    <row r="8771">
      <c r="A8771" s="0" t="s">
        <v>4</v>
      </c>
      <c r="C8771" s="0" t="s">
        <v>296</v>
      </c>
      <c r="H8771" s="3" t="s">
        <v>6</v>
      </c>
    </row>
    <row r="8772">
      <c r="A8772" s="0" t="s">
        <v>7</v>
      </c>
      <c r="C8772" s="4" t="s">
        <v>297</v>
      </c>
      <c r="H8772" s="2" t="s">
        <v>9</v>
      </c>
    </row>
    <row r="8773">
      <c r="A8773" s="0" t="s">
        <v>10</v>
      </c>
      <c r="C8773" s="4" t="s">
        <v>124</v>
      </c>
      <c r="H8773" s="2" t="s">
        <v>12</v>
      </c>
    </row>
    <row r="8774">
      <c r="A8774" s="0" t="s">
        <v>13</v>
      </c>
      <c r="C8774" s="0" t="s">
        <v>14</v>
      </c>
    </row>
    <row r="8775">
      <c r="A8775" s="0" t="s">
        <v>15</v>
      </c>
      <c r="C8775" s="0" t="s">
        <v>16</v>
      </c>
    </row>
    <row r="8776">
      <c r="A8776" s="0" t="s">
        <v>17</v>
      </c>
      <c r="C8776" s="0" t="s">
        <v>18</v>
      </c>
    </row>
    <row r="8779">
      <c r="A8779" s="5" t="s">
        <v>19</v>
      </c>
      <c r="B8779" s="5" t="s">
        <v>20</v>
      </c>
      <c r="C8779" s="7" t="s">
        <v>21</v>
      </c>
      <c r="D8779" s="9"/>
      <c r="E8779" s="7" t="s">
        <v>22</v>
      </c>
      <c r="F8779" s="9"/>
      <c r="G8779" s="5" t="s">
        <v>23</v>
      </c>
      <c r="H8779" s="5" t="s">
        <v>24</v>
      </c>
      <c r="I8779" s="5" t="s">
        <v>298</v>
      </c>
      <c r="J8779" s="5" t="s">
        <v>125</v>
      </c>
    </row>
    <row r="8780">
      <c r="A8780" s="6"/>
      <c r="B8780" s="6"/>
      <c r="C8780" s="8" t="s">
        <v>27</v>
      </c>
      <c r="D8780" s="8" t="s">
        <v>28</v>
      </c>
      <c r="E8780" s="8" t="s">
        <v>27</v>
      </c>
      <c r="F8780" s="8" t="s">
        <v>28</v>
      </c>
      <c r="G8780" s="6"/>
      <c r="H8780" s="6"/>
      <c r="I8780" s="10" t="s">
        <v>29</v>
      </c>
      <c r="J8780" s="6"/>
    </row>
    <row r="8781">
      <c r="A8781" s="11" t="s">
        <v>30</v>
      </c>
      <c r="B8781" s="12">
        <v>1308.634</v>
      </c>
      <c r="C8781" s="12">
        <v>0</v>
      </c>
      <c r="D8781" s="13">
        <v>0</v>
      </c>
      <c r="E8781" s="12">
        <v>0</v>
      </c>
      <c r="F8781" s="14">
        <v>0</v>
      </c>
      <c r="G8781" s="13">
        <v>63644811.872</v>
      </c>
      <c r="H8781" s="14">
        <v>83287764739.302841</v>
      </c>
      <c r="I8781" s="14" t="e">
        <f>=Round(1005123.65000000,0)</f>
        <v>#VALUE!</v>
      </c>
      <c r="J8781" s="14" t="e">
        <f>=Round(456873.92950000,0)</f>
        <v>#VALUE!</v>
      </c>
    </row>
    <row r="8782">
      <c r="A8782" s="11" t="s">
        <v>31</v>
      </c>
      <c r="B8782" s="12">
        <v>1309.9358</v>
      </c>
      <c r="C8782" s="12">
        <v>0</v>
      </c>
      <c r="D8782" s="13">
        <v>0</v>
      </c>
      <c r="E8782" s="12">
        <v>0</v>
      </c>
      <c r="F8782" s="14">
        <v>0</v>
      </c>
      <c r="G8782" s="13">
        <v>63644811.872</v>
      </c>
      <c r="H8782" s="14">
        <v>83370617555.397827</v>
      </c>
      <c r="I8782" s="14" t="e">
        <f>=Round(1001273.67450000,0)</f>
        <v>#VALUE!</v>
      </c>
      <c r="J8782" s="14" t="e">
        <f>=Round(455123.94240000,0)</f>
        <v>#VALUE!</v>
      </c>
    </row>
    <row r="8783">
      <c r="A8783" s="11" t="s">
        <v>32</v>
      </c>
      <c r="B8783" s="12">
        <v>1310.7373</v>
      </c>
      <c r="C8783" s="12">
        <v>0</v>
      </c>
      <c r="D8783" s="13">
        <v>0</v>
      </c>
      <c r="E8783" s="12">
        <v>0</v>
      </c>
      <c r="F8783" s="14">
        <v>0</v>
      </c>
      <c r="G8783" s="13">
        <v>63644811.872</v>
      </c>
      <c r="H8783" s="14">
        <v>83421628872.113235</v>
      </c>
      <c r="I8783" s="14" t="e">
        <f>=Round(1002269.71920000,0)</f>
        <v>#VALUE!</v>
      </c>
      <c r="J8783" s="14" t="e">
        <f>=Round(455576.68950000,0)</f>
        <v>#VALUE!</v>
      </c>
    </row>
    <row r="8784">
      <c r="A8784" s="11" t="s">
        <v>33</v>
      </c>
      <c r="B8784" s="12">
        <v>1312.1459</v>
      </c>
      <c r="C8784" s="12">
        <v>0</v>
      </c>
      <c r="D8784" s="13">
        <v>0</v>
      </c>
      <c r="E8784" s="12">
        <v>0</v>
      </c>
      <c r="F8784" s="14">
        <v>0</v>
      </c>
      <c r="G8784" s="13">
        <v>63644811.872</v>
      </c>
      <c r="H8784" s="14">
        <v>83511278954.116135</v>
      </c>
      <c r="I8784" s="14" t="e">
        <f>=Round(1002882.97000000,0)</f>
        <v>#VALUE!</v>
      </c>
      <c r="J8784" s="14" t="e">
        <f>=Round(455855.43960000,0)</f>
        <v>#VALUE!</v>
      </c>
    </row>
    <row r="8785">
      <c r="A8785" s="11" t="s">
        <v>34</v>
      </c>
      <c r="B8785" s="12">
        <v>1311.8501</v>
      </c>
      <c r="C8785" s="12">
        <v>0</v>
      </c>
      <c r="D8785" s="13">
        <v>0</v>
      </c>
      <c r="E8785" s="12">
        <v>0</v>
      </c>
      <c r="F8785" s="14">
        <v>0</v>
      </c>
      <c r="G8785" s="13">
        <v>63644811.872</v>
      </c>
      <c r="H8785" s="14">
        <v>83492452818.764389</v>
      </c>
      <c r="I8785" s="14" t="e">
        <f>=Round(1003960.73060000,0)</f>
        <v>#VALUE!</v>
      </c>
      <c r="J8785" s="14" t="e">
        <f>=Round(456345.33030000,0)</f>
        <v>#VALUE!</v>
      </c>
    </row>
    <row r="8786">
      <c r="A8786" s="11" t="s">
        <v>35</v>
      </c>
      <c r="B8786" s="12">
        <v>1311.8501</v>
      </c>
      <c r="C8786" s="12">
        <v>0</v>
      </c>
      <c r="D8786" s="13">
        <v>0</v>
      </c>
      <c r="E8786" s="12">
        <v>0</v>
      </c>
      <c r="F8786" s="14">
        <v>0</v>
      </c>
      <c r="G8786" s="13">
        <v>63644811.872</v>
      </c>
      <c r="H8786" s="14">
        <v>83492452818.764389</v>
      </c>
      <c r="I8786" s="14" t="e">
        <f>=Round(1003734.40550000,0)</f>
        <v>#VALUE!</v>
      </c>
      <c r="J8786" s="14" t="e">
        <f>=Round(456242.45530000,0)</f>
        <v>#VALUE!</v>
      </c>
    </row>
    <row r="8787">
      <c r="A8787" s="11" t="s">
        <v>36</v>
      </c>
      <c r="B8787" s="12">
        <v>1311.8501</v>
      </c>
      <c r="C8787" s="12">
        <v>0</v>
      </c>
      <c r="D8787" s="13">
        <v>0</v>
      </c>
      <c r="E8787" s="12">
        <v>0</v>
      </c>
      <c r="F8787" s="14">
        <v>0</v>
      </c>
      <c r="G8787" s="13">
        <v>63644811.872</v>
      </c>
      <c r="H8787" s="14">
        <v>83492452818.764389</v>
      </c>
      <c r="I8787" s="14" t="e">
        <f>=Round(1003734.40550000,0)</f>
        <v>#VALUE!</v>
      </c>
      <c r="J8787" s="14" t="e">
        <f>=Round(456242.45530000,0)</f>
        <v>#VALUE!</v>
      </c>
    </row>
    <row r="8788">
      <c r="A8788" s="11" t="s">
        <v>37</v>
      </c>
      <c r="B8788" s="12">
        <v>1312.7538</v>
      </c>
      <c r="C8788" s="12">
        <v>0</v>
      </c>
      <c r="D8788" s="13">
        <v>0</v>
      </c>
      <c r="E8788" s="12">
        <v>0</v>
      </c>
      <c r="F8788" s="14">
        <v>0</v>
      </c>
      <c r="G8788" s="13">
        <v>63644811.872</v>
      </c>
      <c r="H8788" s="14">
        <v>83549968635.253113</v>
      </c>
      <c r="I8788" s="14" t="e">
        <f>=Round(1003734.40550000,0)</f>
        <v>#VALUE!</v>
      </c>
      <c r="J8788" s="14" t="e">
        <f>=Round(456242.45530000,0)</f>
        <v>#VALUE!</v>
      </c>
    </row>
    <row r="8789">
      <c r="A8789" s="11" t="s">
        <v>38</v>
      </c>
      <c r="B8789" s="12">
        <v>1313.0952</v>
      </c>
      <c r="C8789" s="12">
        <v>0</v>
      </c>
      <c r="D8789" s="13">
        <v>0</v>
      </c>
      <c r="E8789" s="12">
        <v>0</v>
      </c>
      <c r="F8789" s="14">
        <v>0</v>
      </c>
      <c r="G8789" s="13">
        <v>63644811.872</v>
      </c>
      <c r="H8789" s="14">
        <v>83571696974.026215</v>
      </c>
      <c r="I8789" s="14" t="e">
        <f>=Round(1004425.85240000,0)</f>
        <v>#VALUE!</v>
      </c>
      <c r="J8789" s="14" t="e">
        <f>=Round(456556.74910000,0)</f>
        <v>#VALUE!</v>
      </c>
    </row>
    <row r="8790">
      <c r="A8790" s="11" t="s">
        <v>39</v>
      </c>
      <c r="B8790" s="12">
        <v>1315.8828</v>
      </c>
      <c r="C8790" s="12">
        <v>0</v>
      </c>
      <c r="D8790" s="13">
        <v>0</v>
      </c>
      <c r="E8790" s="12">
        <v>0</v>
      </c>
      <c r="F8790" s="14">
        <v>0</v>
      </c>
      <c r="G8790" s="13">
        <v>63644811.872</v>
      </c>
      <c r="H8790" s="14">
        <v>83749113251.6006</v>
      </c>
      <c r="I8790" s="14" t="e">
        <f>=Round(1004687.06740000,0)</f>
        <v>#VALUE!</v>
      </c>
      <c r="J8790" s="14" t="e">
        <f>=Round(456675.48310000,0)</f>
        <v>#VALUE!</v>
      </c>
    </row>
    <row r="8791">
      <c r="A8791" s="11" t="s">
        <v>40</v>
      </c>
      <c r="B8791" s="12">
        <v>1316.4718</v>
      </c>
      <c r="C8791" s="12">
        <v>0</v>
      </c>
      <c r="D8791" s="13">
        <v>0</v>
      </c>
      <c r="E8791" s="12">
        <v>0</v>
      </c>
      <c r="F8791" s="14">
        <v>0</v>
      </c>
      <c r="G8791" s="13">
        <v>63644811.872</v>
      </c>
      <c r="H8791" s="14">
        <v>83786600045.793213</v>
      </c>
      <c r="I8791" s="14" t="e">
        <f>=Round(1006819.94070000,0)</f>
        <v>#VALUE!</v>
      </c>
      <c r="J8791" s="14" t="e">
        <f>=Round(457644.97000000,0)</f>
        <v>#VALUE!</v>
      </c>
    </row>
    <row r="8792">
      <c r="A8792" s="11" t="s">
        <v>41</v>
      </c>
      <c r="B8792" s="12">
        <v>1317.409</v>
      </c>
      <c r="C8792" s="12">
        <v>0</v>
      </c>
      <c r="D8792" s="13">
        <v>0</v>
      </c>
      <c r="E8792" s="12">
        <v>0</v>
      </c>
      <c r="F8792" s="14">
        <v>0</v>
      </c>
      <c r="G8792" s="13">
        <v>63644811.872</v>
      </c>
      <c r="H8792" s="14">
        <v>83846247963.479645</v>
      </c>
      <c r="I8792" s="14" t="e">
        <f>=Round(1007270.60160000,0)</f>
        <v>#VALUE!</v>
      </c>
      <c r="J8792" s="14" t="e">
        <f>=Round(457849.81560000,0)</f>
        <v>#VALUE!</v>
      </c>
    </row>
    <row r="8793">
      <c r="A8793" s="11" t="s">
        <v>42</v>
      </c>
      <c r="B8793" s="12">
        <v>1317.409</v>
      </c>
      <c r="C8793" s="12">
        <v>0</v>
      </c>
      <c r="D8793" s="13">
        <v>0</v>
      </c>
      <c r="E8793" s="12">
        <v>0</v>
      </c>
      <c r="F8793" s="14">
        <v>0</v>
      </c>
      <c r="G8793" s="13">
        <v>63644811.872</v>
      </c>
      <c r="H8793" s="14">
        <v>83846247963.479645</v>
      </c>
      <c r="I8793" s="14" t="e">
        <f>=Round(1007987.68040000,0)</f>
        <v>#VALUE!</v>
      </c>
      <c r="J8793" s="14" t="e">
        <f>=Round(458175.76020000,0)</f>
        <v>#VALUE!</v>
      </c>
    </row>
    <row r="8794">
      <c r="A8794" s="11" t="s">
        <v>43</v>
      </c>
      <c r="B8794" s="12">
        <v>1317.409</v>
      </c>
      <c r="C8794" s="12">
        <v>0</v>
      </c>
      <c r="D8794" s="13">
        <v>0</v>
      </c>
      <c r="E8794" s="12">
        <v>0</v>
      </c>
      <c r="F8794" s="14">
        <v>0</v>
      </c>
      <c r="G8794" s="13">
        <v>63644811.872</v>
      </c>
      <c r="H8794" s="14">
        <v>83846247963.479645</v>
      </c>
      <c r="I8794" s="14" t="e">
        <f>=Round(1007987.68040000,0)</f>
        <v>#VALUE!</v>
      </c>
      <c r="J8794" s="14" t="e">
        <f>=Round(458175.76020000,0)</f>
        <v>#VALUE!</v>
      </c>
    </row>
    <row r="8795">
      <c r="A8795" s="11" t="s">
        <v>44</v>
      </c>
      <c r="B8795" s="12">
        <v>1319.4198</v>
      </c>
      <c r="C8795" s="12">
        <v>0</v>
      </c>
      <c r="D8795" s="13">
        <v>0</v>
      </c>
      <c r="E8795" s="12">
        <v>0</v>
      </c>
      <c r="F8795" s="14">
        <v>0</v>
      </c>
      <c r="G8795" s="13">
        <v>63644811.872</v>
      </c>
      <c r="H8795" s="14">
        <v>83974224951.191879</v>
      </c>
      <c r="I8795" s="14" t="e">
        <f>=Round(1007987.68040000,0)</f>
        <v>#VALUE!</v>
      </c>
      <c r="J8795" s="14" t="e">
        <f>=Round(458175.76020000,0)</f>
        <v>#VALUE!</v>
      </c>
    </row>
    <row r="8796">
      <c r="A8796" s="11" t="s">
        <v>45</v>
      </c>
      <c r="B8796" s="12">
        <v>1319.5927</v>
      </c>
      <c r="C8796" s="12">
        <v>0</v>
      </c>
      <c r="D8796" s="13">
        <v>0</v>
      </c>
      <c r="E8796" s="12">
        <v>0</v>
      </c>
      <c r="F8796" s="14">
        <v>0</v>
      </c>
      <c r="G8796" s="13">
        <v>63644811.872</v>
      </c>
      <c r="H8796" s="14">
        <v>83985229139.164536</v>
      </c>
      <c r="I8796" s="14" t="e">
        <f>=Round(1009526.20160000,0)</f>
        <v>#VALUE!</v>
      </c>
      <c r="J8796" s="14" t="e">
        <f>=Round(458875.08730000,0)</f>
        <v>#VALUE!</v>
      </c>
    </row>
    <row r="8797">
      <c r="A8797" s="11" t="s">
        <v>46</v>
      </c>
      <c r="B8797" s="12">
        <v>1320.3766</v>
      </c>
      <c r="C8797" s="12">
        <v>0</v>
      </c>
      <c r="D8797" s="13">
        <v>0</v>
      </c>
      <c r="E8797" s="12">
        <v>0</v>
      </c>
      <c r="F8797" s="14">
        <v>0</v>
      </c>
      <c r="G8797" s="13">
        <v>63644811.872</v>
      </c>
      <c r="H8797" s="14">
        <v>84035120307.191</v>
      </c>
      <c r="I8797" s="14" t="e">
        <f>=Round(1009658.49240000,0)</f>
        <v>#VALUE!</v>
      </c>
      <c r="J8797" s="14" t="e">
        <f>=Round(458935.21940000,0)</f>
        <v>#VALUE!</v>
      </c>
    </row>
    <row r="8798">
      <c r="A8798" s="11" t="s">
        <v>47</v>
      </c>
      <c r="B8798" s="12">
        <v>1320.738</v>
      </c>
      <c r="C8798" s="12">
        <v>0</v>
      </c>
      <c r="D8798" s="13">
        <v>0</v>
      </c>
      <c r="E8798" s="12">
        <v>0</v>
      </c>
      <c r="F8798" s="14">
        <v>0</v>
      </c>
      <c r="G8798" s="13">
        <v>63644811.872</v>
      </c>
      <c r="H8798" s="14">
        <v>84058121542.201538</v>
      </c>
      <c r="I8798" s="14" t="e">
        <f>=Round(1010258.27690000,0)</f>
        <v>#VALUE!</v>
      </c>
      <c r="J8798" s="14" t="e">
        <f>=Round(459207.84850000,0)</f>
        <v>#VALUE!</v>
      </c>
    </row>
    <row r="8799">
      <c r="A8799" s="11" t="s">
        <v>48</v>
      </c>
      <c r="B8799" s="12">
        <v>1321.5683</v>
      </c>
      <c r="C8799" s="12">
        <v>0</v>
      </c>
      <c r="D8799" s="13">
        <v>0</v>
      </c>
      <c r="E8799" s="12">
        <v>0</v>
      </c>
      <c r="F8799" s="14">
        <v>0</v>
      </c>
      <c r="G8799" s="13">
        <v>63644811.872</v>
      </c>
      <c r="H8799" s="14">
        <v>84110965829.498871</v>
      </c>
      <c r="I8799" s="14" t="e">
        <f>=Round(1010534.79450000,0)</f>
        <v>#VALUE!</v>
      </c>
      <c r="J8799" s="14" t="e">
        <f>=Round(459333.53820000,0)</f>
        <v>#VALUE!</v>
      </c>
    </row>
    <row r="8800">
      <c r="A8800" s="11" t="s">
        <v>49</v>
      </c>
      <c r="B8800" s="12">
        <v>1321.5683</v>
      </c>
      <c r="C8800" s="12">
        <v>0</v>
      </c>
      <c r="D8800" s="13">
        <v>0</v>
      </c>
      <c r="E8800" s="12">
        <v>0</v>
      </c>
      <c r="F8800" s="14">
        <v>0</v>
      </c>
      <c r="G8800" s="13">
        <v>63644811.872</v>
      </c>
      <c r="H8800" s="14">
        <v>84110965829.498871</v>
      </c>
      <c r="I8800" s="14" t="e">
        <f>=Round(1011170.08100000,0)</f>
        <v>#VALUE!</v>
      </c>
      <c r="J8800" s="14" t="e">
        <f>=Round(459622.30450000,0)</f>
        <v>#VALUE!</v>
      </c>
    </row>
    <row r="8801">
      <c r="A8801" s="11" t="s">
        <v>50</v>
      </c>
      <c r="B8801" s="12">
        <v>1321.5683</v>
      </c>
      <c r="C8801" s="12">
        <v>0</v>
      </c>
      <c r="D8801" s="13">
        <v>0</v>
      </c>
      <c r="E8801" s="12">
        <v>0</v>
      </c>
      <c r="F8801" s="14">
        <v>0</v>
      </c>
      <c r="G8801" s="13">
        <v>63644811.872</v>
      </c>
      <c r="H8801" s="14">
        <v>84110965829.498871</v>
      </c>
      <c r="I8801" s="14" t="e">
        <f>=Round(1011170.08100000,0)</f>
        <v>#VALUE!</v>
      </c>
      <c r="J8801" s="14" t="e">
        <f>=Round(459622.30450000,0)</f>
        <v>#VALUE!</v>
      </c>
    </row>
    <row r="8802">
      <c r="A8802" s="11" t="s">
        <v>51</v>
      </c>
      <c r="B8802" s="12">
        <v>1322.2302</v>
      </c>
      <c r="C8802" s="12">
        <v>0</v>
      </c>
      <c r="D8802" s="13">
        <v>0</v>
      </c>
      <c r="E8802" s="12">
        <v>0</v>
      </c>
      <c r="F8802" s="14">
        <v>0</v>
      </c>
      <c r="G8802" s="13">
        <v>63644811.872</v>
      </c>
      <c r="H8802" s="14">
        <v>84153092330.476929</v>
      </c>
      <c r="I8802" s="14" t="e">
        <f>=Round(1011170.08100000,0)</f>
        <v>#VALUE!</v>
      </c>
      <c r="J8802" s="14" t="e">
        <f>=Round(459622.30450000,0)</f>
        <v>#VALUE!</v>
      </c>
    </row>
    <row r="8803">
      <c r="A8803" s="11" t="s">
        <v>52</v>
      </c>
      <c r="B8803" s="12">
        <v>1322.4406</v>
      </c>
      <c r="C8803" s="12">
        <v>0</v>
      </c>
      <c r="D8803" s="13">
        <v>0</v>
      </c>
      <c r="E8803" s="12">
        <v>0</v>
      </c>
      <c r="F8803" s="14">
        <v>0</v>
      </c>
      <c r="G8803" s="13">
        <v>63644811.872</v>
      </c>
      <c r="H8803" s="14">
        <v>84166483198.8948</v>
      </c>
      <c r="I8803" s="14" t="e">
        <f>=Round(1011676.51980000,0)</f>
        <v>#VALUE!</v>
      </c>
      <c r="J8803" s="14" t="e">
        <f>=Round(459852.50370000,0)</f>
        <v>#VALUE!</v>
      </c>
    </row>
    <row r="8804">
      <c r="A8804" s="11" t="s">
        <v>53</v>
      </c>
      <c r="B8804" s="12">
        <v>1322.5067</v>
      </c>
      <c r="C8804" s="12">
        <v>0</v>
      </c>
      <c r="D8804" s="13">
        <v>0</v>
      </c>
      <c r="E8804" s="12">
        <v>0</v>
      </c>
      <c r="F8804" s="14">
        <v>0</v>
      </c>
      <c r="G8804" s="13">
        <v>63644811.872</v>
      </c>
      <c r="H8804" s="14">
        <v>84170690120.959534</v>
      </c>
      <c r="I8804" s="14" t="e">
        <f>=Round(1011837.50290000,0)</f>
        <v>#VALUE!</v>
      </c>
      <c r="J8804" s="14" t="e">
        <f>=Round(459925.67780000,0)</f>
        <v>#VALUE!</v>
      </c>
    </row>
    <row r="8805">
      <c r="A8805" s="11" t="s">
        <v>54</v>
      </c>
      <c r="B8805" s="12">
        <v>1322.8467</v>
      </c>
      <c r="C8805" s="12">
        <v>0</v>
      </c>
      <c r="D8805" s="13">
        <v>0</v>
      </c>
      <c r="E8805" s="12">
        <v>0</v>
      </c>
      <c r="F8805" s="14">
        <v>0</v>
      </c>
      <c r="G8805" s="13">
        <v>63644811.872</v>
      </c>
      <c r="H8805" s="14">
        <v>84192329356.996017</v>
      </c>
      <c r="I8805" s="14" t="e">
        <f>=Round(1011888.07800000,0)</f>
        <v>#VALUE!</v>
      </c>
      <c r="J8805" s="14" t="e">
        <f>=Round(459948.66640000,0)</f>
        <v>#VALUE!</v>
      </c>
    </row>
    <row r="8806">
      <c r="A8806" s="11" t="s">
        <v>55</v>
      </c>
      <c r="B8806" s="12">
        <v>1321.4333</v>
      </c>
      <c r="C8806" s="12">
        <v>0</v>
      </c>
      <c r="D8806" s="13">
        <v>0</v>
      </c>
      <c r="E8806" s="12">
        <v>0</v>
      </c>
      <c r="F8806" s="14">
        <v>0</v>
      </c>
      <c r="G8806" s="13">
        <v>63644811.872</v>
      </c>
      <c r="H8806" s="14">
        <v>84102373779.896149</v>
      </c>
      <c r="I8806" s="14" t="e">
        <f>=Round(1012148.22180000,0)</f>
        <v>#VALUE!</v>
      </c>
      <c r="J8806" s="14" t="e">
        <f>=Round(460066.91350000,0)</f>
        <v>#VALUE!</v>
      </c>
    </row>
    <row r="8807" ht="-1">
      <c r="A8807" s="15"/>
      <c r="B8807" s="16" t="s">
        <v>56</v>
      </c>
      <c r="C8807" s="15"/>
      <c r="D8807" s="15"/>
      <c r="E8807" s="15"/>
      <c r="F8807" s="15"/>
      <c r="G8807" s="15"/>
      <c r="H8807" s="15"/>
      <c r="I8807" s="17" t="e">
        <f>=Round(SUM(I8781:I8806),0)</f>
        <v>#VALUE!</v>
      </c>
      <c r="J8807" s="17" t="e">
        <f>=Round(SUM(J8781:J8806),0)</f>
        <v>#VALUE!</v>
      </c>
    </row>
    <row r="8808">
      <c r="A8808" s="1" t="s">
        <v>0</v>
      </c>
      <c r="B8808" s="1"/>
      <c r="C8808" s="1"/>
      <c r="D8808" s="1"/>
    </row>
    <row r="8809">
      <c r="A8809" s="0" t="s">
        <v>1</v>
      </c>
      <c r="C8809" s="0" t="s">
        <v>299</v>
      </c>
      <c r="H8809" s="2" t="s">
        <v>3</v>
      </c>
    </row>
    <row r="8810">
      <c r="A8810" s="0" t="s">
        <v>4</v>
      </c>
      <c r="C8810" s="0" t="s">
        <v>300</v>
      </c>
      <c r="H8810" s="3" t="s">
        <v>6</v>
      </c>
    </row>
    <row r="8811">
      <c r="A8811" s="0" t="s">
        <v>7</v>
      </c>
      <c r="C8811" s="4" t="s">
        <v>301</v>
      </c>
      <c r="H8811" s="2" t="s">
        <v>9</v>
      </c>
    </row>
    <row r="8812">
      <c r="A8812" s="0" t="s">
        <v>10</v>
      </c>
      <c r="C8812" s="4" t="s">
        <v>11</v>
      </c>
      <c r="H8812" s="2" t="s">
        <v>12</v>
      </c>
    </row>
    <row r="8813">
      <c r="A8813" s="0" t="s">
        <v>13</v>
      </c>
      <c r="C8813" s="0" t="s">
        <v>14</v>
      </c>
    </row>
    <row r="8814">
      <c r="A8814" s="0" t="s">
        <v>15</v>
      </c>
      <c r="C8814" s="0" t="s">
        <v>16</v>
      </c>
    </row>
    <row r="8815">
      <c r="A8815" s="0" t="s">
        <v>17</v>
      </c>
      <c r="C8815" s="0" t="s">
        <v>18</v>
      </c>
    </row>
    <row r="8818">
      <c r="A8818" s="5" t="s">
        <v>19</v>
      </c>
      <c r="B8818" s="5" t="s">
        <v>20</v>
      </c>
      <c r="C8818" s="7" t="s">
        <v>21</v>
      </c>
      <c r="D8818" s="9"/>
      <c r="E8818" s="7" t="s">
        <v>22</v>
      </c>
      <c r="F8818" s="9"/>
      <c r="G8818" s="5" t="s">
        <v>23</v>
      </c>
      <c r="H8818" s="5" t="s">
        <v>24</v>
      </c>
      <c r="I8818" s="5" t="s">
        <v>302</v>
      </c>
      <c r="J8818" s="5" t="s">
        <v>26</v>
      </c>
    </row>
    <row r="8819">
      <c r="A8819" s="6"/>
      <c r="B8819" s="6"/>
      <c r="C8819" s="8" t="s">
        <v>27</v>
      </c>
      <c r="D8819" s="8" t="s">
        <v>28</v>
      </c>
      <c r="E8819" s="8" t="s">
        <v>27</v>
      </c>
      <c r="F8819" s="8" t="s">
        <v>28</v>
      </c>
      <c r="G8819" s="6"/>
      <c r="H8819" s="6"/>
      <c r="I8819" s="10" t="s">
        <v>29</v>
      </c>
      <c r="J8819" s="6"/>
    </row>
    <row r="8820">
      <c r="A8820" s="11" t="s">
        <v>30</v>
      </c>
      <c r="B8820" s="12">
        <v>1048.0094</v>
      </c>
      <c r="C8820" s="12">
        <v>0</v>
      </c>
      <c r="D8820" s="13">
        <v>0</v>
      </c>
      <c r="E8820" s="12">
        <v>0</v>
      </c>
      <c r="F8820" s="14">
        <v>0</v>
      </c>
      <c r="G8820" s="13">
        <v>50000000</v>
      </c>
      <c r="H8820" s="14">
        <v>52400470000</v>
      </c>
      <c r="I8820" s="14" t="e">
        <f>=Round(157449.23630000,0)</f>
        <v>#VALUE!</v>
      </c>
      <c r="J8820" s="14" t="e">
        <f>=Round(0.00000000,0)</f>
        <v>#VALUE!</v>
      </c>
    </row>
    <row r="8821">
      <c r="A8821" s="11" t="s">
        <v>31</v>
      </c>
      <c r="B8821" s="12">
        <v>1048.6208</v>
      </c>
      <c r="C8821" s="12">
        <v>0</v>
      </c>
      <c r="D8821" s="13">
        <v>0</v>
      </c>
      <c r="E8821" s="12">
        <v>0</v>
      </c>
      <c r="F8821" s="14">
        <v>0</v>
      </c>
      <c r="G8821" s="13">
        <v>50000000</v>
      </c>
      <c r="H8821" s="14">
        <v>52431040000</v>
      </c>
      <c r="I8821" s="14" t="e">
        <f>=Round(157487.75140000,0)</f>
        <v>#VALUE!</v>
      </c>
      <c r="J8821" s="14" t="e">
        <f>=Round(0.00000000,0)</f>
        <v>#VALUE!</v>
      </c>
    </row>
    <row r="8822">
      <c r="A8822" s="11" t="s">
        <v>32</v>
      </c>
      <c r="B8822" s="12">
        <v>1049.0038</v>
      </c>
      <c r="C8822" s="12">
        <v>0</v>
      </c>
      <c r="D8822" s="13">
        <v>0</v>
      </c>
      <c r="E8822" s="12">
        <v>0</v>
      </c>
      <c r="F8822" s="14">
        <v>0</v>
      </c>
      <c r="G8822" s="13">
        <v>50000000</v>
      </c>
      <c r="H8822" s="14">
        <v>52450190000</v>
      </c>
      <c r="I8822" s="14" t="e">
        <f>=Round(157579.62840000,0)</f>
        <v>#VALUE!</v>
      </c>
      <c r="J8822" s="14" t="e">
        <f>=Round(0.00000000,0)</f>
        <v>#VALUE!</v>
      </c>
    </row>
    <row r="8823">
      <c r="A8823" s="11" t="s">
        <v>33</v>
      </c>
      <c r="B8823" s="12">
        <v>1049.8307</v>
      </c>
      <c r="C8823" s="12">
        <v>0</v>
      </c>
      <c r="D8823" s="13">
        <v>0</v>
      </c>
      <c r="E8823" s="12">
        <v>0</v>
      </c>
      <c r="F8823" s="14">
        <v>0</v>
      </c>
      <c r="G8823" s="13">
        <v>50000000</v>
      </c>
      <c r="H8823" s="14">
        <v>52491535000</v>
      </c>
      <c r="I8823" s="14" t="e">
        <f>=Round(157637.18310000,0)</f>
        <v>#VALUE!</v>
      </c>
      <c r="J8823" s="14" t="e">
        <f>=Round(0.00000000,0)</f>
        <v>#VALUE!</v>
      </c>
    </row>
    <row r="8824">
      <c r="A8824" s="11" t="s">
        <v>34</v>
      </c>
      <c r="B8824" s="12">
        <v>1049.8629</v>
      </c>
      <c r="C8824" s="12">
        <v>0</v>
      </c>
      <c r="D8824" s="13">
        <v>0</v>
      </c>
      <c r="E8824" s="12">
        <v>0</v>
      </c>
      <c r="F8824" s="14">
        <v>0</v>
      </c>
      <c r="G8824" s="13">
        <v>50000000</v>
      </c>
      <c r="H8824" s="14">
        <v>52493145000</v>
      </c>
      <c r="I8824" s="14" t="e">
        <f>=Round(157761.44400000,0)</f>
        <v>#VALUE!</v>
      </c>
      <c r="J8824" s="14" t="e">
        <f>=Round(0.00000000,0)</f>
        <v>#VALUE!</v>
      </c>
    </row>
    <row r="8825">
      <c r="A8825" s="11" t="s">
        <v>35</v>
      </c>
      <c r="B8825" s="12">
        <v>1049.8629</v>
      </c>
      <c r="C8825" s="12">
        <v>0</v>
      </c>
      <c r="D8825" s="13">
        <v>0</v>
      </c>
      <c r="E8825" s="12">
        <v>0</v>
      </c>
      <c r="F8825" s="14">
        <v>0</v>
      </c>
      <c r="G8825" s="13">
        <v>50000000</v>
      </c>
      <c r="H8825" s="14">
        <v>52493145000</v>
      </c>
      <c r="I8825" s="14" t="e">
        <f>=Round(157766.28280000,0)</f>
        <v>#VALUE!</v>
      </c>
      <c r="J8825" s="14" t="e">
        <f>=Round(0.00000000,0)</f>
        <v>#VALUE!</v>
      </c>
    </row>
    <row r="8826">
      <c r="A8826" s="11" t="s">
        <v>36</v>
      </c>
      <c r="B8826" s="12">
        <v>1049.8629</v>
      </c>
      <c r="C8826" s="12">
        <v>0</v>
      </c>
      <c r="D8826" s="13">
        <v>0</v>
      </c>
      <c r="E8826" s="12">
        <v>0</v>
      </c>
      <c r="F8826" s="14">
        <v>0</v>
      </c>
      <c r="G8826" s="13">
        <v>50000000</v>
      </c>
      <c r="H8826" s="14">
        <v>52493145000</v>
      </c>
      <c r="I8826" s="14" t="e">
        <f>=Round(157766.28280000,0)</f>
        <v>#VALUE!</v>
      </c>
      <c r="J8826" s="14" t="e">
        <f>=Round(0.00000000,0)</f>
        <v>#VALUE!</v>
      </c>
    </row>
    <row r="8827">
      <c r="A8827" s="11" t="s">
        <v>37</v>
      </c>
      <c r="B8827" s="12">
        <v>1050.5856</v>
      </c>
      <c r="C8827" s="12">
        <v>0</v>
      </c>
      <c r="D8827" s="13">
        <v>0</v>
      </c>
      <c r="E8827" s="12">
        <v>0</v>
      </c>
      <c r="F8827" s="14">
        <v>0</v>
      </c>
      <c r="G8827" s="13">
        <v>50000000</v>
      </c>
      <c r="H8827" s="14">
        <v>52529280000</v>
      </c>
      <c r="I8827" s="14" t="e">
        <f>=Round(157766.28280000,0)</f>
        <v>#VALUE!</v>
      </c>
      <c r="J8827" s="14" t="e">
        <f>=Round(0.00000000,0)</f>
        <v>#VALUE!</v>
      </c>
    </row>
    <row r="8828">
      <c r="A8828" s="11" t="s">
        <v>38</v>
      </c>
      <c r="B8828" s="12">
        <v>1050.8202</v>
      </c>
      <c r="C8828" s="12">
        <v>0</v>
      </c>
      <c r="D8828" s="13">
        <v>0</v>
      </c>
      <c r="E8828" s="12">
        <v>0</v>
      </c>
      <c r="F8828" s="14">
        <v>0</v>
      </c>
      <c r="G8828" s="13">
        <v>50000000</v>
      </c>
      <c r="H8828" s="14">
        <v>52541010000</v>
      </c>
      <c r="I8828" s="14" t="e">
        <f>=Round(157874.88520000,0)</f>
        <v>#VALUE!</v>
      </c>
      <c r="J8828" s="14" t="e">
        <f>=Round(0.00000000,0)</f>
        <v>#VALUE!</v>
      </c>
    </row>
    <row r="8829">
      <c r="A8829" s="11" t="s">
        <v>39</v>
      </c>
      <c r="B8829" s="12">
        <v>1053.3053</v>
      </c>
      <c r="C8829" s="12">
        <v>0</v>
      </c>
      <c r="D8829" s="13">
        <v>0</v>
      </c>
      <c r="E8829" s="12">
        <v>0</v>
      </c>
      <c r="F8829" s="14">
        <v>0</v>
      </c>
      <c r="G8829" s="13">
        <v>50000000</v>
      </c>
      <c r="H8829" s="14">
        <v>52665265000</v>
      </c>
      <c r="I8829" s="14" t="e">
        <f>=Round(157910.13930000,0)</f>
        <v>#VALUE!</v>
      </c>
      <c r="J8829" s="14" t="e">
        <f>=Round(0.00000000,0)</f>
        <v>#VALUE!</v>
      </c>
    </row>
    <row r="8830">
      <c r="A8830" s="11" t="s">
        <v>40</v>
      </c>
      <c r="B8830" s="12">
        <v>1053.9814</v>
      </c>
      <c r="C8830" s="12">
        <v>0</v>
      </c>
      <c r="D8830" s="13">
        <v>0</v>
      </c>
      <c r="E8830" s="12">
        <v>0</v>
      </c>
      <c r="F8830" s="14">
        <v>0</v>
      </c>
      <c r="G8830" s="13">
        <v>50000000</v>
      </c>
      <c r="H8830" s="14">
        <v>52699070000</v>
      </c>
      <c r="I8830" s="14" t="e">
        <f>=Round(158283.58330000,0)</f>
        <v>#VALUE!</v>
      </c>
      <c r="J8830" s="14" t="e">
        <f>=Round(0.00000000,0)</f>
        <v>#VALUE!</v>
      </c>
    </row>
    <row r="8831">
      <c r="A8831" s="11" t="s">
        <v>41</v>
      </c>
      <c r="B8831" s="12">
        <v>1054.6223</v>
      </c>
      <c r="C8831" s="12">
        <v>0</v>
      </c>
      <c r="D8831" s="13">
        <v>0</v>
      </c>
      <c r="E8831" s="12">
        <v>0</v>
      </c>
      <c r="F8831" s="14">
        <v>0</v>
      </c>
      <c r="G8831" s="13">
        <v>50000000</v>
      </c>
      <c r="H8831" s="14">
        <v>52731115000</v>
      </c>
      <c r="I8831" s="14" t="e">
        <f>=Round(158385.18310000,0)</f>
        <v>#VALUE!</v>
      </c>
      <c r="J8831" s="14" t="e">
        <f>=Round(0.00000000,0)</f>
        <v>#VALUE!</v>
      </c>
    </row>
    <row r="8832">
      <c r="A8832" s="11" t="s">
        <v>42</v>
      </c>
      <c r="B8832" s="12">
        <v>1054.6223</v>
      </c>
      <c r="C8832" s="12">
        <v>0</v>
      </c>
      <c r="D8832" s="13">
        <v>0</v>
      </c>
      <c r="E8832" s="12">
        <v>0</v>
      </c>
      <c r="F8832" s="14">
        <v>0</v>
      </c>
      <c r="G8832" s="13">
        <v>50000000</v>
      </c>
      <c r="H8832" s="14">
        <v>52731115000</v>
      </c>
      <c r="I8832" s="14" t="e">
        <f>=Round(158481.49320000,0)</f>
        <v>#VALUE!</v>
      </c>
      <c r="J8832" s="14" t="e">
        <f>=Round(0.00000000,0)</f>
        <v>#VALUE!</v>
      </c>
    </row>
    <row r="8833">
      <c r="A8833" s="11" t="s">
        <v>43</v>
      </c>
      <c r="B8833" s="12">
        <v>1054.6223</v>
      </c>
      <c r="C8833" s="12">
        <v>0</v>
      </c>
      <c r="D8833" s="13">
        <v>0</v>
      </c>
      <c r="E8833" s="12">
        <v>0</v>
      </c>
      <c r="F8833" s="14">
        <v>0</v>
      </c>
      <c r="G8833" s="13">
        <v>50000000</v>
      </c>
      <c r="H8833" s="14">
        <v>52731115000</v>
      </c>
      <c r="I8833" s="14" t="e">
        <f>=Round(158481.49320000,0)</f>
        <v>#VALUE!</v>
      </c>
      <c r="J8833" s="14" t="e">
        <f>=Round(0.00000000,0)</f>
        <v>#VALUE!</v>
      </c>
    </row>
    <row r="8834">
      <c r="A8834" s="11" t="s">
        <v>44</v>
      </c>
      <c r="B8834" s="12">
        <v>1056.2232</v>
      </c>
      <c r="C8834" s="12">
        <v>0</v>
      </c>
      <c r="D8834" s="13">
        <v>0</v>
      </c>
      <c r="E8834" s="12">
        <v>0</v>
      </c>
      <c r="F8834" s="14">
        <v>0</v>
      </c>
      <c r="G8834" s="13">
        <v>50000000</v>
      </c>
      <c r="H8834" s="14">
        <v>52811160000</v>
      </c>
      <c r="I8834" s="14" t="e">
        <f>=Round(158481.49320000,0)</f>
        <v>#VALUE!</v>
      </c>
      <c r="J8834" s="14" t="e">
        <f>=Round(0.00000000,0)</f>
        <v>#VALUE!</v>
      </c>
    </row>
    <row r="8835">
      <c r="A8835" s="11" t="s">
        <v>45</v>
      </c>
      <c r="B8835" s="12">
        <v>1056.3958</v>
      </c>
      <c r="C8835" s="12">
        <v>0</v>
      </c>
      <c r="D8835" s="13">
        <v>0</v>
      </c>
      <c r="E8835" s="12">
        <v>0</v>
      </c>
      <c r="F8835" s="14">
        <v>0</v>
      </c>
      <c r="G8835" s="13">
        <v>50000000</v>
      </c>
      <c r="H8835" s="14">
        <v>52819790000</v>
      </c>
      <c r="I8835" s="14" t="e">
        <f>=Round(158722.06560000,0)</f>
        <v>#VALUE!</v>
      </c>
      <c r="J8835" s="14" t="e">
        <f>=Round(0.00000000,0)</f>
        <v>#VALUE!</v>
      </c>
    </row>
    <row r="8836">
      <c r="A8836" s="11" t="s">
        <v>46</v>
      </c>
      <c r="B8836" s="12">
        <v>1056.8272</v>
      </c>
      <c r="C8836" s="12">
        <v>0</v>
      </c>
      <c r="D8836" s="13">
        <v>0</v>
      </c>
      <c r="E8836" s="12">
        <v>0</v>
      </c>
      <c r="F8836" s="14">
        <v>0</v>
      </c>
      <c r="G8836" s="13">
        <v>50000000</v>
      </c>
      <c r="H8836" s="14">
        <v>52841360000</v>
      </c>
      <c r="I8836" s="14" t="e">
        <f>=Round(158748.00270000,0)</f>
        <v>#VALUE!</v>
      </c>
      <c r="J8836" s="14" t="e">
        <f>=Round(0.00000000,0)</f>
        <v>#VALUE!</v>
      </c>
    </row>
    <row r="8837">
      <c r="A8837" s="11" t="s">
        <v>47</v>
      </c>
      <c r="B8837" s="12">
        <v>1057.4489</v>
      </c>
      <c r="C8837" s="12">
        <v>0</v>
      </c>
      <c r="D8837" s="13">
        <v>0</v>
      </c>
      <c r="E8837" s="12">
        <v>0</v>
      </c>
      <c r="F8837" s="14">
        <v>0</v>
      </c>
      <c r="G8837" s="13">
        <v>50000000</v>
      </c>
      <c r="H8837" s="14">
        <v>52872445000</v>
      </c>
      <c r="I8837" s="14" t="e">
        <f>=Round(158812.83060000,0)</f>
        <v>#VALUE!</v>
      </c>
      <c r="J8837" s="14" t="e">
        <f>=Round(0.00000000,0)</f>
        <v>#VALUE!</v>
      </c>
    </row>
    <row r="8838">
      <c r="A8838" s="11" t="s">
        <v>48</v>
      </c>
      <c r="B8838" s="12">
        <v>1058.2252</v>
      </c>
      <c r="C8838" s="12">
        <v>0</v>
      </c>
      <c r="D8838" s="13">
        <v>0</v>
      </c>
      <c r="E8838" s="12">
        <v>0</v>
      </c>
      <c r="F8838" s="14">
        <v>0</v>
      </c>
      <c r="G8838" s="13">
        <v>50000000</v>
      </c>
      <c r="H8838" s="14">
        <v>52911260000</v>
      </c>
      <c r="I8838" s="14" t="e">
        <f>=Round(158906.25550000,0)</f>
        <v>#VALUE!</v>
      </c>
      <c r="J8838" s="14" t="e">
        <f>=Round(0.00000000,0)</f>
        <v>#VALUE!</v>
      </c>
    </row>
    <row r="8839">
      <c r="A8839" s="11" t="s">
        <v>49</v>
      </c>
      <c r="B8839" s="12">
        <v>1058.2252</v>
      </c>
      <c r="C8839" s="12">
        <v>0</v>
      </c>
      <c r="D8839" s="13">
        <v>0</v>
      </c>
      <c r="E8839" s="12">
        <v>0</v>
      </c>
      <c r="F8839" s="14">
        <v>0</v>
      </c>
      <c r="G8839" s="13">
        <v>50000000</v>
      </c>
      <c r="H8839" s="14">
        <v>52911260000</v>
      </c>
      <c r="I8839" s="14" t="e">
        <f>=Round(159022.91260000,0)</f>
        <v>#VALUE!</v>
      </c>
      <c r="J8839" s="14" t="e">
        <f>=Round(0.00000000,0)</f>
        <v>#VALUE!</v>
      </c>
    </row>
    <row r="8840">
      <c r="A8840" s="11" t="s">
        <v>50</v>
      </c>
      <c r="B8840" s="12">
        <v>1058.2252</v>
      </c>
      <c r="C8840" s="12">
        <v>0</v>
      </c>
      <c r="D8840" s="13">
        <v>0</v>
      </c>
      <c r="E8840" s="12">
        <v>0</v>
      </c>
      <c r="F8840" s="14">
        <v>0</v>
      </c>
      <c r="G8840" s="13">
        <v>50000000</v>
      </c>
      <c r="H8840" s="14">
        <v>52911260000</v>
      </c>
      <c r="I8840" s="14" t="e">
        <f>=Round(159022.91260000,0)</f>
        <v>#VALUE!</v>
      </c>
      <c r="J8840" s="14" t="e">
        <f>=Round(0.00000000,0)</f>
        <v>#VALUE!</v>
      </c>
    </row>
    <row r="8841">
      <c r="A8841" s="11" t="s">
        <v>51</v>
      </c>
      <c r="B8841" s="12">
        <v>1058.8133</v>
      </c>
      <c r="C8841" s="12">
        <v>0</v>
      </c>
      <c r="D8841" s="13">
        <v>0</v>
      </c>
      <c r="E8841" s="12">
        <v>0</v>
      </c>
      <c r="F8841" s="14">
        <v>0</v>
      </c>
      <c r="G8841" s="13">
        <v>50000000</v>
      </c>
      <c r="H8841" s="14">
        <v>52940665000</v>
      </c>
      <c r="I8841" s="14" t="e">
        <f>=Round(159022.91260000,0)</f>
        <v>#VALUE!</v>
      </c>
      <c r="J8841" s="14" t="e">
        <f>=Round(0.00000000,0)</f>
        <v>#VALUE!</v>
      </c>
    </row>
    <row r="8842">
      <c r="A8842" s="11" t="s">
        <v>52</v>
      </c>
      <c r="B8842" s="12">
        <v>1059.006</v>
      </c>
      <c r="C8842" s="12">
        <v>0</v>
      </c>
      <c r="D8842" s="13">
        <v>0</v>
      </c>
      <c r="E8842" s="12">
        <v>0</v>
      </c>
      <c r="F8842" s="14">
        <v>0</v>
      </c>
      <c r="G8842" s="13">
        <v>50000000</v>
      </c>
      <c r="H8842" s="14">
        <v>52950300000</v>
      </c>
      <c r="I8842" s="14" t="e">
        <f>=Round(159111.28830000,0)</f>
        <v>#VALUE!</v>
      </c>
      <c r="J8842" s="14" t="e">
        <f>=Round(0.00000000,0)</f>
        <v>#VALUE!</v>
      </c>
    </row>
    <row r="8843">
      <c r="A8843" s="11" t="s">
        <v>53</v>
      </c>
      <c r="B8843" s="12">
        <v>1059.1742</v>
      </c>
      <c r="C8843" s="12">
        <v>0</v>
      </c>
      <c r="D8843" s="13">
        <v>0</v>
      </c>
      <c r="E8843" s="12">
        <v>0</v>
      </c>
      <c r="F8843" s="14">
        <v>0</v>
      </c>
      <c r="G8843" s="13">
        <v>50000000</v>
      </c>
      <c r="H8843" s="14">
        <v>52958710000</v>
      </c>
      <c r="I8843" s="14" t="e">
        <f>=Round(159140.24590000,0)</f>
        <v>#VALUE!</v>
      </c>
      <c r="J8843" s="14" t="e">
        <f>=Round(0.00000000,0)</f>
        <v>#VALUE!</v>
      </c>
    </row>
    <row r="8844">
      <c r="A8844" s="11" t="s">
        <v>54</v>
      </c>
      <c r="B8844" s="12">
        <v>1059.4028</v>
      </c>
      <c r="C8844" s="12">
        <v>0</v>
      </c>
      <c r="D8844" s="13">
        <v>0</v>
      </c>
      <c r="E8844" s="12">
        <v>0</v>
      </c>
      <c r="F8844" s="14">
        <v>0</v>
      </c>
      <c r="G8844" s="13">
        <v>50000000</v>
      </c>
      <c r="H8844" s="14">
        <v>52970140000</v>
      </c>
      <c r="I8844" s="14" t="e">
        <f>=Round(159165.52190000,0)</f>
        <v>#VALUE!</v>
      </c>
      <c r="J8844" s="14" t="e">
        <f>=Round(0.00000000,0)</f>
        <v>#VALUE!</v>
      </c>
    </row>
    <row r="8845">
      <c r="A8845" s="11" t="s">
        <v>55</v>
      </c>
      <c r="B8845" s="12">
        <v>1059.0446</v>
      </c>
      <c r="C8845" s="12">
        <v>0</v>
      </c>
      <c r="D8845" s="13">
        <v>0</v>
      </c>
      <c r="E8845" s="12">
        <v>0</v>
      </c>
      <c r="F8845" s="14">
        <v>0</v>
      </c>
      <c r="G8845" s="13">
        <v>50000000</v>
      </c>
      <c r="H8845" s="14">
        <v>52952230000</v>
      </c>
      <c r="I8845" s="14" t="e">
        <f>=Round(159199.87430000,0)</f>
        <v>#VALUE!</v>
      </c>
      <c r="J8845" s="14" t="e">
        <f>=Round(0.00000000,0)</f>
        <v>#VALUE!</v>
      </c>
    </row>
    <row r="8846" ht="-1">
      <c r="A8846" s="15"/>
      <c r="B8846" s="16" t="s">
        <v>56</v>
      </c>
      <c r="C8846" s="15"/>
      <c r="D8846" s="15"/>
      <c r="E8846" s="15"/>
      <c r="F8846" s="15"/>
      <c r="G8846" s="15"/>
      <c r="H8846" s="15"/>
      <c r="I8846" s="17" t="e">
        <f>=Round(SUM(I8820:I8845),0)</f>
        <v>#VALUE!</v>
      </c>
      <c r="J8846" s="17" t="e">
        <f>=Round(SUM(J8820:J8845),0)</f>
        <v>#VALUE!</v>
      </c>
    </row>
    <row r="8847">
      <c r="A8847" s="1" t="s">
        <v>0</v>
      </c>
      <c r="B8847" s="1"/>
      <c r="C8847" s="1"/>
      <c r="D8847" s="1"/>
    </row>
    <row r="8848">
      <c r="A8848" s="0" t="s">
        <v>1</v>
      </c>
      <c r="C8848" s="0" t="s">
        <v>303</v>
      </c>
      <c r="H8848" s="2" t="s">
        <v>3</v>
      </c>
    </row>
    <row r="8849">
      <c r="A8849" s="0" t="s">
        <v>4</v>
      </c>
      <c r="C8849" s="0" t="s">
        <v>304</v>
      </c>
      <c r="H8849" s="3" t="s">
        <v>6</v>
      </c>
    </row>
    <row r="8850">
      <c r="A8850" s="0" t="s">
        <v>7</v>
      </c>
      <c r="C8850" s="4" t="s">
        <v>260</v>
      </c>
      <c r="H8850" s="2" t="s">
        <v>9</v>
      </c>
    </row>
    <row r="8851">
      <c r="A8851" s="0" t="s">
        <v>10</v>
      </c>
      <c r="C8851" s="4" t="s">
        <v>11</v>
      </c>
      <c r="H8851" s="2" t="s">
        <v>12</v>
      </c>
    </row>
    <row r="8852">
      <c r="A8852" s="0" t="s">
        <v>13</v>
      </c>
      <c r="C8852" s="0" t="s">
        <v>14</v>
      </c>
    </row>
    <row r="8853">
      <c r="A8853" s="0" t="s">
        <v>15</v>
      </c>
      <c r="C8853" s="0" t="s">
        <v>16</v>
      </c>
    </row>
    <row r="8854">
      <c r="A8854" s="0" t="s">
        <v>17</v>
      </c>
      <c r="C8854" s="0" t="s">
        <v>18</v>
      </c>
    </row>
    <row r="8857">
      <c r="A8857" s="5" t="s">
        <v>19</v>
      </c>
      <c r="B8857" s="5" t="s">
        <v>20</v>
      </c>
      <c r="C8857" s="7" t="s">
        <v>21</v>
      </c>
      <c r="D8857" s="9"/>
      <c r="E8857" s="7" t="s">
        <v>22</v>
      </c>
      <c r="F8857" s="9"/>
      <c r="G8857" s="5" t="s">
        <v>23</v>
      </c>
      <c r="H8857" s="5" t="s">
        <v>24</v>
      </c>
      <c r="I8857" s="5" t="s">
        <v>261</v>
      </c>
      <c r="J8857" s="5" t="s">
        <v>26</v>
      </c>
    </row>
    <row r="8858">
      <c r="A8858" s="6"/>
      <c r="B8858" s="6"/>
      <c r="C8858" s="8" t="s">
        <v>27</v>
      </c>
      <c r="D8858" s="8" t="s">
        <v>28</v>
      </c>
      <c r="E8858" s="8" t="s">
        <v>27</v>
      </c>
      <c r="F8858" s="8" t="s">
        <v>28</v>
      </c>
      <c r="G8858" s="6"/>
      <c r="H8858" s="6"/>
      <c r="I8858" s="10" t="s">
        <v>29</v>
      </c>
      <c r="J8858" s="6"/>
    </row>
    <row r="8859">
      <c r="A8859" s="11" t="s">
        <v>30</v>
      </c>
      <c r="B8859" s="12">
        <v>755.465</v>
      </c>
      <c r="C8859" s="12">
        <v>0</v>
      </c>
      <c r="D8859" s="13">
        <v>0</v>
      </c>
      <c r="E8859" s="12">
        <v>0</v>
      </c>
      <c r="F8859" s="14">
        <v>0</v>
      </c>
      <c r="G8859" s="13">
        <v>171837471.3519</v>
      </c>
      <c r="H8859" s="14">
        <v>129817195294.86313</v>
      </c>
      <c r="I8859" s="14" t="e">
        <f>=Round(1170547.98130000,0)</f>
        <v>#VALUE!</v>
      </c>
      <c r="J8859" s="14" t="e">
        <f>=Round(0.00000000,0)</f>
        <v>#VALUE!</v>
      </c>
    </row>
    <row r="8860">
      <c r="A8860" s="11" t="s">
        <v>31</v>
      </c>
      <c r="B8860" s="12">
        <v>758.286</v>
      </c>
      <c r="C8860" s="12">
        <v>0</v>
      </c>
      <c r="D8860" s="13">
        <v>0</v>
      </c>
      <c r="E8860" s="12">
        <v>0</v>
      </c>
      <c r="F8860" s="14">
        <v>0</v>
      </c>
      <c r="G8860" s="13">
        <v>171837471.3519</v>
      </c>
      <c r="H8860" s="14">
        <v>130301948801.54684</v>
      </c>
      <c r="I8860" s="14" t="e">
        <f>=Round(1170482.90840000,0)</f>
        <v>#VALUE!</v>
      </c>
      <c r="J8860" s="14" t="e">
        <f>=Round(0.00000000,0)</f>
        <v>#VALUE!</v>
      </c>
    </row>
    <row r="8861">
      <c r="A8861" s="11" t="s">
        <v>32</v>
      </c>
      <c r="B8861" s="12">
        <v>757.632</v>
      </c>
      <c r="C8861" s="12">
        <v>0</v>
      </c>
      <c r="D8861" s="13">
        <v>0</v>
      </c>
      <c r="E8861" s="12">
        <v>0</v>
      </c>
      <c r="F8861" s="14">
        <v>0</v>
      </c>
      <c r="G8861" s="13">
        <v>171837471.3519</v>
      </c>
      <c r="H8861" s="14">
        <v>130189567095.2827</v>
      </c>
      <c r="I8861" s="14" t="e">
        <f>=Round(1174853.63670000,0)</f>
        <v>#VALUE!</v>
      </c>
      <c r="J8861" s="14" t="e">
        <f>=Round(0.00000000,0)</f>
        <v>#VALUE!</v>
      </c>
    </row>
    <row r="8862">
      <c r="A8862" s="11" t="s">
        <v>33</v>
      </c>
      <c r="B8862" s="12">
        <v>758.656</v>
      </c>
      <c r="C8862" s="12">
        <v>0</v>
      </c>
      <c r="D8862" s="13">
        <v>0</v>
      </c>
      <c r="E8862" s="12">
        <v>0</v>
      </c>
      <c r="F8862" s="14">
        <v>0</v>
      </c>
      <c r="G8862" s="13">
        <v>171837471.3519</v>
      </c>
      <c r="H8862" s="14">
        <v>130365528665.94704</v>
      </c>
      <c r="I8862" s="14" t="e">
        <f>=Round(1173840.35910000,0)</f>
        <v>#VALUE!</v>
      </c>
      <c r="J8862" s="14" t="e">
        <f>=Round(0.00000000,0)</f>
        <v>#VALUE!</v>
      </c>
    </row>
    <row r="8863">
      <c r="A8863" s="11" t="s">
        <v>34</v>
      </c>
      <c r="B8863" s="12">
        <v>759.823</v>
      </c>
      <c r="C8863" s="12">
        <v>0</v>
      </c>
      <c r="D8863" s="13">
        <v>0</v>
      </c>
      <c r="E8863" s="12">
        <v>0</v>
      </c>
      <c r="F8863" s="14">
        <v>0</v>
      </c>
      <c r="G8863" s="13">
        <v>171837471.3519</v>
      </c>
      <c r="H8863" s="14">
        <v>130566062995.01473</v>
      </c>
      <c r="I8863" s="14" t="e">
        <f>=Round(1175426.89780000,0)</f>
        <v>#VALUE!</v>
      </c>
      <c r="J8863" s="14" t="e">
        <f>=Round(0.00000000,0)</f>
        <v>#VALUE!</v>
      </c>
    </row>
    <row r="8864">
      <c r="A8864" s="11" t="s">
        <v>35</v>
      </c>
      <c r="B8864" s="12">
        <v>759.823</v>
      </c>
      <c r="C8864" s="12">
        <v>0</v>
      </c>
      <c r="D8864" s="13">
        <v>0</v>
      </c>
      <c r="E8864" s="12">
        <v>0</v>
      </c>
      <c r="F8864" s="14">
        <v>0</v>
      </c>
      <c r="G8864" s="13">
        <v>171837471.3519</v>
      </c>
      <c r="H8864" s="14">
        <v>130566062995.01473</v>
      </c>
      <c r="I8864" s="14" t="e">
        <f>=Round(1177234.99420000,0)</f>
        <v>#VALUE!</v>
      </c>
      <c r="J8864" s="14" t="e">
        <f>=Round(0.00000000,0)</f>
        <v>#VALUE!</v>
      </c>
    </row>
    <row r="8865">
      <c r="A8865" s="11" t="s">
        <v>36</v>
      </c>
      <c r="B8865" s="12">
        <v>759.823</v>
      </c>
      <c r="C8865" s="12">
        <v>0</v>
      </c>
      <c r="D8865" s="13">
        <v>0</v>
      </c>
      <c r="E8865" s="12">
        <v>0</v>
      </c>
      <c r="F8865" s="14">
        <v>0</v>
      </c>
      <c r="G8865" s="13">
        <v>171837471.3519</v>
      </c>
      <c r="H8865" s="14">
        <v>130566062995.01473</v>
      </c>
      <c r="I8865" s="14" t="e">
        <f>=Round(1177234.99420000,0)</f>
        <v>#VALUE!</v>
      </c>
      <c r="J8865" s="14" t="e">
        <f>=Round(0.00000000,0)</f>
        <v>#VALUE!</v>
      </c>
    </row>
    <row r="8866">
      <c r="A8866" s="11" t="s">
        <v>37</v>
      </c>
      <c r="B8866" s="12">
        <v>760.057</v>
      </c>
      <c r="C8866" s="12">
        <v>0</v>
      </c>
      <c r="D8866" s="13">
        <v>0</v>
      </c>
      <c r="E8866" s="12">
        <v>0</v>
      </c>
      <c r="F8866" s="14">
        <v>0</v>
      </c>
      <c r="G8866" s="13">
        <v>171837471.3519</v>
      </c>
      <c r="H8866" s="14">
        <v>130606272963.31105</v>
      </c>
      <c r="I8866" s="14" t="e">
        <f>=Round(1177234.99420000,0)</f>
        <v>#VALUE!</v>
      </c>
      <c r="J8866" s="14" t="e">
        <f>=Round(0.00000000,0)</f>
        <v>#VALUE!</v>
      </c>
    </row>
    <row r="8867">
      <c r="A8867" s="11" t="s">
        <v>38</v>
      </c>
      <c r="B8867" s="12">
        <v>761.133</v>
      </c>
      <c r="C8867" s="12">
        <v>0</v>
      </c>
      <c r="D8867" s="13">
        <v>0</v>
      </c>
      <c r="E8867" s="12">
        <v>0</v>
      </c>
      <c r="F8867" s="14">
        <v>0</v>
      </c>
      <c r="G8867" s="13">
        <v>171837471.3519</v>
      </c>
      <c r="H8867" s="14">
        <v>130791170082.4857</v>
      </c>
      <c r="I8867" s="14" t="e">
        <f>=Round(1177597.54310000,0)</f>
        <v>#VALUE!</v>
      </c>
      <c r="J8867" s="14" t="e">
        <f>=Round(0.00000000,0)</f>
        <v>#VALUE!</v>
      </c>
    </row>
    <row r="8868">
      <c r="A8868" s="11" t="s">
        <v>39</v>
      </c>
      <c r="B8868" s="12">
        <v>765.097</v>
      </c>
      <c r="C8868" s="12">
        <v>0</v>
      </c>
      <c r="D8868" s="13">
        <v>0</v>
      </c>
      <c r="E8868" s="12">
        <v>0</v>
      </c>
      <c r="F8868" s="14">
        <v>0</v>
      </c>
      <c r="G8868" s="13">
        <v>171837471.3519</v>
      </c>
      <c r="H8868" s="14">
        <v>131472333818.92464</v>
      </c>
      <c r="I8868" s="14" t="e">
        <f>=Round(1179264.64830000,0)</f>
        <v>#VALUE!</v>
      </c>
      <c r="J8868" s="14" t="e">
        <f>=Round(0.00000000,0)</f>
        <v>#VALUE!</v>
      </c>
    </row>
    <row r="8869">
      <c r="A8869" s="11" t="s">
        <v>40</v>
      </c>
      <c r="B8869" s="12">
        <v>767.262</v>
      </c>
      <c r="C8869" s="12">
        <v>0</v>
      </c>
      <c r="D8869" s="13">
        <v>0</v>
      </c>
      <c r="E8869" s="12">
        <v>0</v>
      </c>
      <c r="F8869" s="14">
        <v>0</v>
      </c>
      <c r="G8869" s="13">
        <v>171837471.3519</v>
      </c>
      <c r="H8869" s="14">
        <v>131844361944.40151</v>
      </c>
      <c r="I8869" s="14" t="e">
        <f>=Round(1185406.28850000,0)</f>
        <v>#VALUE!</v>
      </c>
      <c r="J8869" s="14" t="e">
        <f>=Round(0.00000000,0)</f>
        <v>#VALUE!</v>
      </c>
    </row>
    <row r="8870">
      <c r="A8870" s="11" t="s">
        <v>41</v>
      </c>
      <c r="B8870" s="12">
        <v>766.03</v>
      </c>
      <c r="C8870" s="12">
        <v>0</v>
      </c>
      <c r="D8870" s="13">
        <v>0</v>
      </c>
      <c r="E8870" s="12">
        <v>0</v>
      </c>
      <c r="F8870" s="14">
        <v>0</v>
      </c>
      <c r="G8870" s="13">
        <v>171837471.3519</v>
      </c>
      <c r="H8870" s="14">
        <v>131632658179.69595</v>
      </c>
      <c r="I8870" s="14" t="e">
        <f>=Round(1188760.64050000,0)</f>
        <v>#VALUE!</v>
      </c>
      <c r="J8870" s="14" t="e">
        <f>=Round(0.00000000,0)</f>
        <v>#VALUE!</v>
      </c>
    </row>
    <row r="8871">
      <c r="A8871" s="11" t="s">
        <v>42</v>
      </c>
      <c r="B8871" s="12">
        <v>766.03</v>
      </c>
      <c r="C8871" s="12">
        <v>0</v>
      </c>
      <c r="D8871" s="13">
        <v>0</v>
      </c>
      <c r="E8871" s="12">
        <v>0</v>
      </c>
      <c r="F8871" s="14">
        <v>0</v>
      </c>
      <c r="G8871" s="13">
        <v>171837471.3519</v>
      </c>
      <c r="H8871" s="14">
        <v>131632658179.69595</v>
      </c>
      <c r="I8871" s="14" t="e">
        <f>=Round(1186851.83600000,0)</f>
        <v>#VALUE!</v>
      </c>
      <c r="J8871" s="14" t="e">
        <f>=Round(0.00000000,0)</f>
        <v>#VALUE!</v>
      </c>
    </row>
    <row r="8872">
      <c r="A8872" s="11" t="s">
        <v>43</v>
      </c>
      <c r="B8872" s="12">
        <v>766.03</v>
      </c>
      <c r="C8872" s="12">
        <v>0</v>
      </c>
      <c r="D8872" s="13">
        <v>0</v>
      </c>
      <c r="E8872" s="12">
        <v>0</v>
      </c>
      <c r="F8872" s="14">
        <v>0</v>
      </c>
      <c r="G8872" s="13">
        <v>171837471.3519</v>
      </c>
      <c r="H8872" s="14">
        <v>131632658179.69595</v>
      </c>
      <c r="I8872" s="14" t="e">
        <f>=Round(1186851.83600000,0)</f>
        <v>#VALUE!</v>
      </c>
      <c r="J8872" s="14" t="e">
        <f>=Round(0.00000000,0)</f>
        <v>#VALUE!</v>
      </c>
    </row>
    <row r="8873">
      <c r="A8873" s="11" t="s">
        <v>44</v>
      </c>
      <c r="B8873" s="12">
        <v>765.808</v>
      </c>
      <c r="C8873" s="12">
        <v>0</v>
      </c>
      <c r="D8873" s="13">
        <v>0</v>
      </c>
      <c r="E8873" s="12">
        <v>0</v>
      </c>
      <c r="F8873" s="14">
        <v>0</v>
      </c>
      <c r="G8873" s="13">
        <v>171837471.3519</v>
      </c>
      <c r="H8873" s="14">
        <v>131594510261.05585</v>
      </c>
      <c r="I8873" s="14" t="e">
        <f>=Round(1186851.83600000,0)</f>
        <v>#VALUE!</v>
      </c>
      <c r="J8873" s="14" t="e">
        <f>=Round(0.00000000,0)</f>
        <v>#VALUE!</v>
      </c>
    </row>
    <row r="8874">
      <c r="A8874" s="11" t="s">
        <v>45</v>
      </c>
      <c r="B8874" s="12">
        <v>765.851</v>
      </c>
      <c r="C8874" s="12">
        <v>0</v>
      </c>
      <c r="D8874" s="13">
        <v>0</v>
      </c>
      <c r="E8874" s="12">
        <v>0</v>
      </c>
      <c r="F8874" s="14">
        <v>0</v>
      </c>
      <c r="G8874" s="13">
        <v>171837471.3519</v>
      </c>
      <c r="H8874" s="14">
        <v>131601899272.32398</v>
      </c>
      <c r="I8874" s="14" t="e">
        <f>=Round(1186507.87940000,0)</f>
        <v>#VALUE!</v>
      </c>
      <c r="J8874" s="14" t="e">
        <f>=Round(0.00000000,0)</f>
        <v>#VALUE!</v>
      </c>
    </row>
    <row r="8875">
      <c r="A8875" s="11" t="s">
        <v>46</v>
      </c>
      <c r="B8875" s="12">
        <v>766.777</v>
      </c>
      <c r="C8875" s="12">
        <v>0</v>
      </c>
      <c r="D8875" s="13">
        <v>0</v>
      </c>
      <c r="E8875" s="12">
        <v>0</v>
      </c>
      <c r="F8875" s="14">
        <v>0</v>
      </c>
      <c r="G8875" s="13">
        <v>171837471.3519</v>
      </c>
      <c r="H8875" s="14">
        <v>131761020770.79582</v>
      </c>
      <c r="I8875" s="14" t="e">
        <f>=Round(1186574.50160000,0)</f>
        <v>#VALUE!</v>
      </c>
      <c r="J8875" s="14" t="e">
        <f>=Round(0.00000000,0)</f>
        <v>#VALUE!</v>
      </c>
    </row>
    <row r="8876">
      <c r="A8876" s="11" t="s">
        <v>47</v>
      </c>
      <c r="B8876" s="12">
        <v>768.954</v>
      </c>
      <c r="C8876" s="12">
        <v>0</v>
      </c>
      <c r="D8876" s="13">
        <v>0</v>
      </c>
      <c r="E8876" s="12">
        <v>0</v>
      </c>
      <c r="F8876" s="14">
        <v>0</v>
      </c>
      <c r="G8876" s="13">
        <v>171837471.3519</v>
      </c>
      <c r="H8876" s="14">
        <v>132135110945.92891</v>
      </c>
      <c r="I8876" s="14" t="e">
        <f>=Round(1188009.20370000,0)</f>
        <v>#VALUE!</v>
      </c>
      <c r="J8876" s="14" t="e">
        <f>=Round(0.00000000,0)</f>
        <v>#VALUE!</v>
      </c>
    </row>
    <row r="8877">
      <c r="A8877" s="11" t="s">
        <v>48</v>
      </c>
      <c r="B8877" s="12">
        <v>769.296</v>
      </c>
      <c r="C8877" s="12">
        <v>0</v>
      </c>
      <c r="D8877" s="13">
        <v>0</v>
      </c>
      <c r="E8877" s="12">
        <v>0</v>
      </c>
      <c r="F8877" s="14">
        <v>0</v>
      </c>
      <c r="G8877" s="13">
        <v>171837471.3519</v>
      </c>
      <c r="H8877" s="14">
        <v>132193879361.13127</v>
      </c>
      <c r="I8877" s="14" t="e">
        <f>=Round(1191382.14790000,0)</f>
        <v>#VALUE!</v>
      </c>
      <c r="J8877" s="14" t="e">
        <f>=Round(0.00000000,0)</f>
        <v>#VALUE!</v>
      </c>
    </row>
    <row r="8878">
      <c r="A8878" s="11" t="s">
        <v>49</v>
      </c>
      <c r="B8878" s="12">
        <v>769.296</v>
      </c>
      <c r="C8878" s="12">
        <v>0</v>
      </c>
      <c r="D8878" s="13">
        <v>0</v>
      </c>
      <c r="E8878" s="12">
        <v>0</v>
      </c>
      <c r="F8878" s="14">
        <v>0</v>
      </c>
      <c r="G8878" s="13">
        <v>171837471.3519</v>
      </c>
      <c r="H8878" s="14">
        <v>132193879361.13127</v>
      </c>
      <c r="I8878" s="14" t="e">
        <f>=Round(1191912.02700000,0)</f>
        <v>#VALUE!</v>
      </c>
      <c r="J8878" s="14" t="e">
        <f>=Round(0.00000000,0)</f>
        <v>#VALUE!</v>
      </c>
    </row>
    <row r="8879">
      <c r="A8879" s="11" t="s">
        <v>50</v>
      </c>
      <c r="B8879" s="12">
        <v>769.296</v>
      </c>
      <c r="C8879" s="12">
        <v>0</v>
      </c>
      <c r="D8879" s="13">
        <v>0</v>
      </c>
      <c r="E8879" s="12">
        <v>0</v>
      </c>
      <c r="F8879" s="14">
        <v>0</v>
      </c>
      <c r="G8879" s="13">
        <v>171837471.3519</v>
      </c>
      <c r="H8879" s="14">
        <v>132193879361.13127</v>
      </c>
      <c r="I8879" s="14" t="e">
        <f>=Round(1191912.02700000,0)</f>
        <v>#VALUE!</v>
      </c>
      <c r="J8879" s="14" t="e">
        <f>=Round(0.00000000,0)</f>
        <v>#VALUE!</v>
      </c>
    </row>
    <row r="8880">
      <c r="A8880" s="11" t="s">
        <v>51</v>
      </c>
      <c r="B8880" s="12">
        <v>767.373</v>
      </c>
      <c r="C8880" s="12">
        <v>0</v>
      </c>
      <c r="D8880" s="13">
        <v>0</v>
      </c>
      <c r="E8880" s="12">
        <v>0</v>
      </c>
      <c r="F8880" s="14">
        <v>0</v>
      </c>
      <c r="G8880" s="13">
        <v>171837471.3519</v>
      </c>
      <c r="H8880" s="14">
        <v>131863435903.72156</v>
      </c>
      <c r="I8880" s="14" t="e">
        <f>=Round(1191912.02700000,0)</f>
        <v>#VALUE!</v>
      </c>
      <c r="J8880" s="14" t="e">
        <f>=Round(0.00000000,0)</f>
        <v>#VALUE!</v>
      </c>
    </row>
    <row r="8881">
      <c r="A8881" s="11" t="s">
        <v>52</v>
      </c>
      <c r="B8881" s="12">
        <v>767.155</v>
      </c>
      <c r="C8881" s="12">
        <v>0</v>
      </c>
      <c r="D8881" s="13">
        <v>0</v>
      </c>
      <c r="E8881" s="12">
        <v>0</v>
      </c>
      <c r="F8881" s="14">
        <v>0</v>
      </c>
      <c r="G8881" s="13">
        <v>171837471.3519</v>
      </c>
      <c r="H8881" s="14">
        <v>131825975334.96684</v>
      </c>
      <c r="I8881" s="14" t="e">
        <f>=Round(1188932.61880000,0)</f>
        <v>#VALUE!</v>
      </c>
      <c r="J8881" s="14" t="e">
        <f>=Round(0.00000000,0)</f>
        <v>#VALUE!</v>
      </c>
    </row>
    <row r="8882">
      <c r="A8882" s="11" t="s">
        <v>53</v>
      </c>
      <c r="B8882" s="12">
        <v>766.622</v>
      </c>
      <c r="C8882" s="12">
        <v>0</v>
      </c>
      <c r="D8882" s="13">
        <v>0</v>
      </c>
      <c r="E8882" s="12">
        <v>0</v>
      </c>
      <c r="F8882" s="14">
        <v>0</v>
      </c>
      <c r="G8882" s="13">
        <v>171837471.3519</v>
      </c>
      <c r="H8882" s="14">
        <v>131734385962.73628</v>
      </c>
      <c r="I8882" s="14" t="e">
        <f>=Round(1188594.85960000,0)</f>
        <v>#VALUE!</v>
      </c>
      <c r="J8882" s="14" t="e">
        <f>=Round(0.00000000,0)</f>
        <v>#VALUE!</v>
      </c>
    </row>
    <row r="8883">
      <c r="A8883" s="11" t="s">
        <v>54</v>
      </c>
      <c r="B8883" s="12">
        <v>764.441</v>
      </c>
      <c r="C8883" s="12">
        <v>0</v>
      </c>
      <c r="D8883" s="13">
        <v>0</v>
      </c>
      <c r="E8883" s="12">
        <v>0</v>
      </c>
      <c r="F8883" s="14">
        <v>0</v>
      </c>
      <c r="G8883" s="13">
        <v>171837471.3519</v>
      </c>
      <c r="H8883" s="14">
        <v>131359608437.71779</v>
      </c>
      <c r="I8883" s="14" t="e">
        <f>=Round(1187769.05380000,0)</f>
        <v>#VALUE!</v>
      </c>
      <c r="J8883" s="14" t="e">
        <f>=Round(0.00000000,0)</f>
        <v>#VALUE!</v>
      </c>
    </row>
    <row r="8884">
      <c r="A8884" s="11" t="s">
        <v>55</v>
      </c>
      <c r="B8884" s="12">
        <v>758.894</v>
      </c>
      <c r="C8884" s="12">
        <v>0</v>
      </c>
      <c r="D8884" s="13">
        <v>0</v>
      </c>
      <c r="E8884" s="12">
        <v>0</v>
      </c>
      <c r="F8884" s="14">
        <v>0</v>
      </c>
      <c r="G8884" s="13">
        <v>171837471.3519</v>
      </c>
      <c r="H8884" s="14">
        <v>130406425984.1288</v>
      </c>
      <c r="I8884" s="14" t="e">
        <f>=Round(1184389.91210000,0)</f>
        <v>#VALUE!</v>
      </c>
      <c r="J8884" s="14" t="e">
        <f>=Round(0.00000000,0)</f>
        <v>#VALUE!</v>
      </c>
    </row>
    <row r="8885" ht="-1">
      <c r="A8885" s="15"/>
      <c r="B8885" s="16" t="s">
        <v>56</v>
      </c>
      <c r="C8885" s="15"/>
      <c r="D8885" s="15"/>
      <c r="E8885" s="15"/>
      <c r="F8885" s="15"/>
      <c r="G8885" s="15"/>
      <c r="H8885" s="15"/>
      <c r="I8885" s="17" t="e">
        <f>=Round(SUM(I8859:I8884),0)</f>
        <v>#VALUE!</v>
      </c>
      <c r="J8885" s="17" t="e">
        <f>=Round(SUM(J8859:J8884),0)</f>
        <v>#VALUE!</v>
      </c>
    </row>
    <row r="8886">
      <c r="A8886" s="1" t="s">
        <v>0</v>
      </c>
      <c r="B8886" s="1"/>
      <c r="C8886" s="1"/>
      <c r="D8886" s="1"/>
    </row>
    <row r="8887">
      <c r="A8887" s="0" t="s">
        <v>1</v>
      </c>
      <c r="C8887" s="0" t="s">
        <v>305</v>
      </c>
      <c r="H8887" s="2" t="s">
        <v>3</v>
      </c>
    </row>
    <row r="8888">
      <c r="A8888" s="0" t="s">
        <v>4</v>
      </c>
      <c r="C8888" s="0" t="s">
        <v>109</v>
      </c>
      <c r="H8888" s="3" t="s">
        <v>6</v>
      </c>
    </row>
    <row r="8889">
      <c r="A8889" s="0" t="s">
        <v>7</v>
      </c>
      <c r="C8889" s="4" t="s">
        <v>185</v>
      </c>
      <c r="H8889" s="2" t="s">
        <v>9</v>
      </c>
    </row>
    <row r="8890">
      <c r="A8890" s="0" t="s">
        <v>10</v>
      </c>
      <c r="C8890" s="4" t="s">
        <v>11</v>
      </c>
      <c r="H8890" s="2" t="s">
        <v>12</v>
      </c>
    </row>
    <row r="8891">
      <c r="A8891" s="0" t="s">
        <v>13</v>
      </c>
      <c r="C8891" s="0" t="s">
        <v>14</v>
      </c>
    </row>
    <row r="8892">
      <c r="A8892" s="0" t="s">
        <v>15</v>
      </c>
      <c r="C8892" s="0" t="s">
        <v>16</v>
      </c>
    </row>
    <row r="8893">
      <c r="A8893" s="0" t="s">
        <v>17</v>
      </c>
      <c r="C8893" s="0" t="s">
        <v>18</v>
      </c>
    </row>
    <row r="8896">
      <c r="A8896" s="5" t="s">
        <v>19</v>
      </c>
      <c r="B8896" s="5" t="s">
        <v>20</v>
      </c>
      <c r="C8896" s="7" t="s">
        <v>21</v>
      </c>
      <c r="D8896" s="9"/>
      <c r="E8896" s="7" t="s">
        <v>22</v>
      </c>
      <c r="F8896" s="9"/>
      <c r="G8896" s="5" t="s">
        <v>23</v>
      </c>
      <c r="H8896" s="5" t="s">
        <v>24</v>
      </c>
      <c r="I8896" s="5" t="s">
        <v>186</v>
      </c>
      <c r="J8896" s="5" t="s">
        <v>26</v>
      </c>
    </row>
    <row r="8897">
      <c r="A8897" s="6"/>
      <c r="B8897" s="6"/>
      <c r="C8897" s="8" t="s">
        <v>27</v>
      </c>
      <c r="D8897" s="8" t="s">
        <v>28</v>
      </c>
      <c r="E8897" s="8" t="s">
        <v>27</v>
      </c>
      <c r="F8897" s="8" t="s">
        <v>28</v>
      </c>
      <c r="G8897" s="6"/>
      <c r="H8897" s="6"/>
      <c r="I8897" s="10" t="s">
        <v>29</v>
      </c>
      <c r="J8897" s="6"/>
    </row>
    <row r="8898">
      <c r="A8898" s="11" t="s">
        <v>30</v>
      </c>
      <c r="B8898" s="12">
        <v>1022.558</v>
      </c>
      <c r="C8898" s="12">
        <v>0</v>
      </c>
      <c r="D8898" s="13">
        <v>0</v>
      </c>
      <c r="E8898" s="12">
        <v>0</v>
      </c>
      <c r="F8898" s="14">
        <v>0</v>
      </c>
      <c r="G8898" s="13">
        <v>93252164.7992</v>
      </c>
      <c r="H8898" s="14">
        <v>95355747132.740356</v>
      </c>
      <c r="I8898" s="14" t="e">
        <f>=Round(501565.69170000,0)</f>
        <v>#VALUE!</v>
      </c>
      <c r="J8898" s="14" t="e">
        <f>=Round(0.00000000,0)</f>
        <v>#VALUE!</v>
      </c>
    </row>
    <row r="8899">
      <c r="A8899" s="11" t="s">
        <v>31</v>
      </c>
      <c r="B8899" s="12">
        <v>1024.2799</v>
      </c>
      <c r="C8899" s="12">
        <v>0</v>
      </c>
      <c r="D8899" s="13">
        <v>0</v>
      </c>
      <c r="E8899" s="12">
        <v>0</v>
      </c>
      <c r="F8899" s="14">
        <v>0</v>
      </c>
      <c r="G8899" s="13">
        <v>93252164.7992</v>
      </c>
      <c r="H8899" s="14">
        <v>95516318035.30809</v>
      </c>
      <c r="I8899" s="14" t="e">
        <f>=Round(501529.54430000,0)</f>
        <v>#VALUE!</v>
      </c>
      <c r="J8899" s="14" t="e">
        <f>=Round(0.00000000,0)</f>
        <v>#VALUE!</v>
      </c>
    </row>
    <row r="8900">
      <c r="A8900" s="11" t="s">
        <v>32</v>
      </c>
      <c r="B8900" s="12">
        <v>1023.9481</v>
      </c>
      <c r="C8900" s="12">
        <v>0</v>
      </c>
      <c r="D8900" s="13">
        <v>0</v>
      </c>
      <c r="E8900" s="12">
        <v>0</v>
      </c>
      <c r="F8900" s="14">
        <v>0</v>
      </c>
      <c r="G8900" s="13">
        <v>93252164.7992</v>
      </c>
      <c r="H8900" s="14">
        <v>95485376967.027725</v>
      </c>
      <c r="I8900" s="14" t="e">
        <f>=Round(502374.07710000,0)</f>
        <v>#VALUE!</v>
      </c>
      <c r="J8900" s="14" t="e">
        <f>=Round(0.00000000,0)</f>
        <v>#VALUE!</v>
      </c>
    </row>
    <row r="8901">
      <c r="A8901" s="11" t="s">
        <v>33</v>
      </c>
      <c r="B8901" s="12">
        <v>1024.8922</v>
      </c>
      <c r="C8901" s="12">
        <v>0</v>
      </c>
      <c r="D8901" s="13">
        <v>0</v>
      </c>
      <c r="E8901" s="12">
        <v>0</v>
      </c>
      <c r="F8901" s="14">
        <v>0</v>
      </c>
      <c r="G8901" s="13">
        <v>93252164.7992</v>
      </c>
      <c r="H8901" s="14">
        <v>95573416335.814636</v>
      </c>
      <c r="I8901" s="14" t="e">
        <f>=Round(502211.34060000,0)</f>
        <v>#VALUE!</v>
      </c>
      <c r="J8901" s="14" t="e">
        <f>=Round(0.00000000,0)</f>
        <v>#VALUE!</v>
      </c>
    </row>
    <row r="8902">
      <c r="A8902" s="11" t="s">
        <v>34</v>
      </c>
      <c r="B8902" s="12">
        <v>1025.0183</v>
      </c>
      <c r="C8902" s="12">
        <v>0</v>
      </c>
      <c r="D8902" s="13">
        <v>0</v>
      </c>
      <c r="E8902" s="12">
        <v>0</v>
      </c>
      <c r="F8902" s="14">
        <v>0</v>
      </c>
      <c r="G8902" s="13">
        <v>93252164.7992</v>
      </c>
      <c r="H8902" s="14">
        <v>95585175433.795822</v>
      </c>
      <c r="I8902" s="14" t="e">
        <f>=Round(502674.38920000,0)</f>
        <v>#VALUE!</v>
      </c>
      <c r="J8902" s="14" t="e">
        <f>=Round(0.00000000,0)</f>
        <v>#VALUE!</v>
      </c>
    </row>
    <row r="8903">
      <c r="A8903" s="11" t="s">
        <v>35</v>
      </c>
      <c r="B8903" s="12">
        <v>1025.0183</v>
      </c>
      <c r="C8903" s="12">
        <v>0</v>
      </c>
      <c r="D8903" s="13">
        <v>0</v>
      </c>
      <c r="E8903" s="12">
        <v>0</v>
      </c>
      <c r="F8903" s="14">
        <v>0</v>
      </c>
      <c r="G8903" s="13">
        <v>93252164.7992</v>
      </c>
      <c r="H8903" s="14">
        <v>95585175433.795822</v>
      </c>
      <c r="I8903" s="14" t="e">
        <f>=Round(502736.23690000,0)</f>
        <v>#VALUE!</v>
      </c>
      <c r="J8903" s="14" t="e">
        <f>=Round(0.00000000,0)</f>
        <v>#VALUE!</v>
      </c>
    </row>
    <row r="8904">
      <c r="A8904" s="11" t="s">
        <v>36</v>
      </c>
      <c r="B8904" s="12">
        <v>1025.0183</v>
      </c>
      <c r="C8904" s="12">
        <v>0</v>
      </c>
      <c r="D8904" s="13">
        <v>0</v>
      </c>
      <c r="E8904" s="12">
        <v>0</v>
      </c>
      <c r="F8904" s="14">
        <v>0</v>
      </c>
      <c r="G8904" s="13">
        <v>93252164.7992</v>
      </c>
      <c r="H8904" s="14">
        <v>95585175433.795822</v>
      </c>
      <c r="I8904" s="14" t="e">
        <f>=Round(502736.23690000,0)</f>
        <v>#VALUE!</v>
      </c>
      <c r="J8904" s="14" t="e">
        <f>=Round(0.00000000,0)</f>
        <v>#VALUE!</v>
      </c>
    </row>
    <row r="8905">
      <c r="A8905" s="11" t="s">
        <v>37</v>
      </c>
      <c r="B8905" s="12">
        <v>1025.8475</v>
      </c>
      <c r="C8905" s="12">
        <v>0</v>
      </c>
      <c r="D8905" s="13">
        <v>0</v>
      </c>
      <c r="E8905" s="12">
        <v>0</v>
      </c>
      <c r="F8905" s="14">
        <v>0</v>
      </c>
      <c r="G8905" s="13">
        <v>93252164.7992</v>
      </c>
      <c r="H8905" s="14">
        <v>95662500128.847321</v>
      </c>
      <c r="I8905" s="14" t="e">
        <f>=Round(502736.23690000,0)</f>
        <v>#VALUE!</v>
      </c>
      <c r="J8905" s="14" t="e">
        <f>=Round(0.00000000,0)</f>
        <v>#VALUE!</v>
      </c>
    </row>
    <row r="8906">
      <c r="A8906" s="11" t="s">
        <v>38</v>
      </c>
      <c r="B8906" s="12">
        <v>1026.0359</v>
      </c>
      <c r="C8906" s="12">
        <v>0</v>
      </c>
      <c r="D8906" s="13">
        <v>0</v>
      </c>
      <c r="E8906" s="12">
        <v>0</v>
      </c>
      <c r="F8906" s="14">
        <v>0</v>
      </c>
      <c r="G8906" s="13">
        <v>93252164.7992</v>
      </c>
      <c r="H8906" s="14">
        <v>95680068836.6955</v>
      </c>
      <c r="I8906" s="14" t="e">
        <f>=Round(503142.93100000,0)</f>
        <v>#VALUE!</v>
      </c>
      <c r="J8906" s="14" t="e">
        <f>=Round(0.00000000,0)</f>
        <v>#VALUE!</v>
      </c>
    </row>
    <row r="8907">
      <c r="A8907" s="11" t="s">
        <v>39</v>
      </c>
      <c r="B8907" s="12">
        <v>1029.033</v>
      </c>
      <c r="C8907" s="12">
        <v>0</v>
      </c>
      <c r="D8907" s="13">
        <v>0</v>
      </c>
      <c r="E8907" s="12">
        <v>0</v>
      </c>
      <c r="F8907" s="14">
        <v>0</v>
      </c>
      <c r="G8907" s="13">
        <v>93252164.7992</v>
      </c>
      <c r="H8907" s="14">
        <v>95959554899.81517</v>
      </c>
      <c r="I8907" s="14" t="e">
        <f>=Round(503235.33470000,0)</f>
        <v>#VALUE!</v>
      </c>
      <c r="J8907" s="14" t="e">
        <f>=Round(0.00000000,0)</f>
        <v>#VALUE!</v>
      </c>
    </row>
    <row r="8908">
      <c r="A8908" s="11" t="s">
        <v>40</v>
      </c>
      <c r="B8908" s="12">
        <v>1030.1503</v>
      </c>
      <c r="C8908" s="12">
        <v>0</v>
      </c>
      <c r="D8908" s="13">
        <v>0</v>
      </c>
      <c r="E8908" s="12">
        <v>0</v>
      </c>
      <c r="F8908" s="14">
        <v>0</v>
      </c>
      <c r="G8908" s="13">
        <v>93252164.7992</v>
      </c>
      <c r="H8908" s="14">
        <v>96063745543.545319</v>
      </c>
      <c r="I8908" s="14" t="e">
        <f>=Round(504705.30920000,0)</f>
        <v>#VALUE!</v>
      </c>
      <c r="J8908" s="14" t="e">
        <f>=Round(0.00000000,0)</f>
        <v>#VALUE!</v>
      </c>
    </row>
    <row r="8909">
      <c r="A8909" s="11" t="s">
        <v>41</v>
      </c>
      <c r="B8909" s="12">
        <v>1030.0682</v>
      </c>
      <c r="C8909" s="12">
        <v>0</v>
      </c>
      <c r="D8909" s="13">
        <v>0</v>
      </c>
      <c r="E8909" s="12">
        <v>0</v>
      </c>
      <c r="F8909" s="14">
        <v>0</v>
      </c>
      <c r="G8909" s="13">
        <v>93252164.7992</v>
      </c>
      <c r="H8909" s="14">
        <v>96056089540.8153</v>
      </c>
      <c r="I8909" s="14" t="e">
        <f>=Round(505253.30650000,0)</f>
        <v>#VALUE!</v>
      </c>
      <c r="J8909" s="14" t="e">
        <f>=Round(0.00000000,0)</f>
        <v>#VALUE!</v>
      </c>
    </row>
    <row r="8910">
      <c r="A8910" s="11" t="s">
        <v>42</v>
      </c>
      <c r="B8910" s="12">
        <v>1030.0682</v>
      </c>
      <c r="C8910" s="12">
        <v>0</v>
      </c>
      <c r="D8910" s="13">
        <v>0</v>
      </c>
      <c r="E8910" s="12">
        <v>0</v>
      </c>
      <c r="F8910" s="14">
        <v>0</v>
      </c>
      <c r="G8910" s="13">
        <v>93252164.7992</v>
      </c>
      <c r="H8910" s="14">
        <v>96056089540.8153</v>
      </c>
      <c r="I8910" s="14" t="e">
        <f>=Round(505213.03930000,0)</f>
        <v>#VALUE!</v>
      </c>
      <c r="J8910" s="14" t="e">
        <f>=Round(0.00000000,0)</f>
        <v>#VALUE!</v>
      </c>
    </row>
    <row r="8911">
      <c r="A8911" s="11" t="s">
        <v>43</v>
      </c>
      <c r="B8911" s="12">
        <v>1030.0682</v>
      </c>
      <c r="C8911" s="12">
        <v>0</v>
      </c>
      <c r="D8911" s="13">
        <v>0</v>
      </c>
      <c r="E8911" s="12">
        <v>0</v>
      </c>
      <c r="F8911" s="14">
        <v>0</v>
      </c>
      <c r="G8911" s="13">
        <v>93252164.7992</v>
      </c>
      <c r="H8911" s="14">
        <v>96056089540.8153</v>
      </c>
      <c r="I8911" s="14" t="e">
        <f>=Round(505213.03930000,0)</f>
        <v>#VALUE!</v>
      </c>
      <c r="J8911" s="14" t="e">
        <f>=Round(0.00000000,0)</f>
        <v>#VALUE!</v>
      </c>
    </row>
    <row r="8912">
      <c r="A8912" s="11" t="s">
        <v>44</v>
      </c>
      <c r="B8912" s="12">
        <v>1030.8818</v>
      </c>
      <c r="C8912" s="12">
        <v>0</v>
      </c>
      <c r="D8912" s="13">
        <v>0</v>
      </c>
      <c r="E8912" s="12">
        <v>0</v>
      </c>
      <c r="F8912" s="14">
        <v>0</v>
      </c>
      <c r="G8912" s="13">
        <v>93252164.7992</v>
      </c>
      <c r="H8912" s="14">
        <v>96131959502.095932</v>
      </c>
      <c r="I8912" s="14" t="e">
        <f>=Round(505213.03930000,0)</f>
        <v>#VALUE!</v>
      </c>
      <c r="J8912" s="14" t="e">
        <f>=Round(0.00000000,0)</f>
        <v>#VALUE!</v>
      </c>
    </row>
    <row r="8913">
      <c r="A8913" s="11" t="s">
        <v>45</v>
      </c>
      <c r="B8913" s="12">
        <v>1030.942</v>
      </c>
      <c r="C8913" s="12">
        <v>0</v>
      </c>
      <c r="D8913" s="13">
        <v>0</v>
      </c>
      <c r="E8913" s="12">
        <v>0</v>
      </c>
      <c r="F8913" s="14">
        <v>0</v>
      </c>
      <c r="G8913" s="13">
        <v>93252164.7992</v>
      </c>
      <c r="H8913" s="14">
        <v>96137573282.416855</v>
      </c>
      <c r="I8913" s="14" t="e">
        <f>=Round(505612.08210000,0)</f>
        <v>#VALUE!</v>
      </c>
      <c r="J8913" s="14" t="e">
        <f>=Round(0.00000000,0)</f>
        <v>#VALUE!</v>
      </c>
    </row>
    <row r="8914">
      <c r="A8914" s="11" t="s">
        <v>46</v>
      </c>
      <c r="B8914" s="12">
        <v>1031.3543</v>
      </c>
      <c r="C8914" s="12">
        <v>0</v>
      </c>
      <c r="D8914" s="13">
        <v>0</v>
      </c>
      <c r="E8914" s="12">
        <v>0</v>
      </c>
      <c r="F8914" s="14">
        <v>0</v>
      </c>
      <c r="G8914" s="13">
        <v>93252164.7992</v>
      </c>
      <c r="H8914" s="14">
        <v>96176021149.963547</v>
      </c>
      <c r="I8914" s="14" t="e">
        <f>=Round(505641.60810000,0)</f>
        <v>#VALUE!</v>
      </c>
      <c r="J8914" s="14" t="e">
        <f>=Round(0.00000000,0)</f>
        <v>#VALUE!</v>
      </c>
    </row>
    <row r="8915">
      <c r="A8915" s="11" t="s">
        <v>47</v>
      </c>
      <c r="B8915" s="12">
        <v>1032.7227</v>
      </c>
      <c r="C8915" s="12">
        <v>0</v>
      </c>
      <c r="D8915" s="13">
        <v>0</v>
      </c>
      <c r="E8915" s="12">
        <v>0</v>
      </c>
      <c r="F8915" s="14">
        <v>0</v>
      </c>
      <c r="G8915" s="13">
        <v>93252164.7992</v>
      </c>
      <c r="H8915" s="14">
        <v>96303627412.27478</v>
      </c>
      <c r="I8915" s="14" t="e">
        <f>=Round(505843.82710000,0)</f>
        <v>#VALUE!</v>
      </c>
      <c r="J8915" s="14" t="e">
        <f>=Round(0.00000000,0)</f>
        <v>#VALUE!</v>
      </c>
    </row>
    <row r="8916">
      <c r="A8916" s="11" t="s">
        <v>48</v>
      </c>
      <c r="B8916" s="12">
        <v>1033.2995</v>
      </c>
      <c r="C8916" s="12">
        <v>0</v>
      </c>
      <c r="D8916" s="13">
        <v>0</v>
      </c>
      <c r="E8916" s="12">
        <v>0</v>
      </c>
      <c r="F8916" s="14">
        <v>0</v>
      </c>
      <c r="G8916" s="13">
        <v>93252164.7992</v>
      </c>
      <c r="H8916" s="14">
        <v>96357415260.930954</v>
      </c>
      <c r="I8916" s="14" t="e">
        <f>=Round(506514.98020000,0)</f>
        <v>#VALUE!</v>
      </c>
      <c r="J8916" s="14" t="e">
        <f>=Round(0.00000000,0)</f>
        <v>#VALUE!</v>
      </c>
    </row>
    <row r="8917">
      <c r="A8917" s="11" t="s">
        <v>49</v>
      </c>
      <c r="B8917" s="12">
        <v>1033.2995</v>
      </c>
      <c r="C8917" s="12">
        <v>0</v>
      </c>
      <c r="D8917" s="13">
        <v>0</v>
      </c>
      <c r="E8917" s="12">
        <v>0</v>
      </c>
      <c r="F8917" s="14">
        <v>0</v>
      </c>
      <c r="G8917" s="13">
        <v>93252164.7992</v>
      </c>
      <c r="H8917" s="14">
        <v>96357415260.930954</v>
      </c>
      <c r="I8917" s="14" t="e">
        <f>=Round(506797.88080000,0)</f>
        <v>#VALUE!</v>
      </c>
      <c r="J8917" s="14" t="e">
        <f>=Round(0.00000000,0)</f>
        <v>#VALUE!</v>
      </c>
    </row>
    <row r="8918">
      <c r="A8918" s="11" t="s">
        <v>50</v>
      </c>
      <c r="B8918" s="12">
        <v>1033.2995</v>
      </c>
      <c r="C8918" s="12">
        <v>0</v>
      </c>
      <c r="D8918" s="13">
        <v>0</v>
      </c>
      <c r="E8918" s="12">
        <v>0</v>
      </c>
      <c r="F8918" s="14">
        <v>0</v>
      </c>
      <c r="G8918" s="13">
        <v>93252164.7992</v>
      </c>
      <c r="H8918" s="14">
        <v>96357415260.930954</v>
      </c>
      <c r="I8918" s="14" t="e">
        <f>=Round(506797.88080000,0)</f>
        <v>#VALUE!</v>
      </c>
      <c r="J8918" s="14" t="e">
        <f>=Round(0.00000000,0)</f>
        <v>#VALUE!</v>
      </c>
    </row>
    <row r="8919">
      <c r="A8919" s="11" t="s">
        <v>51</v>
      </c>
      <c r="B8919" s="12">
        <v>1032.8321</v>
      </c>
      <c r="C8919" s="12">
        <v>0</v>
      </c>
      <c r="D8919" s="13">
        <v>0</v>
      </c>
      <c r="E8919" s="12">
        <v>0</v>
      </c>
      <c r="F8919" s="14">
        <v>0</v>
      </c>
      <c r="G8919" s="13">
        <v>93252164.7992</v>
      </c>
      <c r="H8919" s="14">
        <v>96313829199.1038</v>
      </c>
      <c r="I8919" s="14" t="e">
        <f>=Round(506797.88080000,0)</f>
        <v>#VALUE!</v>
      </c>
      <c r="J8919" s="14" t="e">
        <f>=Round(0.00000000,0)</f>
        <v>#VALUE!</v>
      </c>
    </row>
    <row r="8920">
      <c r="A8920" s="11" t="s">
        <v>52</v>
      </c>
      <c r="B8920" s="12">
        <v>1032.5729</v>
      </c>
      <c r="C8920" s="12">
        <v>0</v>
      </c>
      <c r="D8920" s="13">
        <v>0</v>
      </c>
      <c r="E8920" s="12">
        <v>0</v>
      </c>
      <c r="F8920" s="14">
        <v>0</v>
      </c>
      <c r="G8920" s="13">
        <v>93252164.7992</v>
      </c>
      <c r="H8920" s="14">
        <v>96289658237.987854</v>
      </c>
      <c r="I8920" s="14" t="e">
        <f>=Round(506568.63720000,0)</f>
        <v>#VALUE!</v>
      </c>
      <c r="J8920" s="14" t="e">
        <f>=Round(0.00000000,0)</f>
        <v>#VALUE!</v>
      </c>
    </row>
    <row r="8921">
      <c r="A8921" s="11" t="s">
        <v>53</v>
      </c>
      <c r="B8921" s="12">
        <v>1032.8188</v>
      </c>
      <c r="C8921" s="12">
        <v>0</v>
      </c>
      <c r="D8921" s="13">
        <v>0</v>
      </c>
      <c r="E8921" s="12">
        <v>0</v>
      </c>
      <c r="F8921" s="14">
        <v>0</v>
      </c>
      <c r="G8921" s="13">
        <v>93252164.7992</v>
      </c>
      <c r="H8921" s="14">
        <v>96312588945.311981</v>
      </c>
      <c r="I8921" s="14" t="e">
        <f>=Round(506441.50850000,0)</f>
        <v>#VALUE!</v>
      </c>
      <c r="J8921" s="14" t="e">
        <f>=Round(0.00000000,0)</f>
        <v>#VALUE!</v>
      </c>
    </row>
    <row r="8922">
      <c r="A8922" s="11" t="s">
        <v>54</v>
      </c>
      <c r="B8922" s="12">
        <v>1032.151</v>
      </c>
      <c r="C8922" s="12">
        <v>0</v>
      </c>
      <c r="D8922" s="13">
        <v>0</v>
      </c>
      <c r="E8922" s="12">
        <v>0</v>
      </c>
      <c r="F8922" s="14">
        <v>0</v>
      </c>
      <c r="G8922" s="13">
        <v>93252164.7992</v>
      </c>
      <c r="H8922" s="14">
        <v>96250315149.659073</v>
      </c>
      <c r="I8922" s="14" t="e">
        <f>=Round(506562.11400000,0)</f>
        <v>#VALUE!</v>
      </c>
      <c r="J8922" s="14" t="e">
        <f>=Round(0.00000000,0)</f>
        <v>#VALUE!</v>
      </c>
    </row>
    <row r="8923">
      <c r="A8923" s="11" t="s">
        <v>55</v>
      </c>
      <c r="B8923" s="12">
        <v>1029.8386</v>
      </c>
      <c r="C8923" s="12">
        <v>0</v>
      </c>
      <c r="D8923" s="13">
        <v>0</v>
      </c>
      <c r="E8923" s="12">
        <v>0</v>
      </c>
      <c r="F8923" s="14">
        <v>0</v>
      </c>
      <c r="G8923" s="13">
        <v>93252164.7992</v>
      </c>
      <c r="H8923" s="14">
        <v>96034678843.7774</v>
      </c>
      <c r="I8923" s="14" t="e">
        <f>=Round(506234.58100000,0)</f>
        <v>#VALUE!</v>
      </c>
      <c r="J8923" s="14" t="e">
        <f>=Round(0.00000000,0)</f>
        <v>#VALUE!</v>
      </c>
    </row>
    <row r="8924" ht="-1">
      <c r="A8924" s="15"/>
      <c r="B8924" s="16" t="s">
        <v>56</v>
      </c>
      <c r="C8924" s="15"/>
      <c r="D8924" s="15"/>
      <c r="E8924" s="15"/>
      <c r="F8924" s="15"/>
      <c r="G8924" s="15"/>
      <c r="H8924" s="15"/>
      <c r="I8924" s="17" t="e">
        <f>=Round(SUM(I8898:I8923),0)</f>
        <v>#VALUE!</v>
      </c>
      <c r="J8924" s="17" t="e">
        <f>=Round(SUM(J8898:J8923),0)</f>
        <v>#VALUE!</v>
      </c>
    </row>
    <row r="8925">
      <c r="A8925" s="1" t="s">
        <v>0</v>
      </c>
      <c r="B8925" s="1"/>
      <c r="C8925" s="1"/>
      <c r="D8925" s="1"/>
    </row>
    <row r="8926">
      <c r="A8926" s="0" t="s">
        <v>1</v>
      </c>
      <c r="C8926" s="0" t="s">
        <v>306</v>
      </c>
      <c r="H8926" s="2" t="s">
        <v>3</v>
      </c>
    </row>
    <row r="8927">
      <c r="A8927" s="0" t="s">
        <v>4</v>
      </c>
      <c r="C8927" s="0" t="s">
        <v>307</v>
      </c>
      <c r="H8927" s="3" t="s">
        <v>6</v>
      </c>
    </row>
    <row r="8928">
      <c r="A8928" s="0" t="s">
        <v>7</v>
      </c>
      <c r="C8928" s="4" t="s">
        <v>185</v>
      </c>
      <c r="H8928" s="2" t="s">
        <v>9</v>
      </c>
    </row>
    <row r="8929">
      <c r="A8929" s="0" t="s">
        <v>10</v>
      </c>
      <c r="C8929" s="4" t="s">
        <v>11</v>
      </c>
      <c r="H8929" s="2" t="s">
        <v>12</v>
      </c>
    </row>
    <row r="8930">
      <c r="A8930" s="0" t="s">
        <v>13</v>
      </c>
      <c r="C8930" s="0" t="s">
        <v>14</v>
      </c>
    </row>
    <row r="8931">
      <c r="A8931" s="0" t="s">
        <v>15</v>
      </c>
      <c r="C8931" s="0" t="s">
        <v>16</v>
      </c>
    </row>
    <row r="8932">
      <c r="A8932" s="0" t="s">
        <v>17</v>
      </c>
      <c r="C8932" s="0" t="s">
        <v>18</v>
      </c>
    </row>
    <row r="8935">
      <c r="A8935" s="5" t="s">
        <v>19</v>
      </c>
      <c r="B8935" s="5" t="s">
        <v>20</v>
      </c>
      <c r="C8935" s="7" t="s">
        <v>21</v>
      </c>
      <c r="D8935" s="9"/>
      <c r="E8935" s="7" t="s">
        <v>22</v>
      </c>
      <c r="F8935" s="9"/>
      <c r="G8935" s="5" t="s">
        <v>23</v>
      </c>
      <c r="H8935" s="5" t="s">
        <v>24</v>
      </c>
      <c r="I8935" s="5" t="s">
        <v>186</v>
      </c>
      <c r="J8935" s="5" t="s">
        <v>26</v>
      </c>
    </row>
    <row r="8936">
      <c r="A8936" s="6"/>
      <c r="B8936" s="6"/>
      <c r="C8936" s="8" t="s">
        <v>27</v>
      </c>
      <c r="D8936" s="8" t="s">
        <v>28</v>
      </c>
      <c r="E8936" s="8" t="s">
        <v>27</v>
      </c>
      <c r="F8936" s="8" t="s">
        <v>28</v>
      </c>
      <c r="G8936" s="6"/>
      <c r="H8936" s="6"/>
      <c r="I8936" s="10" t="s">
        <v>29</v>
      </c>
      <c r="J8936" s="6"/>
    </row>
    <row r="8937">
      <c r="A8937" s="11" t="s">
        <v>30</v>
      </c>
      <c r="B8937" s="12">
        <v>1009.7438</v>
      </c>
      <c r="C8937" s="12">
        <v>0</v>
      </c>
      <c r="D8937" s="13">
        <v>0</v>
      </c>
      <c r="E8937" s="12">
        <v>0</v>
      </c>
      <c r="F8937" s="14">
        <v>0</v>
      </c>
      <c r="G8937" s="13">
        <v>646369507.66350007</v>
      </c>
      <c r="H8937" s="14">
        <v>652667602872.27161</v>
      </c>
      <c r="I8937" s="14" t="e">
        <f>=Round(3431179.04660000,0)</f>
        <v>#VALUE!</v>
      </c>
      <c r="J8937" s="14" t="e">
        <f>=Round(0.00000000,0)</f>
        <v>#VALUE!</v>
      </c>
    </row>
    <row r="8938">
      <c r="A8938" s="11" t="s">
        <v>31</v>
      </c>
      <c r="B8938" s="12">
        <v>1008.3756</v>
      </c>
      <c r="C8938" s="12">
        <v>0</v>
      </c>
      <c r="D8938" s="13">
        <v>0</v>
      </c>
      <c r="E8938" s="12">
        <v>0</v>
      </c>
      <c r="F8938" s="14">
        <v>0</v>
      </c>
      <c r="G8938" s="13">
        <v>646369507.66350007</v>
      </c>
      <c r="H8938" s="14">
        <v>651783240111.88647</v>
      </c>
      <c r="I8938" s="14" t="e">
        <f>=Round(3432746.27190000,0)</f>
        <v>#VALUE!</v>
      </c>
      <c r="J8938" s="14" t="e">
        <f>=Round(0.00000000,0)</f>
        <v>#VALUE!</v>
      </c>
    </row>
    <row r="8939">
      <c r="A8939" s="11" t="s">
        <v>32</v>
      </c>
      <c r="B8939" s="12">
        <v>1008.529</v>
      </c>
      <c r="C8939" s="12">
        <v>0</v>
      </c>
      <c r="D8939" s="13">
        <v>0</v>
      </c>
      <c r="E8939" s="12">
        <v>0</v>
      </c>
      <c r="F8939" s="14">
        <v>0</v>
      </c>
      <c r="G8939" s="13">
        <v>646369507.66350007</v>
      </c>
      <c r="H8939" s="14">
        <v>651882393194.36194</v>
      </c>
      <c r="I8939" s="14" t="e">
        <f>=Round(3428094.91040000,0)</f>
        <v>#VALUE!</v>
      </c>
      <c r="J8939" s="14" t="e">
        <f>=Round(0.00000000,0)</f>
        <v>#VALUE!</v>
      </c>
    </row>
    <row r="8940">
      <c r="A8940" s="11" t="s">
        <v>33</v>
      </c>
      <c r="B8940" s="12">
        <v>1008.6824</v>
      </c>
      <c r="C8940" s="12">
        <v>0</v>
      </c>
      <c r="D8940" s="13">
        <v>0</v>
      </c>
      <c r="E8940" s="12">
        <v>0</v>
      </c>
      <c r="F8940" s="14">
        <v>0</v>
      </c>
      <c r="G8940" s="13">
        <v>646369507.66350007</v>
      </c>
      <c r="H8940" s="14">
        <v>651981546276.83765</v>
      </c>
      <c r="I8940" s="14" t="e">
        <f>=Round(3428616.41230000,0)</f>
        <v>#VALUE!</v>
      </c>
      <c r="J8940" s="14" t="e">
        <f>=Round(0.00000000,0)</f>
        <v>#VALUE!</v>
      </c>
    </row>
    <row r="8941">
      <c r="A8941" s="11" t="s">
        <v>34</v>
      </c>
      <c r="B8941" s="12">
        <v>1008.8358</v>
      </c>
      <c r="C8941" s="12">
        <v>0</v>
      </c>
      <c r="D8941" s="13">
        <v>0</v>
      </c>
      <c r="E8941" s="12">
        <v>0</v>
      </c>
      <c r="F8941" s="14">
        <v>0</v>
      </c>
      <c r="G8941" s="13">
        <v>646369507.66350007</v>
      </c>
      <c r="H8941" s="14">
        <v>652080699359.31311</v>
      </c>
      <c r="I8941" s="14" t="e">
        <f>=Round(3429137.91420000,0)</f>
        <v>#VALUE!</v>
      </c>
      <c r="J8941" s="14" t="e">
        <f>=Round(0.00000000,0)</f>
        <v>#VALUE!</v>
      </c>
    </row>
    <row r="8942">
      <c r="A8942" s="11" t="s">
        <v>35</v>
      </c>
      <c r="B8942" s="12">
        <v>1008.8358</v>
      </c>
      <c r="C8942" s="12">
        <v>0</v>
      </c>
      <c r="D8942" s="13">
        <v>0</v>
      </c>
      <c r="E8942" s="12">
        <v>0</v>
      </c>
      <c r="F8942" s="14">
        <v>0</v>
      </c>
      <c r="G8942" s="13">
        <v>646369507.66350007</v>
      </c>
      <c r="H8942" s="14">
        <v>652080699359.31311</v>
      </c>
      <c r="I8942" s="14" t="e">
        <f>=Round(3429659.41600000,0)</f>
        <v>#VALUE!</v>
      </c>
      <c r="J8942" s="14" t="e">
        <f>=Round(0.00000000,0)</f>
        <v>#VALUE!</v>
      </c>
    </row>
    <row r="8943">
      <c r="A8943" s="11" t="s">
        <v>36</v>
      </c>
      <c r="B8943" s="12">
        <v>1008.8358</v>
      </c>
      <c r="C8943" s="12">
        <v>0</v>
      </c>
      <c r="D8943" s="13">
        <v>0</v>
      </c>
      <c r="E8943" s="12">
        <v>0</v>
      </c>
      <c r="F8943" s="14">
        <v>0</v>
      </c>
      <c r="G8943" s="13">
        <v>646369507.66350007</v>
      </c>
      <c r="H8943" s="14">
        <v>652080699359.31311</v>
      </c>
      <c r="I8943" s="14" t="e">
        <f>=Round(3429659.41600000,0)</f>
        <v>#VALUE!</v>
      </c>
      <c r="J8943" s="14" t="e">
        <f>=Round(0.00000000,0)</f>
        <v>#VALUE!</v>
      </c>
    </row>
    <row r="8944">
      <c r="A8944" s="11" t="s">
        <v>37</v>
      </c>
      <c r="B8944" s="12">
        <v>1009.296</v>
      </c>
      <c r="C8944" s="12">
        <v>0</v>
      </c>
      <c r="D8944" s="13">
        <v>0</v>
      </c>
      <c r="E8944" s="12">
        <v>0</v>
      </c>
      <c r="F8944" s="14">
        <v>0</v>
      </c>
      <c r="G8944" s="13">
        <v>646369507.66350007</v>
      </c>
      <c r="H8944" s="14">
        <v>652378158606.73987</v>
      </c>
      <c r="I8944" s="14" t="e">
        <f>=Round(3429659.41600000,0)</f>
        <v>#VALUE!</v>
      </c>
      <c r="J8944" s="14" t="e">
        <f>=Round(0.00000000,0)</f>
        <v>#VALUE!</v>
      </c>
    </row>
    <row r="8945">
      <c r="A8945" s="11" t="s">
        <v>38</v>
      </c>
      <c r="B8945" s="12">
        <v>1009.4493</v>
      </c>
      <c r="C8945" s="12">
        <v>0</v>
      </c>
      <c r="D8945" s="13">
        <v>0</v>
      </c>
      <c r="E8945" s="12">
        <v>0</v>
      </c>
      <c r="F8945" s="14">
        <v>0</v>
      </c>
      <c r="G8945" s="13">
        <v>646369507.66350007</v>
      </c>
      <c r="H8945" s="14">
        <v>652477247052.26465</v>
      </c>
      <c r="I8945" s="14" t="e">
        <f>=Round(3431223.92160000,0)</f>
        <v>#VALUE!</v>
      </c>
      <c r="J8945" s="14" t="e">
        <f>=Round(0.00000000,0)</f>
        <v>#VALUE!</v>
      </c>
    </row>
    <row r="8946">
      <c r="A8946" s="11" t="s">
        <v>39</v>
      </c>
      <c r="B8946" s="12">
        <v>1009.5922</v>
      </c>
      <c r="C8946" s="12">
        <v>0</v>
      </c>
      <c r="D8946" s="13">
        <v>0</v>
      </c>
      <c r="E8946" s="12">
        <v>0</v>
      </c>
      <c r="F8946" s="14">
        <v>0</v>
      </c>
      <c r="G8946" s="13">
        <v>646369507.66350007</v>
      </c>
      <c r="H8946" s="14">
        <v>652569613254.90979</v>
      </c>
      <c r="I8946" s="14" t="e">
        <f>=Round(3431745.08350000,0)</f>
        <v>#VALUE!</v>
      </c>
      <c r="J8946" s="14" t="e">
        <f>=Round(0.00000000,0)</f>
        <v>#VALUE!</v>
      </c>
    </row>
    <row r="8947">
      <c r="A8947" s="11" t="s">
        <v>40</v>
      </c>
      <c r="B8947" s="12">
        <v>1009.7436</v>
      </c>
      <c r="C8947" s="12">
        <v>0</v>
      </c>
      <c r="D8947" s="13">
        <v>0</v>
      </c>
      <c r="E8947" s="12">
        <v>0</v>
      </c>
      <c r="F8947" s="14">
        <v>0</v>
      </c>
      <c r="G8947" s="13">
        <v>646369507.66350007</v>
      </c>
      <c r="H8947" s="14">
        <v>652667473598.37</v>
      </c>
      <c r="I8947" s="14" t="e">
        <f>=Round(3432230.88940000,0)</f>
        <v>#VALUE!</v>
      </c>
      <c r="J8947" s="14" t="e">
        <f>=Round(0.00000000,0)</f>
        <v>#VALUE!</v>
      </c>
    </row>
    <row r="8948">
      <c r="A8948" s="11" t="s">
        <v>41</v>
      </c>
      <c r="B8948" s="12">
        <v>1009.8986</v>
      </c>
      <c r="C8948" s="12">
        <v>0</v>
      </c>
      <c r="D8948" s="13">
        <v>0</v>
      </c>
      <c r="E8948" s="12">
        <v>0</v>
      </c>
      <c r="F8948" s="14">
        <v>0</v>
      </c>
      <c r="G8948" s="13">
        <v>646369507.66350007</v>
      </c>
      <c r="H8948" s="14">
        <v>652767660872.058</v>
      </c>
      <c r="I8948" s="14" t="e">
        <f>=Round(3432745.59200000,0)</f>
        <v>#VALUE!</v>
      </c>
      <c r="J8948" s="14" t="e">
        <f>=Round(0.00000000,0)</f>
        <v>#VALUE!</v>
      </c>
    </row>
    <row r="8949">
      <c r="A8949" s="11" t="s">
        <v>42</v>
      </c>
      <c r="B8949" s="12">
        <v>1009.8986</v>
      </c>
      <c r="C8949" s="12">
        <v>0</v>
      </c>
      <c r="D8949" s="13">
        <v>0</v>
      </c>
      <c r="E8949" s="12">
        <v>0</v>
      </c>
      <c r="F8949" s="14">
        <v>0</v>
      </c>
      <c r="G8949" s="13">
        <v>646369507.66350007</v>
      </c>
      <c r="H8949" s="14">
        <v>652767660872.058</v>
      </c>
      <c r="I8949" s="14" t="e">
        <f>=Round(3433272.53330000,0)</f>
        <v>#VALUE!</v>
      </c>
      <c r="J8949" s="14" t="e">
        <f>=Round(0.00000000,0)</f>
        <v>#VALUE!</v>
      </c>
    </row>
    <row r="8950">
      <c r="A8950" s="11" t="s">
        <v>43</v>
      </c>
      <c r="B8950" s="12">
        <v>1009.8986</v>
      </c>
      <c r="C8950" s="12">
        <v>0</v>
      </c>
      <c r="D8950" s="13">
        <v>0</v>
      </c>
      <c r="E8950" s="12">
        <v>0</v>
      </c>
      <c r="F8950" s="14">
        <v>0</v>
      </c>
      <c r="G8950" s="13">
        <v>646369507.66350007</v>
      </c>
      <c r="H8950" s="14">
        <v>652767660872.058</v>
      </c>
      <c r="I8950" s="14" t="e">
        <f>=Round(3433272.53330000,0)</f>
        <v>#VALUE!</v>
      </c>
      <c r="J8950" s="14" t="e">
        <f>=Round(0.00000000,0)</f>
        <v>#VALUE!</v>
      </c>
    </row>
    <row r="8951">
      <c r="A8951" s="11" t="s">
        <v>44</v>
      </c>
      <c r="B8951" s="12">
        <v>1009.6295</v>
      </c>
      <c r="C8951" s="12">
        <v>0</v>
      </c>
      <c r="D8951" s="13">
        <v>0</v>
      </c>
      <c r="E8951" s="12">
        <v>0</v>
      </c>
      <c r="F8951" s="14">
        <v>0</v>
      </c>
      <c r="G8951" s="13">
        <v>646369507.66350007</v>
      </c>
      <c r="H8951" s="14">
        <v>652593722837.54578</v>
      </c>
      <c r="I8951" s="14" t="e">
        <f>=Round(3433272.53330000,0)</f>
        <v>#VALUE!</v>
      </c>
      <c r="J8951" s="14" t="e">
        <f>=Round(0.00000000,0)</f>
        <v>#VALUE!</v>
      </c>
    </row>
    <row r="8952">
      <c r="A8952" s="11" t="s">
        <v>45</v>
      </c>
      <c r="B8952" s="12">
        <v>1009.0395</v>
      </c>
      <c r="C8952" s="12">
        <v>0</v>
      </c>
      <c r="D8952" s="13">
        <v>0</v>
      </c>
      <c r="E8952" s="12">
        <v>0</v>
      </c>
      <c r="F8952" s="14">
        <v>0</v>
      </c>
      <c r="G8952" s="13">
        <v>646369507.66350007</v>
      </c>
      <c r="H8952" s="14">
        <v>652212364828.02417</v>
      </c>
      <c r="I8952" s="14" t="e">
        <f>=Round(3432357.69530000,0)</f>
        <v>#VALUE!</v>
      </c>
      <c r="J8952" s="14" t="e">
        <f>=Round(0.00000000,0)</f>
        <v>#VALUE!</v>
      </c>
    </row>
    <row r="8953">
      <c r="A8953" s="11" t="s">
        <v>46</v>
      </c>
      <c r="B8953" s="12">
        <v>1009.192</v>
      </c>
      <c r="C8953" s="12">
        <v>0</v>
      </c>
      <c r="D8953" s="13">
        <v>0</v>
      </c>
      <c r="E8953" s="12">
        <v>0</v>
      </c>
      <c r="F8953" s="14">
        <v>0</v>
      </c>
      <c r="G8953" s="13">
        <v>646369507.66350007</v>
      </c>
      <c r="H8953" s="14">
        <v>652310936177.94287</v>
      </c>
      <c r="I8953" s="14" t="e">
        <f>=Round(3430351.91880000,0)</f>
        <v>#VALUE!</v>
      </c>
      <c r="J8953" s="14" t="e">
        <f>=Round(0.00000000,0)</f>
        <v>#VALUE!</v>
      </c>
    </row>
    <row r="8954">
      <c r="A8954" s="11" t="s">
        <v>47</v>
      </c>
      <c r="B8954" s="12">
        <v>1009.3445</v>
      </c>
      <c r="C8954" s="12">
        <v>0</v>
      </c>
      <c r="D8954" s="13">
        <v>0</v>
      </c>
      <c r="E8954" s="12">
        <v>0</v>
      </c>
      <c r="F8954" s="14">
        <v>0</v>
      </c>
      <c r="G8954" s="13">
        <v>646369507.66350007</v>
      </c>
      <c r="H8954" s="14">
        <v>652409507527.86157</v>
      </c>
      <c r="I8954" s="14" t="e">
        <f>=Round(3430870.36100000,0)</f>
        <v>#VALUE!</v>
      </c>
      <c r="J8954" s="14" t="e">
        <f>=Round(0.00000000,0)</f>
        <v>#VALUE!</v>
      </c>
    </row>
    <row r="8955">
      <c r="A8955" s="11" t="s">
        <v>48</v>
      </c>
      <c r="B8955" s="12">
        <v>1009.497</v>
      </c>
      <c r="C8955" s="12">
        <v>0</v>
      </c>
      <c r="D8955" s="13">
        <v>0</v>
      </c>
      <c r="E8955" s="12">
        <v>0</v>
      </c>
      <c r="F8955" s="14">
        <v>0</v>
      </c>
      <c r="G8955" s="13">
        <v>646369507.66350007</v>
      </c>
      <c r="H8955" s="14">
        <v>652508078877.78027</v>
      </c>
      <c r="I8955" s="14" t="e">
        <f>=Round(3431388.80330000,0)</f>
        <v>#VALUE!</v>
      </c>
      <c r="J8955" s="14" t="e">
        <f>=Round(0.00000000,0)</f>
        <v>#VALUE!</v>
      </c>
    </row>
    <row r="8956">
      <c r="A8956" s="11" t="s">
        <v>49</v>
      </c>
      <c r="B8956" s="12">
        <v>1009.497</v>
      </c>
      <c r="C8956" s="12">
        <v>0</v>
      </c>
      <c r="D8956" s="13">
        <v>0</v>
      </c>
      <c r="E8956" s="12">
        <v>0</v>
      </c>
      <c r="F8956" s="14">
        <v>0</v>
      </c>
      <c r="G8956" s="13">
        <v>646369507.66350007</v>
      </c>
      <c r="H8956" s="14">
        <v>652508078877.78027</v>
      </c>
      <c r="I8956" s="14" t="e">
        <f>=Round(3431907.24550000,0)</f>
        <v>#VALUE!</v>
      </c>
      <c r="J8956" s="14" t="e">
        <f>=Round(0.00000000,0)</f>
        <v>#VALUE!</v>
      </c>
    </row>
    <row r="8957">
      <c r="A8957" s="11" t="s">
        <v>50</v>
      </c>
      <c r="B8957" s="12">
        <v>1009.497</v>
      </c>
      <c r="C8957" s="12">
        <v>0</v>
      </c>
      <c r="D8957" s="13">
        <v>0</v>
      </c>
      <c r="E8957" s="12">
        <v>0</v>
      </c>
      <c r="F8957" s="14">
        <v>0</v>
      </c>
      <c r="G8957" s="13">
        <v>646369507.66350007</v>
      </c>
      <c r="H8957" s="14">
        <v>652508078877.78027</v>
      </c>
      <c r="I8957" s="14" t="e">
        <f>=Round(3431907.24550000,0)</f>
        <v>#VALUE!</v>
      </c>
      <c r="J8957" s="14" t="e">
        <f>=Round(0.00000000,0)</f>
        <v>#VALUE!</v>
      </c>
    </row>
    <row r="8958">
      <c r="A8958" s="11" t="s">
        <v>51</v>
      </c>
      <c r="B8958" s="12">
        <v>1009.9577</v>
      </c>
      <c r="C8958" s="12">
        <v>0</v>
      </c>
      <c r="D8958" s="13">
        <v>0</v>
      </c>
      <c r="E8958" s="12">
        <v>0</v>
      </c>
      <c r="F8958" s="14">
        <v>0</v>
      </c>
      <c r="G8958" s="13">
        <v>646369507.66350007</v>
      </c>
      <c r="H8958" s="14">
        <v>652805861309.96082</v>
      </c>
      <c r="I8958" s="14" t="e">
        <f>=Round(3431907.24550000,0)</f>
        <v>#VALUE!</v>
      </c>
      <c r="J8958" s="14" t="e">
        <f>=Round(0.00000000,0)</f>
        <v>#VALUE!</v>
      </c>
    </row>
    <row r="8959">
      <c r="A8959" s="11" t="s">
        <v>52</v>
      </c>
      <c r="B8959" s="12">
        <v>1010.1045</v>
      </c>
      <c r="C8959" s="12">
        <v>0</v>
      </c>
      <c r="D8959" s="13">
        <v>0</v>
      </c>
      <c r="E8959" s="12">
        <v>0</v>
      </c>
      <c r="F8959" s="14">
        <v>0</v>
      </c>
      <c r="G8959" s="13">
        <v>646369507.66350007</v>
      </c>
      <c r="H8959" s="14">
        <v>652900748353.68591</v>
      </c>
      <c r="I8959" s="14" t="e">
        <f>=Round(3433473.45090000,0)</f>
        <v>#VALUE!</v>
      </c>
      <c r="J8959" s="14" t="e">
        <f>=Round(0.00000000,0)</f>
        <v>#VALUE!</v>
      </c>
    </row>
    <row r="8960">
      <c r="A8960" s="11" t="s">
        <v>53</v>
      </c>
      <c r="B8960" s="12">
        <v>1010.2543</v>
      </c>
      <c r="C8960" s="12">
        <v>0</v>
      </c>
      <c r="D8960" s="13">
        <v>0</v>
      </c>
      <c r="E8960" s="12">
        <v>0</v>
      </c>
      <c r="F8960" s="14">
        <v>0</v>
      </c>
      <c r="G8960" s="13">
        <v>646369507.66350007</v>
      </c>
      <c r="H8960" s="14">
        <v>652997574505.93384</v>
      </c>
      <c r="I8960" s="14" t="e">
        <f>=Round(3433972.51520000,0)</f>
        <v>#VALUE!</v>
      </c>
      <c r="J8960" s="14" t="e">
        <f>=Round(0.00000000,0)</f>
        <v>#VALUE!</v>
      </c>
    </row>
    <row r="8961">
      <c r="A8961" s="11" t="s">
        <v>54</v>
      </c>
      <c r="B8961" s="12">
        <v>1009.3544</v>
      </c>
      <c r="C8961" s="12">
        <v>0</v>
      </c>
      <c r="D8961" s="13">
        <v>0</v>
      </c>
      <c r="E8961" s="12">
        <v>148609844.0746</v>
      </c>
      <c r="F8961" s="14">
        <v>150000000000</v>
      </c>
      <c r="G8961" s="13">
        <v>646369507.66350007</v>
      </c>
      <c r="H8961" s="14">
        <v>652415906585.98743</v>
      </c>
      <c r="I8961" s="14" t="e">
        <f>=Round(3434481.77850000,0)</f>
        <v>#VALUE!</v>
      </c>
      <c r="J8961" s="14" t="e">
        <f>=Round(0.00000000,0)</f>
        <v>#VALUE!</v>
      </c>
    </row>
    <row r="8962">
      <c r="A8962" s="11" t="s">
        <v>55</v>
      </c>
      <c r="B8962" s="12">
        <v>1009.5045</v>
      </c>
      <c r="C8962" s="12">
        <v>0</v>
      </c>
      <c r="D8962" s="13">
        <v>0</v>
      </c>
      <c r="E8962" s="12">
        <v>0</v>
      </c>
      <c r="F8962" s="14">
        <v>0</v>
      </c>
      <c r="G8962" s="13">
        <v>497759663.5889</v>
      </c>
      <c r="H8962" s="14">
        <v>502490620311.48071</v>
      </c>
      <c r="I8962" s="14" t="e">
        <f>=Round(3431422.45950000,0)</f>
        <v>#VALUE!</v>
      </c>
      <c r="J8962" s="14" t="e">
        <f>=Round(0.00000000,0)</f>
        <v>#VALUE!</v>
      </c>
    </row>
    <row r="8963" ht="-1">
      <c r="A8963" s="15"/>
      <c r="B8963" s="16" t="s">
        <v>56</v>
      </c>
      <c r="C8963" s="15"/>
      <c r="D8963" s="15"/>
      <c r="E8963" s="15"/>
      <c r="F8963" s="15"/>
      <c r="G8963" s="15"/>
      <c r="H8963" s="15"/>
      <c r="I8963" s="17" t="e">
        <f>=Round(SUM(I8937:I8962),0)</f>
        <v>#VALUE!</v>
      </c>
      <c r="J8963" s="17" t="e">
        <f>=Round(SUM(J8937:J8962),0)</f>
        <v>#VALUE!</v>
      </c>
    </row>
    <row r="8964">
      <c r="A8964" s="1" t="s">
        <v>0</v>
      </c>
      <c r="B8964" s="1"/>
      <c r="C8964" s="1"/>
      <c r="D8964" s="1"/>
    </row>
    <row r="8965">
      <c r="A8965" s="0" t="s">
        <v>1</v>
      </c>
      <c r="C8965" s="0" t="s">
        <v>308</v>
      </c>
      <c r="H8965" s="2" t="s">
        <v>3</v>
      </c>
    </row>
    <row r="8966">
      <c r="A8966" s="0" t="s">
        <v>4</v>
      </c>
      <c r="C8966" s="0" t="s">
        <v>309</v>
      </c>
      <c r="H8966" s="3" t="s">
        <v>6</v>
      </c>
    </row>
    <row r="8967">
      <c r="A8967" s="0" t="s">
        <v>7</v>
      </c>
      <c r="C8967" s="4" t="s">
        <v>219</v>
      </c>
      <c r="H8967" s="2" t="s">
        <v>9</v>
      </c>
    </row>
    <row r="8968">
      <c r="A8968" s="0" t="s">
        <v>10</v>
      </c>
      <c r="C8968" s="4" t="s">
        <v>11</v>
      </c>
      <c r="H8968" s="2" t="s">
        <v>12</v>
      </c>
    </row>
    <row r="8969">
      <c r="A8969" s="0" t="s">
        <v>13</v>
      </c>
      <c r="C8969" s="0" t="s">
        <v>14</v>
      </c>
    </row>
    <row r="8970">
      <c r="A8970" s="0" t="s">
        <v>15</v>
      </c>
      <c r="C8970" s="0" t="s">
        <v>16</v>
      </c>
    </row>
    <row r="8971">
      <c r="A8971" s="0" t="s">
        <v>17</v>
      </c>
      <c r="C8971" s="0" t="s">
        <v>18</v>
      </c>
    </row>
    <row r="8974">
      <c r="A8974" s="5" t="s">
        <v>19</v>
      </c>
      <c r="B8974" s="5" t="s">
        <v>20</v>
      </c>
      <c r="C8974" s="7" t="s">
        <v>21</v>
      </c>
      <c r="D8974" s="9"/>
      <c r="E8974" s="7" t="s">
        <v>22</v>
      </c>
      <c r="F8974" s="9"/>
      <c r="G8974" s="5" t="s">
        <v>23</v>
      </c>
      <c r="H8974" s="5" t="s">
        <v>24</v>
      </c>
      <c r="I8974" s="5" t="s">
        <v>220</v>
      </c>
      <c r="J8974" s="5" t="s">
        <v>26</v>
      </c>
    </row>
    <row r="8975">
      <c r="A8975" s="6"/>
      <c r="B8975" s="6"/>
      <c r="C8975" s="8" t="s">
        <v>27</v>
      </c>
      <c r="D8975" s="8" t="s">
        <v>28</v>
      </c>
      <c r="E8975" s="8" t="s">
        <v>27</v>
      </c>
      <c r="F8975" s="8" t="s">
        <v>28</v>
      </c>
      <c r="G8975" s="6"/>
      <c r="H8975" s="6"/>
      <c r="I8975" s="10" t="s">
        <v>29</v>
      </c>
      <c r="J8975" s="6"/>
    </row>
    <row r="8976">
      <c r="A8976" s="11" t="s">
        <v>30</v>
      </c>
      <c r="B8976" s="12">
        <v>1087.836</v>
      </c>
      <c r="C8976" s="12">
        <v>0</v>
      </c>
      <c r="D8976" s="13">
        <v>0</v>
      </c>
      <c r="E8976" s="12">
        <v>0</v>
      </c>
      <c r="F8976" s="14">
        <v>0</v>
      </c>
      <c r="G8976" s="13">
        <v>335881028.60260004</v>
      </c>
      <c r="H8976" s="14">
        <v>365383474630.938</v>
      </c>
      <c r="I8976" s="14" t="e">
        <f>=Round(16489589.04330000,0)</f>
        <v>#VALUE!</v>
      </c>
      <c r="J8976" s="14" t="e">
        <f>=Round(0.00000000,0)</f>
        <v>#VALUE!</v>
      </c>
    </row>
    <row r="8977">
      <c r="A8977" s="11" t="s">
        <v>31</v>
      </c>
      <c r="B8977" s="12">
        <v>1089.903</v>
      </c>
      <c r="C8977" s="12">
        <v>0</v>
      </c>
      <c r="D8977" s="13">
        <v>0</v>
      </c>
      <c r="E8977" s="12">
        <v>0</v>
      </c>
      <c r="F8977" s="14">
        <v>0</v>
      </c>
      <c r="G8977" s="13">
        <v>335881028.60260004</v>
      </c>
      <c r="H8977" s="14">
        <v>366077740717.05951</v>
      </c>
      <c r="I8977" s="14" t="e">
        <f>=Round(16472205.82350000,0)</f>
        <v>#VALUE!</v>
      </c>
      <c r="J8977" s="14" t="e">
        <f>=Round(0.00000000,0)</f>
        <v>#VALUE!</v>
      </c>
    </row>
    <row r="8978">
      <c r="A8978" s="11" t="s">
        <v>32</v>
      </c>
      <c r="B8978" s="12">
        <v>1089.687</v>
      </c>
      <c r="C8978" s="12">
        <v>0</v>
      </c>
      <c r="D8978" s="13">
        <v>0</v>
      </c>
      <c r="E8978" s="12">
        <v>0</v>
      </c>
      <c r="F8978" s="14">
        <v>0</v>
      </c>
      <c r="G8978" s="13">
        <v>335881028.60260004</v>
      </c>
      <c r="H8978" s="14">
        <v>366005190414.88141</v>
      </c>
      <c r="I8978" s="14" t="e">
        <f>=Round(16503504.70450000,0)</f>
        <v>#VALUE!</v>
      </c>
      <c r="J8978" s="14" t="e">
        <f>=Round(0.00000000,0)</f>
        <v>#VALUE!</v>
      </c>
    </row>
    <row r="8979">
      <c r="A8979" s="11" t="s">
        <v>33</v>
      </c>
      <c r="B8979" s="12">
        <v>1089.987</v>
      </c>
      <c r="C8979" s="12">
        <v>0</v>
      </c>
      <c r="D8979" s="13">
        <v>0</v>
      </c>
      <c r="E8979" s="12">
        <v>0</v>
      </c>
      <c r="F8979" s="14">
        <v>0</v>
      </c>
      <c r="G8979" s="13">
        <v>335881028.60260004</v>
      </c>
      <c r="H8979" s="14">
        <v>366105954723.46216</v>
      </c>
      <c r="I8979" s="14" t="e">
        <f>=Round(16500233.99410000,0)</f>
        <v>#VALUE!</v>
      </c>
      <c r="J8979" s="14" t="e">
        <f>=Round(0.00000000,0)</f>
        <v>#VALUE!</v>
      </c>
    </row>
    <row r="8980">
      <c r="A8980" s="11" t="s">
        <v>34</v>
      </c>
      <c r="B8980" s="12">
        <v>1095.532</v>
      </c>
      <c r="C8980" s="12">
        <v>0</v>
      </c>
      <c r="D8980" s="13">
        <v>0</v>
      </c>
      <c r="E8980" s="12">
        <v>0</v>
      </c>
      <c r="F8980" s="14">
        <v>0</v>
      </c>
      <c r="G8980" s="13">
        <v>335881028.60260004</v>
      </c>
      <c r="H8980" s="14">
        <v>367968415027.06354</v>
      </c>
      <c r="I8980" s="14" t="e">
        <f>=Round(16504776.64740000,0)</f>
        <v>#VALUE!</v>
      </c>
      <c r="J8980" s="14" t="e">
        <f>=Round(0.00000000,0)</f>
        <v>#VALUE!</v>
      </c>
    </row>
    <row r="8981">
      <c r="A8981" s="11" t="s">
        <v>35</v>
      </c>
      <c r="B8981" s="12">
        <v>1095.532</v>
      </c>
      <c r="C8981" s="12">
        <v>0</v>
      </c>
      <c r="D8981" s="13">
        <v>0</v>
      </c>
      <c r="E8981" s="12">
        <v>0</v>
      </c>
      <c r="F8981" s="14">
        <v>0</v>
      </c>
      <c r="G8981" s="13">
        <v>335881028.60260004</v>
      </c>
      <c r="H8981" s="14">
        <v>367968415027.06354</v>
      </c>
      <c r="I8981" s="14" t="e">
        <f>=Round(16588740.02170000,0)</f>
        <v>#VALUE!</v>
      </c>
      <c r="J8981" s="14" t="e">
        <f>=Round(0.00000000,0)</f>
        <v>#VALUE!</v>
      </c>
    </row>
    <row r="8982">
      <c r="A8982" s="11" t="s">
        <v>36</v>
      </c>
      <c r="B8982" s="12">
        <v>1095.532</v>
      </c>
      <c r="C8982" s="12">
        <v>0</v>
      </c>
      <c r="D8982" s="13">
        <v>0</v>
      </c>
      <c r="E8982" s="12">
        <v>0</v>
      </c>
      <c r="F8982" s="14">
        <v>0</v>
      </c>
      <c r="G8982" s="13">
        <v>335881028.60260004</v>
      </c>
      <c r="H8982" s="14">
        <v>367968415027.06354</v>
      </c>
      <c r="I8982" s="14" t="e">
        <f>=Round(16588740.02170000,0)</f>
        <v>#VALUE!</v>
      </c>
      <c r="J8982" s="14" t="e">
        <f>=Round(0.00000000,0)</f>
        <v>#VALUE!</v>
      </c>
    </row>
    <row r="8983">
      <c r="A8983" s="11" t="s">
        <v>37</v>
      </c>
      <c r="B8983" s="12">
        <v>1094.389</v>
      </c>
      <c r="C8983" s="12">
        <v>0</v>
      </c>
      <c r="D8983" s="13">
        <v>0</v>
      </c>
      <c r="E8983" s="12">
        <v>0</v>
      </c>
      <c r="F8983" s="14">
        <v>0</v>
      </c>
      <c r="G8983" s="13">
        <v>335881028.60260004</v>
      </c>
      <c r="H8983" s="14">
        <v>367584503011.37079</v>
      </c>
      <c r="I8983" s="14" t="e">
        <f>=Round(16588740.02170000,0)</f>
        <v>#VALUE!</v>
      </c>
      <c r="J8983" s="14" t="e">
        <f>=Round(0.00000000,0)</f>
        <v>#VALUE!</v>
      </c>
    </row>
    <row r="8984">
      <c r="A8984" s="11" t="s">
        <v>38</v>
      </c>
      <c r="B8984" s="12">
        <v>1089.685</v>
      </c>
      <c r="C8984" s="12">
        <v>0</v>
      </c>
      <c r="D8984" s="13">
        <v>0</v>
      </c>
      <c r="E8984" s="12">
        <v>0</v>
      </c>
      <c r="F8984" s="14">
        <v>0</v>
      </c>
      <c r="G8984" s="13">
        <v>335881028.60260004</v>
      </c>
      <c r="H8984" s="14">
        <v>366004518652.82422</v>
      </c>
      <c r="I8984" s="14" t="e">
        <f>=Round(16571432.51280000,0)</f>
        <v>#VALUE!</v>
      </c>
      <c r="J8984" s="14" t="e">
        <f>=Round(0.00000000,0)</f>
        <v>#VALUE!</v>
      </c>
    </row>
    <row r="8985">
      <c r="A8985" s="11" t="s">
        <v>39</v>
      </c>
      <c r="B8985" s="12">
        <v>1092.193</v>
      </c>
      <c r="C8985" s="12">
        <v>0</v>
      </c>
      <c r="D8985" s="13">
        <v>0</v>
      </c>
      <c r="E8985" s="12">
        <v>0</v>
      </c>
      <c r="F8985" s="14">
        <v>0</v>
      </c>
      <c r="G8985" s="13">
        <v>335881028.60260004</v>
      </c>
      <c r="H8985" s="14">
        <v>366846908272.55951</v>
      </c>
      <c r="I8985" s="14" t="e">
        <f>=Round(16500203.70980000,0)</f>
        <v>#VALUE!</v>
      </c>
      <c r="J8985" s="14" t="e">
        <f>=Round(0.00000000,0)</f>
        <v>#VALUE!</v>
      </c>
    </row>
    <row r="8986">
      <c r="A8986" s="11" t="s">
        <v>40</v>
      </c>
      <c r="B8986" s="12">
        <v>1090.532</v>
      </c>
      <c r="C8986" s="12">
        <v>0</v>
      </c>
      <c r="D8986" s="13">
        <v>0</v>
      </c>
      <c r="E8986" s="12">
        <v>0</v>
      </c>
      <c r="F8986" s="14">
        <v>0</v>
      </c>
      <c r="G8986" s="13">
        <v>335881028.60260004</v>
      </c>
      <c r="H8986" s="14">
        <v>366289009884.05054</v>
      </c>
      <c r="I8986" s="14" t="e">
        <f>=Round(16538180.29100000,0)</f>
        <v>#VALUE!</v>
      </c>
      <c r="J8986" s="14" t="e">
        <f>=Round(0.00000000,0)</f>
        <v>#VALUE!</v>
      </c>
    </row>
    <row r="8987">
      <c r="A8987" s="11" t="s">
        <v>41</v>
      </c>
      <c r="B8987" s="12">
        <v>1094.032</v>
      </c>
      <c r="C8987" s="12">
        <v>0</v>
      </c>
      <c r="D8987" s="13">
        <v>0</v>
      </c>
      <c r="E8987" s="12">
        <v>0</v>
      </c>
      <c r="F8987" s="14">
        <v>0</v>
      </c>
      <c r="G8987" s="13">
        <v>335881028.60260004</v>
      </c>
      <c r="H8987" s="14">
        <v>367464593484.15967</v>
      </c>
      <c r="I8987" s="14" t="e">
        <f>=Round(16513029.13410000,0)</f>
        <v>#VALUE!</v>
      </c>
      <c r="J8987" s="14" t="e">
        <f>=Round(0.00000000,0)</f>
        <v>#VALUE!</v>
      </c>
    </row>
    <row r="8988">
      <c r="A8988" s="11" t="s">
        <v>42</v>
      </c>
      <c r="B8988" s="12">
        <v>1094.032</v>
      </c>
      <c r="C8988" s="12">
        <v>0</v>
      </c>
      <c r="D8988" s="13">
        <v>0</v>
      </c>
      <c r="E8988" s="12">
        <v>0</v>
      </c>
      <c r="F8988" s="14">
        <v>0</v>
      </c>
      <c r="G8988" s="13">
        <v>335881028.60260004</v>
      </c>
      <c r="H8988" s="14">
        <v>367464593484.15967</v>
      </c>
      <c r="I8988" s="14" t="e">
        <f>=Round(16566026.75540000,0)</f>
        <v>#VALUE!</v>
      </c>
      <c r="J8988" s="14" t="e">
        <f>=Round(0.00000000,0)</f>
        <v>#VALUE!</v>
      </c>
    </row>
    <row r="8989">
      <c r="A8989" s="11" t="s">
        <v>43</v>
      </c>
      <c r="B8989" s="12">
        <v>1094.032</v>
      </c>
      <c r="C8989" s="12">
        <v>0</v>
      </c>
      <c r="D8989" s="13">
        <v>0</v>
      </c>
      <c r="E8989" s="12">
        <v>0</v>
      </c>
      <c r="F8989" s="14">
        <v>0</v>
      </c>
      <c r="G8989" s="13">
        <v>335881028.60260004</v>
      </c>
      <c r="H8989" s="14">
        <v>367464593484.15967</v>
      </c>
      <c r="I8989" s="14" t="e">
        <f>=Round(16566026.75540000,0)</f>
        <v>#VALUE!</v>
      </c>
      <c r="J8989" s="14" t="e">
        <f>=Round(0.00000000,0)</f>
        <v>#VALUE!</v>
      </c>
    </row>
    <row r="8990">
      <c r="A8990" s="11" t="s">
        <v>44</v>
      </c>
      <c r="B8990" s="12">
        <v>1092.426</v>
      </c>
      <c r="C8990" s="12">
        <v>0</v>
      </c>
      <c r="D8990" s="13">
        <v>0</v>
      </c>
      <c r="E8990" s="12">
        <v>45769690.5786</v>
      </c>
      <c r="F8990" s="14">
        <v>50000000000.02</v>
      </c>
      <c r="G8990" s="13">
        <v>335881028.60260004</v>
      </c>
      <c r="H8990" s="14">
        <v>366925168552.22394</v>
      </c>
      <c r="I8990" s="14" t="e">
        <f>=Round(16566026.75540000,0)</f>
        <v>#VALUE!</v>
      </c>
      <c r="J8990" s="14" t="e">
        <f>=Round(0.00000000,0)</f>
        <v>#VALUE!</v>
      </c>
    </row>
    <row r="8991">
      <c r="A8991" s="11" t="s">
        <v>45</v>
      </c>
      <c r="B8991" s="12">
        <v>1093.992</v>
      </c>
      <c r="C8991" s="12">
        <v>0</v>
      </c>
      <c r="D8991" s="13">
        <v>0</v>
      </c>
      <c r="E8991" s="12">
        <v>27422504.0037</v>
      </c>
      <c r="F8991" s="14">
        <v>30000000000.02</v>
      </c>
      <c r="G8991" s="13">
        <v>290111338.024</v>
      </c>
      <c r="H8991" s="14">
        <v>317379482907.55182</v>
      </c>
      <c r="I8991" s="14" t="e">
        <f>=Round(16541708.41830000,0)</f>
        <v>#VALUE!</v>
      </c>
      <c r="J8991" s="14" t="e">
        <f>=Round(0.00000000,0)</f>
        <v>#VALUE!</v>
      </c>
    </row>
    <row r="8992">
      <c r="A8992" s="11" t="s">
        <v>46</v>
      </c>
      <c r="B8992" s="12">
        <v>1095.583</v>
      </c>
      <c r="C8992" s="12">
        <v>0</v>
      </c>
      <c r="D8992" s="13">
        <v>0</v>
      </c>
      <c r="E8992" s="12">
        <v>0</v>
      </c>
      <c r="F8992" s="14">
        <v>0</v>
      </c>
      <c r="G8992" s="13">
        <v>262688834.0203</v>
      </c>
      <c r="H8992" s="14">
        <v>287797420842.46234</v>
      </c>
      <c r="I8992" s="14" t="e">
        <f>=Round(14308091.44260000,0)</f>
        <v>#VALUE!</v>
      </c>
      <c r="J8992" s="14" t="e">
        <f>=Round(0.00000000,0)</f>
        <v>#VALUE!</v>
      </c>
    </row>
    <row r="8993">
      <c r="A8993" s="11" t="s">
        <v>47</v>
      </c>
      <c r="B8993" s="12">
        <v>1097.406</v>
      </c>
      <c r="C8993" s="12">
        <v>0</v>
      </c>
      <c r="D8993" s="13">
        <v>0</v>
      </c>
      <c r="E8993" s="12">
        <v>0</v>
      </c>
      <c r="F8993" s="14">
        <v>0</v>
      </c>
      <c r="G8993" s="13">
        <v>262688834.0203</v>
      </c>
      <c r="H8993" s="14">
        <v>288276302586.88135</v>
      </c>
      <c r="I8993" s="14" t="e">
        <f>=Round(12974473.89040000,0)</f>
        <v>#VALUE!</v>
      </c>
      <c r="J8993" s="14" t="e">
        <f>=Round(0.00000000,0)</f>
        <v>#VALUE!</v>
      </c>
    </row>
    <row r="8994">
      <c r="A8994" s="11" t="s">
        <v>48</v>
      </c>
      <c r="B8994" s="12">
        <v>1097.772</v>
      </c>
      <c r="C8994" s="12">
        <v>0</v>
      </c>
      <c r="D8994" s="13">
        <v>0</v>
      </c>
      <c r="E8994" s="12">
        <v>0</v>
      </c>
      <c r="F8994" s="14">
        <v>0</v>
      </c>
      <c r="G8994" s="13">
        <v>262688834.0203</v>
      </c>
      <c r="H8994" s="14">
        <v>288372446700.13281</v>
      </c>
      <c r="I8994" s="14" t="e">
        <f>=Round(12996062.82150000,0)</f>
        <v>#VALUE!</v>
      </c>
      <c r="J8994" s="14" t="e">
        <f>=Round(0.00000000,0)</f>
        <v>#VALUE!</v>
      </c>
    </row>
    <row r="8995">
      <c r="A8995" s="11" t="s">
        <v>49</v>
      </c>
      <c r="B8995" s="12">
        <v>1097.772</v>
      </c>
      <c r="C8995" s="12">
        <v>0</v>
      </c>
      <c r="D8995" s="13">
        <v>0</v>
      </c>
      <c r="E8995" s="12">
        <v>0</v>
      </c>
      <c r="F8995" s="14">
        <v>0</v>
      </c>
      <c r="G8995" s="13">
        <v>262688834.0203</v>
      </c>
      <c r="H8995" s="14">
        <v>288372446700.13281</v>
      </c>
      <c r="I8995" s="14" t="e">
        <f>=Round(13000397.18730000,0)</f>
        <v>#VALUE!</v>
      </c>
      <c r="J8995" s="14" t="e">
        <f>=Round(0.00000000,0)</f>
        <v>#VALUE!</v>
      </c>
    </row>
    <row r="8996">
      <c r="A8996" s="11" t="s">
        <v>50</v>
      </c>
      <c r="B8996" s="12">
        <v>1097.772</v>
      </c>
      <c r="C8996" s="12">
        <v>0</v>
      </c>
      <c r="D8996" s="13">
        <v>0</v>
      </c>
      <c r="E8996" s="12">
        <v>0</v>
      </c>
      <c r="F8996" s="14">
        <v>0</v>
      </c>
      <c r="G8996" s="13">
        <v>262688834.0203</v>
      </c>
      <c r="H8996" s="14">
        <v>288372446700.13281</v>
      </c>
      <c r="I8996" s="14" t="e">
        <f>=Round(13000397.18730000,0)</f>
        <v>#VALUE!</v>
      </c>
      <c r="J8996" s="14" t="e">
        <f>=Round(0.00000000,0)</f>
        <v>#VALUE!</v>
      </c>
    </row>
    <row r="8997">
      <c r="A8997" s="11" t="s">
        <v>51</v>
      </c>
      <c r="B8997" s="12">
        <v>1098.496</v>
      </c>
      <c r="C8997" s="12">
        <v>0</v>
      </c>
      <c r="D8997" s="13">
        <v>0</v>
      </c>
      <c r="E8997" s="12">
        <v>0</v>
      </c>
      <c r="F8997" s="14">
        <v>0</v>
      </c>
      <c r="G8997" s="13">
        <v>262688834.0203</v>
      </c>
      <c r="H8997" s="14">
        <v>288562633415.96344</v>
      </c>
      <c r="I8997" s="14" t="e">
        <f>=Round(13000397.18730000,0)</f>
        <v>#VALUE!</v>
      </c>
      <c r="J8997" s="14" t="e">
        <f>=Round(0.00000000,0)</f>
        <v>#VALUE!</v>
      </c>
    </row>
    <row r="8998">
      <c r="A8998" s="11" t="s">
        <v>52</v>
      </c>
      <c r="B8998" s="12">
        <v>1099.793</v>
      </c>
      <c r="C8998" s="12">
        <v>0</v>
      </c>
      <c r="D8998" s="13">
        <v>0</v>
      </c>
      <c r="E8998" s="12">
        <v>0</v>
      </c>
      <c r="F8998" s="14">
        <v>0</v>
      </c>
      <c r="G8998" s="13">
        <v>262688834.0203</v>
      </c>
      <c r="H8998" s="14">
        <v>288903340833.68781</v>
      </c>
      <c r="I8998" s="14" t="e">
        <f>=Round(13008971.17860000,0)</f>
        <v>#VALUE!</v>
      </c>
      <c r="J8998" s="14" t="e">
        <f>=Round(0.00000000,0)</f>
        <v>#VALUE!</v>
      </c>
    </row>
    <row r="8999">
      <c r="A8999" s="11" t="s">
        <v>53</v>
      </c>
      <c r="B8999" s="12">
        <v>1100.156</v>
      </c>
      <c r="C8999" s="12">
        <v>0</v>
      </c>
      <c r="D8999" s="13">
        <v>0</v>
      </c>
      <c r="E8999" s="12">
        <v>0</v>
      </c>
      <c r="F8999" s="14">
        <v>0</v>
      </c>
      <c r="G8999" s="13">
        <v>262688834.0203</v>
      </c>
      <c r="H8999" s="14">
        <v>288998696880.43719</v>
      </c>
      <c r="I8999" s="14" t="e">
        <f>=Round(13024330.93920000,0)</f>
        <v>#VALUE!</v>
      </c>
      <c r="J8999" s="14" t="e">
        <f>=Round(0.00000000,0)</f>
        <v>#VALUE!</v>
      </c>
    </row>
    <row r="9000">
      <c r="A9000" s="11" t="s">
        <v>54</v>
      </c>
      <c r="B9000" s="12">
        <v>1100.444</v>
      </c>
      <c r="C9000" s="12">
        <v>0</v>
      </c>
      <c r="D9000" s="13">
        <v>0</v>
      </c>
      <c r="E9000" s="12">
        <v>45436205.7497</v>
      </c>
      <c r="F9000" s="14">
        <v>50000000000.02</v>
      </c>
      <c r="G9000" s="13">
        <v>262688834.0203</v>
      </c>
      <c r="H9000" s="14">
        <v>289074351264.635</v>
      </c>
      <c r="I9000" s="14" t="e">
        <f>=Round(13028629.77740000,0)</f>
        <v>#VALUE!</v>
      </c>
      <c r="J9000" s="14" t="e">
        <f>=Round(0.00000000,0)</f>
        <v>#VALUE!</v>
      </c>
    </row>
    <row r="9001">
      <c r="A9001" s="11" t="s">
        <v>55</v>
      </c>
      <c r="B9001" s="12">
        <v>1097.991</v>
      </c>
      <c r="C9001" s="12">
        <v>0</v>
      </c>
      <c r="D9001" s="13">
        <v>0</v>
      </c>
      <c r="E9001" s="12">
        <v>0</v>
      </c>
      <c r="F9001" s="14">
        <v>0</v>
      </c>
      <c r="G9001" s="13">
        <v>217252628.2706</v>
      </c>
      <c r="H9001" s="14">
        <v>238541430567.46436</v>
      </c>
      <c r="I9001" s="14" t="e">
        <f>=Round(13032040.42590000,0)</f>
        <v>#VALUE!</v>
      </c>
      <c r="J9001" s="14" t="e">
        <f>=Round(0.00000000,0)</f>
        <v>#VALUE!</v>
      </c>
    </row>
    <row r="9002" ht="-1">
      <c r="A9002" s="15"/>
      <c r="B9002" s="16" t="s">
        <v>56</v>
      </c>
      <c r="C9002" s="15"/>
      <c r="D9002" s="15"/>
      <c r="E9002" s="15"/>
      <c r="F9002" s="15"/>
      <c r="G9002" s="15"/>
      <c r="H9002" s="15"/>
      <c r="I9002" s="17" t="e">
        <f>=Round(SUM(I8976:I9001),0)</f>
        <v>#VALUE!</v>
      </c>
      <c r="J9002" s="17" t="e">
        <f>=Round(SUM(J8976:J9001),0)</f>
        <v>#VALUE!</v>
      </c>
    </row>
    <row r="9003">
      <c r="A9003" s="1" t="s">
        <v>0</v>
      </c>
      <c r="B9003" s="1"/>
      <c r="C9003" s="1"/>
      <c r="D9003" s="1"/>
    </row>
    <row r="9004">
      <c r="A9004" s="0" t="s">
        <v>1</v>
      </c>
      <c r="C9004" s="0" t="s">
        <v>308</v>
      </c>
      <c r="H9004" s="2" t="s">
        <v>3</v>
      </c>
    </row>
    <row r="9005">
      <c r="A9005" s="0" t="s">
        <v>4</v>
      </c>
      <c r="C9005" s="0" t="s">
        <v>310</v>
      </c>
      <c r="H9005" s="3" t="s">
        <v>6</v>
      </c>
    </row>
    <row r="9006">
      <c r="A9006" s="0" t="s">
        <v>7</v>
      </c>
      <c r="C9006" s="4" t="s">
        <v>219</v>
      </c>
      <c r="H9006" s="2" t="s">
        <v>9</v>
      </c>
    </row>
    <row r="9007">
      <c r="A9007" s="0" t="s">
        <v>10</v>
      </c>
      <c r="C9007" s="4" t="s">
        <v>11</v>
      </c>
      <c r="H9007" s="2" t="s">
        <v>12</v>
      </c>
    </row>
    <row r="9008">
      <c r="A9008" s="0" t="s">
        <v>13</v>
      </c>
      <c r="C9008" s="0" t="s">
        <v>14</v>
      </c>
    </row>
    <row r="9009">
      <c r="A9009" s="0" t="s">
        <v>15</v>
      </c>
      <c r="C9009" s="0" t="s">
        <v>16</v>
      </c>
    </row>
    <row r="9010">
      <c r="A9010" s="0" t="s">
        <v>17</v>
      </c>
      <c r="C9010" s="0" t="s">
        <v>18</v>
      </c>
    </row>
    <row r="9013">
      <c r="A9013" s="5" t="s">
        <v>19</v>
      </c>
      <c r="B9013" s="5" t="s">
        <v>20</v>
      </c>
      <c r="C9013" s="7" t="s">
        <v>21</v>
      </c>
      <c r="D9013" s="9"/>
      <c r="E9013" s="7" t="s">
        <v>22</v>
      </c>
      <c r="F9013" s="9"/>
      <c r="G9013" s="5" t="s">
        <v>23</v>
      </c>
      <c r="H9013" s="5" t="s">
        <v>24</v>
      </c>
      <c r="I9013" s="5" t="s">
        <v>220</v>
      </c>
      <c r="J9013" s="5" t="s">
        <v>26</v>
      </c>
    </row>
    <row r="9014">
      <c r="A9014" s="6"/>
      <c r="B9014" s="6"/>
      <c r="C9014" s="8" t="s">
        <v>27</v>
      </c>
      <c r="D9014" s="8" t="s">
        <v>28</v>
      </c>
      <c r="E9014" s="8" t="s">
        <v>27</v>
      </c>
      <c r="F9014" s="8" t="s">
        <v>28</v>
      </c>
      <c r="G9014" s="6"/>
      <c r="H9014" s="6"/>
      <c r="I9014" s="10" t="s">
        <v>29</v>
      </c>
      <c r="J9014" s="6"/>
    </row>
    <row r="9015">
      <c r="A9015" s="11" t="s">
        <v>30</v>
      </c>
      <c r="B9015" s="12">
        <v>1087.836</v>
      </c>
      <c r="C9015" s="12">
        <v>0</v>
      </c>
      <c r="D9015" s="13">
        <v>0</v>
      </c>
      <c r="E9015" s="12">
        <v>0</v>
      </c>
      <c r="F9015" s="14">
        <v>0</v>
      </c>
      <c r="G9015" s="13">
        <v>37334781.8715</v>
      </c>
      <c r="H9015" s="14">
        <v>40614119771.965073</v>
      </c>
      <c r="I9015" s="14" t="e">
        <f>=Round(1832896.64390000,0)</f>
        <v>#VALUE!</v>
      </c>
      <c r="J9015" s="14" t="e">
        <f>=Round(0.00000000,0)</f>
        <v>#VALUE!</v>
      </c>
    </row>
    <row r="9016">
      <c r="A9016" s="11" t="s">
        <v>31</v>
      </c>
      <c r="B9016" s="12">
        <v>1089.903</v>
      </c>
      <c r="C9016" s="12">
        <v>0</v>
      </c>
      <c r="D9016" s="13">
        <v>0</v>
      </c>
      <c r="E9016" s="12">
        <v>0</v>
      </c>
      <c r="F9016" s="14">
        <v>0</v>
      </c>
      <c r="G9016" s="13">
        <v>37334781.8715</v>
      </c>
      <c r="H9016" s="14">
        <v>40691290766.093468</v>
      </c>
      <c r="I9016" s="14" t="e">
        <f>=Round(1830964.41590000,0)</f>
        <v>#VALUE!</v>
      </c>
      <c r="J9016" s="14" t="e">
        <f>=Round(0.00000000,0)</f>
        <v>#VALUE!</v>
      </c>
    </row>
    <row r="9017">
      <c r="A9017" s="11" t="s">
        <v>32</v>
      </c>
      <c r="B9017" s="12">
        <v>1089.687</v>
      </c>
      <c r="C9017" s="12">
        <v>0</v>
      </c>
      <c r="D9017" s="13">
        <v>0</v>
      </c>
      <c r="E9017" s="12">
        <v>0</v>
      </c>
      <c r="F9017" s="14">
        <v>0</v>
      </c>
      <c r="G9017" s="13">
        <v>37334781.8715</v>
      </c>
      <c r="H9017" s="14">
        <v>40683226453.209221</v>
      </c>
      <c r="I9017" s="14" t="e">
        <f>=Round(1834443.43620000,0)</f>
        <v>#VALUE!</v>
      </c>
      <c r="J9017" s="14" t="e">
        <f>=Round(0.00000000,0)</f>
        <v>#VALUE!</v>
      </c>
    </row>
    <row r="9018">
      <c r="A9018" s="11" t="s">
        <v>33</v>
      </c>
      <c r="B9018" s="12">
        <v>1089.987</v>
      </c>
      <c r="C9018" s="12">
        <v>0</v>
      </c>
      <c r="D9018" s="13">
        <v>0</v>
      </c>
      <c r="E9018" s="12">
        <v>0</v>
      </c>
      <c r="F9018" s="14">
        <v>0</v>
      </c>
      <c r="G9018" s="13">
        <v>37334781.8715</v>
      </c>
      <c r="H9018" s="14">
        <v>40694426887.770676</v>
      </c>
      <c r="I9018" s="14" t="e">
        <f>=Round(1834079.88110000,0)</f>
        <v>#VALUE!</v>
      </c>
      <c r="J9018" s="14" t="e">
        <f>=Round(0.00000000,0)</f>
        <v>#VALUE!</v>
      </c>
    </row>
    <row r="9019">
      <c r="A9019" s="11" t="s">
        <v>34</v>
      </c>
      <c r="B9019" s="12">
        <v>1095.532</v>
      </c>
      <c r="C9019" s="12">
        <v>0</v>
      </c>
      <c r="D9019" s="13">
        <v>0</v>
      </c>
      <c r="E9019" s="12">
        <v>0</v>
      </c>
      <c r="F9019" s="14">
        <v>0</v>
      </c>
      <c r="G9019" s="13">
        <v>37334781.8715</v>
      </c>
      <c r="H9019" s="14">
        <v>40901448253.248138</v>
      </c>
      <c r="I9019" s="14" t="e">
        <f>=Round(1834584.81870000,0)</f>
        <v>#VALUE!</v>
      </c>
      <c r="J9019" s="14" t="e">
        <f>=Round(0.00000000,0)</f>
        <v>#VALUE!</v>
      </c>
    </row>
    <row r="9020">
      <c r="A9020" s="11" t="s">
        <v>35</v>
      </c>
      <c r="B9020" s="12">
        <v>1095.532</v>
      </c>
      <c r="C9020" s="12">
        <v>0</v>
      </c>
      <c r="D9020" s="13">
        <v>0</v>
      </c>
      <c r="E9020" s="12">
        <v>0</v>
      </c>
      <c r="F9020" s="14">
        <v>0</v>
      </c>
      <c r="G9020" s="13">
        <v>37334781.8715</v>
      </c>
      <c r="H9020" s="14">
        <v>40901448253.248138</v>
      </c>
      <c r="I9020" s="14" t="e">
        <f>=Round(1843917.74910000,0)</f>
        <v>#VALUE!</v>
      </c>
      <c r="J9020" s="14" t="e">
        <f>=Round(0.00000000,0)</f>
        <v>#VALUE!</v>
      </c>
    </row>
    <row r="9021">
      <c r="A9021" s="11" t="s">
        <v>36</v>
      </c>
      <c r="B9021" s="12">
        <v>1095.532</v>
      </c>
      <c r="C9021" s="12">
        <v>0</v>
      </c>
      <c r="D9021" s="13">
        <v>0</v>
      </c>
      <c r="E9021" s="12">
        <v>0</v>
      </c>
      <c r="F9021" s="14">
        <v>0</v>
      </c>
      <c r="G9021" s="13">
        <v>37334781.8715</v>
      </c>
      <c r="H9021" s="14">
        <v>40901448253.248138</v>
      </c>
      <c r="I9021" s="14" t="e">
        <f>=Round(1843917.74910000,0)</f>
        <v>#VALUE!</v>
      </c>
      <c r="J9021" s="14" t="e">
        <f>=Round(0.00000000,0)</f>
        <v>#VALUE!</v>
      </c>
    </row>
    <row r="9022">
      <c r="A9022" s="11" t="s">
        <v>37</v>
      </c>
      <c r="B9022" s="12">
        <v>1094.389</v>
      </c>
      <c r="C9022" s="12">
        <v>0</v>
      </c>
      <c r="D9022" s="13">
        <v>0</v>
      </c>
      <c r="E9022" s="12">
        <v>0</v>
      </c>
      <c r="F9022" s="14">
        <v>0</v>
      </c>
      <c r="G9022" s="13">
        <v>37334781.8715</v>
      </c>
      <c r="H9022" s="14">
        <v>40858774597.569016</v>
      </c>
      <c r="I9022" s="14" t="e">
        <f>=Round(1843917.74910000,0)</f>
        <v>#VALUE!</v>
      </c>
      <c r="J9022" s="14" t="e">
        <f>=Round(0.00000000,0)</f>
        <v>#VALUE!</v>
      </c>
    </row>
    <row r="9023">
      <c r="A9023" s="11" t="s">
        <v>38</v>
      </c>
      <c r="B9023" s="12">
        <v>1089.685</v>
      </c>
      <c r="C9023" s="12">
        <v>0</v>
      </c>
      <c r="D9023" s="13">
        <v>0</v>
      </c>
      <c r="E9023" s="12">
        <v>0</v>
      </c>
      <c r="F9023" s="14">
        <v>0</v>
      </c>
      <c r="G9023" s="13">
        <v>37334781.8715</v>
      </c>
      <c r="H9023" s="14">
        <v>40683151783.645477</v>
      </c>
      <c r="I9023" s="14" t="e">
        <f>=Round(1841993.93680000,0)</f>
        <v>#VALUE!</v>
      </c>
      <c r="J9023" s="14" t="e">
        <f>=Round(0.00000000,0)</f>
        <v>#VALUE!</v>
      </c>
    </row>
    <row r="9024">
      <c r="A9024" s="11" t="s">
        <v>39</v>
      </c>
      <c r="B9024" s="12">
        <v>1092.193</v>
      </c>
      <c r="C9024" s="12">
        <v>0</v>
      </c>
      <c r="D9024" s="13">
        <v>0</v>
      </c>
      <c r="E9024" s="12">
        <v>0</v>
      </c>
      <c r="F9024" s="14">
        <v>0</v>
      </c>
      <c r="G9024" s="13">
        <v>37334781.8715</v>
      </c>
      <c r="H9024" s="14">
        <v>40776787416.5792</v>
      </c>
      <c r="I9024" s="14" t="e">
        <f>=Round(1834076.51480000,0)</f>
        <v>#VALUE!</v>
      </c>
      <c r="J9024" s="14" t="e">
        <f>=Round(0.00000000,0)</f>
        <v>#VALUE!</v>
      </c>
    </row>
    <row r="9025">
      <c r="A9025" s="11" t="s">
        <v>40</v>
      </c>
      <c r="B9025" s="12">
        <v>1090.532</v>
      </c>
      <c r="C9025" s="12">
        <v>0</v>
      </c>
      <c r="D9025" s="13">
        <v>0</v>
      </c>
      <c r="E9025" s="12">
        <v>0</v>
      </c>
      <c r="F9025" s="14">
        <v>0</v>
      </c>
      <c r="G9025" s="13">
        <v>37334781.8715</v>
      </c>
      <c r="H9025" s="14">
        <v>40714774343.89064</v>
      </c>
      <c r="I9025" s="14" t="e">
        <f>=Round(1838297.79340000,0)</f>
        <v>#VALUE!</v>
      </c>
      <c r="J9025" s="14" t="e">
        <f>=Round(0.00000000,0)</f>
        <v>#VALUE!</v>
      </c>
    </row>
    <row r="9026">
      <c r="A9026" s="11" t="s">
        <v>41</v>
      </c>
      <c r="B9026" s="12">
        <v>1094.032</v>
      </c>
      <c r="C9026" s="12">
        <v>0</v>
      </c>
      <c r="D9026" s="13">
        <v>0</v>
      </c>
      <c r="E9026" s="12">
        <v>0</v>
      </c>
      <c r="F9026" s="14">
        <v>0</v>
      </c>
      <c r="G9026" s="13">
        <v>37334781.8715</v>
      </c>
      <c r="H9026" s="14">
        <v>40845446080.440887</v>
      </c>
      <c r="I9026" s="14" t="e">
        <f>=Round(1835502.12210000,0)</f>
        <v>#VALUE!</v>
      </c>
      <c r="J9026" s="14" t="e">
        <f>=Round(0.00000000,0)</f>
        <v>#VALUE!</v>
      </c>
    </row>
    <row r="9027">
      <c r="A9027" s="11" t="s">
        <v>42</v>
      </c>
      <c r="B9027" s="12">
        <v>1094.032</v>
      </c>
      <c r="C9027" s="12">
        <v>0</v>
      </c>
      <c r="D9027" s="13">
        <v>0</v>
      </c>
      <c r="E9027" s="12">
        <v>0</v>
      </c>
      <c r="F9027" s="14">
        <v>0</v>
      </c>
      <c r="G9027" s="13">
        <v>37334781.8715</v>
      </c>
      <c r="H9027" s="14">
        <v>40845446080.440887</v>
      </c>
      <c r="I9027" s="14" t="e">
        <f>=Round(1841393.06100000,0)</f>
        <v>#VALUE!</v>
      </c>
      <c r="J9027" s="14" t="e">
        <f>=Round(0.00000000,0)</f>
        <v>#VALUE!</v>
      </c>
    </row>
    <row r="9028">
      <c r="A9028" s="11" t="s">
        <v>43</v>
      </c>
      <c r="B9028" s="12">
        <v>1094.032</v>
      </c>
      <c r="C9028" s="12">
        <v>0</v>
      </c>
      <c r="D9028" s="13">
        <v>0</v>
      </c>
      <c r="E9028" s="12">
        <v>0</v>
      </c>
      <c r="F9028" s="14">
        <v>0</v>
      </c>
      <c r="G9028" s="13">
        <v>37334781.8715</v>
      </c>
      <c r="H9028" s="14">
        <v>40845446080.440887</v>
      </c>
      <c r="I9028" s="14" t="e">
        <f>=Round(1841393.06100000,0)</f>
        <v>#VALUE!</v>
      </c>
      <c r="J9028" s="14" t="e">
        <f>=Round(0.00000000,0)</f>
        <v>#VALUE!</v>
      </c>
    </row>
    <row r="9029">
      <c r="A9029" s="11" t="s">
        <v>44</v>
      </c>
      <c r="B9029" s="12">
        <v>1092.426</v>
      </c>
      <c r="C9029" s="12">
        <v>0</v>
      </c>
      <c r="D9029" s="13">
        <v>0</v>
      </c>
      <c r="E9029" s="12">
        <v>0</v>
      </c>
      <c r="F9029" s="14">
        <v>0</v>
      </c>
      <c r="G9029" s="13">
        <v>37334781.8715</v>
      </c>
      <c r="H9029" s="14">
        <v>40785486420.755257</v>
      </c>
      <c r="I9029" s="14" t="e">
        <f>=Round(1841393.06100000,0)</f>
        <v>#VALUE!</v>
      </c>
      <c r="J9029" s="14" t="e">
        <f>=Round(0.00000000,0)</f>
        <v>#VALUE!</v>
      </c>
    </row>
    <row r="9030">
      <c r="A9030" s="11" t="s">
        <v>45</v>
      </c>
      <c r="B9030" s="12">
        <v>1093.992</v>
      </c>
      <c r="C9030" s="12">
        <v>0</v>
      </c>
      <c r="D9030" s="13">
        <v>0</v>
      </c>
      <c r="E9030" s="12">
        <v>0</v>
      </c>
      <c r="F9030" s="14">
        <v>0</v>
      </c>
      <c r="G9030" s="13">
        <v>37334781.8715</v>
      </c>
      <c r="H9030" s="14">
        <v>40843952689.166031</v>
      </c>
      <c r="I9030" s="14" t="e">
        <f>=Round(1838689.96160000,0)</f>
        <v>#VALUE!</v>
      </c>
      <c r="J9030" s="14" t="e">
        <f>=Round(0.00000000,0)</f>
        <v>#VALUE!</v>
      </c>
    </row>
    <row r="9031">
      <c r="A9031" s="11" t="s">
        <v>46</v>
      </c>
      <c r="B9031" s="12">
        <v>1095.583</v>
      </c>
      <c r="C9031" s="12">
        <v>0</v>
      </c>
      <c r="D9031" s="13">
        <v>0</v>
      </c>
      <c r="E9031" s="12">
        <v>0</v>
      </c>
      <c r="F9031" s="14">
        <v>0</v>
      </c>
      <c r="G9031" s="13">
        <v>37334781.8715</v>
      </c>
      <c r="H9031" s="14">
        <v>40903352327.123581</v>
      </c>
      <c r="I9031" s="14" t="e">
        <f>=Round(1841325.73600000,0)</f>
        <v>#VALUE!</v>
      </c>
      <c r="J9031" s="14" t="e">
        <f>=Round(0.00000000,0)</f>
        <v>#VALUE!</v>
      </c>
    </row>
    <row r="9032">
      <c r="A9032" s="11" t="s">
        <v>47</v>
      </c>
      <c r="B9032" s="12">
        <v>1097.406</v>
      </c>
      <c r="C9032" s="12">
        <v>0</v>
      </c>
      <c r="D9032" s="13">
        <v>0</v>
      </c>
      <c r="E9032" s="12">
        <v>0</v>
      </c>
      <c r="F9032" s="14">
        <v>0</v>
      </c>
      <c r="G9032" s="13">
        <v>37334781.8715</v>
      </c>
      <c r="H9032" s="14">
        <v>40971413634.475327</v>
      </c>
      <c r="I9032" s="14" t="e">
        <f>=Round(1844003.58850000,0)</f>
        <v>#VALUE!</v>
      </c>
      <c r="J9032" s="14" t="e">
        <f>=Round(0.00000000,0)</f>
        <v>#VALUE!</v>
      </c>
    </row>
    <row r="9033">
      <c r="A9033" s="11" t="s">
        <v>48</v>
      </c>
      <c r="B9033" s="12">
        <v>1097.772</v>
      </c>
      <c r="C9033" s="12">
        <v>0</v>
      </c>
      <c r="D9033" s="13">
        <v>0</v>
      </c>
      <c r="E9033" s="12">
        <v>0</v>
      </c>
      <c r="F9033" s="14">
        <v>0</v>
      </c>
      <c r="G9033" s="13">
        <v>37334781.8715</v>
      </c>
      <c r="H9033" s="14">
        <v>40985078164.6403</v>
      </c>
      <c r="I9033" s="14" t="e">
        <f>=Round(1847071.92610000,0)</f>
        <v>#VALUE!</v>
      </c>
      <c r="J9033" s="14" t="e">
        <f>=Round(0.00000000,0)</f>
        <v>#VALUE!</v>
      </c>
    </row>
    <row r="9034">
      <c r="A9034" s="11" t="s">
        <v>49</v>
      </c>
      <c r="B9034" s="12">
        <v>1097.772</v>
      </c>
      <c r="C9034" s="12">
        <v>0</v>
      </c>
      <c r="D9034" s="13">
        <v>0</v>
      </c>
      <c r="E9034" s="12">
        <v>0</v>
      </c>
      <c r="F9034" s="14">
        <v>0</v>
      </c>
      <c r="G9034" s="13">
        <v>37334781.8715</v>
      </c>
      <c r="H9034" s="14">
        <v>40985078164.6403</v>
      </c>
      <c r="I9034" s="14" t="e">
        <f>=Round(1847687.95000000,0)</f>
        <v>#VALUE!</v>
      </c>
      <c r="J9034" s="14" t="e">
        <f>=Round(0.00000000,0)</f>
        <v>#VALUE!</v>
      </c>
    </row>
    <row r="9035">
      <c r="A9035" s="11" t="s">
        <v>50</v>
      </c>
      <c r="B9035" s="12">
        <v>1097.772</v>
      </c>
      <c r="C9035" s="12">
        <v>0</v>
      </c>
      <c r="D9035" s="13">
        <v>0</v>
      </c>
      <c r="E9035" s="12">
        <v>0</v>
      </c>
      <c r="F9035" s="14">
        <v>0</v>
      </c>
      <c r="G9035" s="13">
        <v>37334781.8715</v>
      </c>
      <c r="H9035" s="14">
        <v>40985078164.6403</v>
      </c>
      <c r="I9035" s="14" t="e">
        <f>=Round(1847687.95000000,0)</f>
        <v>#VALUE!</v>
      </c>
      <c r="J9035" s="14" t="e">
        <f>=Round(0.00000000,0)</f>
        <v>#VALUE!</v>
      </c>
    </row>
    <row r="9036">
      <c r="A9036" s="11" t="s">
        <v>51</v>
      </c>
      <c r="B9036" s="12">
        <v>1098.496</v>
      </c>
      <c r="C9036" s="12">
        <v>0</v>
      </c>
      <c r="D9036" s="13">
        <v>0</v>
      </c>
      <c r="E9036" s="12">
        <v>0</v>
      </c>
      <c r="F9036" s="14">
        <v>0</v>
      </c>
      <c r="G9036" s="13">
        <v>37334781.8715</v>
      </c>
      <c r="H9036" s="14">
        <v>41012108546.715263</v>
      </c>
      <c r="I9036" s="14" t="e">
        <f>=Round(1847687.95000000,0)</f>
        <v>#VALUE!</v>
      </c>
      <c r="J9036" s="14" t="e">
        <f>=Round(0.00000000,0)</f>
        <v>#VALUE!</v>
      </c>
    </row>
    <row r="9037">
      <c r="A9037" s="11" t="s">
        <v>52</v>
      </c>
      <c r="B9037" s="12">
        <v>1099.793</v>
      </c>
      <c r="C9037" s="12">
        <v>0</v>
      </c>
      <c r="D9037" s="13">
        <v>0</v>
      </c>
      <c r="E9037" s="12">
        <v>0</v>
      </c>
      <c r="F9037" s="14">
        <v>0</v>
      </c>
      <c r="G9037" s="13">
        <v>37334781.8715</v>
      </c>
      <c r="H9037" s="14">
        <v>41060531758.8026</v>
      </c>
      <c r="I9037" s="14" t="e">
        <f>=Round(1848906.53280000,0)</f>
        <v>#VALUE!</v>
      </c>
      <c r="J9037" s="14" t="e">
        <f>=Round(0.00000000,0)</f>
        <v>#VALUE!</v>
      </c>
    </row>
    <row r="9038">
      <c r="A9038" s="11" t="s">
        <v>53</v>
      </c>
      <c r="B9038" s="12">
        <v>1100.156</v>
      </c>
      <c r="C9038" s="12">
        <v>0</v>
      </c>
      <c r="D9038" s="13">
        <v>0</v>
      </c>
      <c r="E9038" s="12">
        <v>0</v>
      </c>
      <c r="F9038" s="14">
        <v>0</v>
      </c>
      <c r="G9038" s="13">
        <v>37334781.8715</v>
      </c>
      <c r="H9038" s="14">
        <v>41074084284.621948</v>
      </c>
      <c r="I9038" s="14" t="e">
        <f>=Round(1851089.54650000,0)</f>
        <v>#VALUE!</v>
      </c>
      <c r="J9038" s="14" t="e">
        <f>=Round(0.00000000,0)</f>
        <v>#VALUE!</v>
      </c>
    </row>
    <row r="9039">
      <c r="A9039" s="11" t="s">
        <v>54</v>
      </c>
      <c r="B9039" s="12">
        <v>1100.444</v>
      </c>
      <c r="C9039" s="12">
        <v>0</v>
      </c>
      <c r="D9039" s="13">
        <v>0</v>
      </c>
      <c r="E9039" s="12">
        <v>0</v>
      </c>
      <c r="F9039" s="14">
        <v>0</v>
      </c>
      <c r="G9039" s="13">
        <v>37334781.8715</v>
      </c>
      <c r="H9039" s="14">
        <v>41084836701.800941</v>
      </c>
      <c r="I9039" s="14" t="e">
        <f>=Round(1851700.52100000,0)</f>
        <v>#VALUE!</v>
      </c>
      <c r="J9039" s="14" t="e">
        <f>=Round(0.00000000,0)</f>
        <v>#VALUE!</v>
      </c>
    </row>
    <row r="9040">
      <c r="A9040" s="11" t="s">
        <v>55</v>
      </c>
      <c r="B9040" s="12">
        <v>1097.991</v>
      </c>
      <c r="C9040" s="12">
        <v>0</v>
      </c>
      <c r="D9040" s="13">
        <v>0</v>
      </c>
      <c r="E9040" s="12">
        <v>0</v>
      </c>
      <c r="F9040" s="14">
        <v>0</v>
      </c>
      <c r="G9040" s="13">
        <v>37334781.8715</v>
      </c>
      <c r="H9040" s="14">
        <v>40993254481.870163</v>
      </c>
      <c r="I9040" s="14" t="e">
        <f>=Round(1852185.26110000,0)</f>
        <v>#VALUE!</v>
      </c>
      <c r="J9040" s="14" t="e">
        <f>=Round(0.00000000,0)</f>
        <v>#VALUE!</v>
      </c>
    </row>
    <row r="9041" ht="-1">
      <c r="A9041" s="15"/>
      <c r="B9041" s="16" t="s">
        <v>56</v>
      </c>
      <c r="C9041" s="15"/>
      <c r="D9041" s="15"/>
      <c r="E9041" s="15"/>
      <c r="F9041" s="15"/>
      <c r="G9041" s="15"/>
      <c r="H9041" s="15"/>
      <c r="I9041" s="17" t="e">
        <f>=Round(SUM(I9015:I9040),0)</f>
        <v>#VALUE!</v>
      </c>
      <c r="J9041" s="17" t="e">
        <f>=Round(SUM(J9015:J9040),0)</f>
        <v>#VALUE!</v>
      </c>
    </row>
    <row r="9042">
      <c r="A9042" s="1" t="s">
        <v>0</v>
      </c>
      <c r="B9042" s="1"/>
      <c r="C9042" s="1"/>
      <c r="D9042" s="1"/>
    </row>
    <row r="9043">
      <c r="A9043" s="0" t="s">
        <v>1</v>
      </c>
      <c r="C9043" s="0" t="s">
        <v>308</v>
      </c>
      <c r="H9043" s="2" t="s">
        <v>3</v>
      </c>
    </row>
    <row r="9044">
      <c r="A9044" s="0" t="s">
        <v>4</v>
      </c>
      <c r="C9044" s="0" t="s">
        <v>311</v>
      </c>
      <c r="H9044" s="3" t="s">
        <v>6</v>
      </c>
    </row>
    <row r="9045">
      <c r="A9045" s="0" t="s">
        <v>7</v>
      </c>
      <c r="C9045" s="4" t="s">
        <v>219</v>
      </c>
      <c r="H9045" s="2" t="s">
        <v>9</v>
      </c>
    </row>
    <row r="9046">
      <c r="A9046" s="0" t="s">
        <v>10</v>
      </c>
      <c r="C9046" s="4" t="s">
        <v>11</v>
      </c>
      <c r="H9046" s="2" t="s">
        <v>12</v>
      </c>
    </row>
    <row r="9047">
      <c r="A9047" s="0" t="s">
        <v>13</v>
      </c>
      <c r="C9047" s="0" t="s">
        <v>14</v>
      </c>
    </row>
    <row r="9048">
      <c r="A9048" s="0" t="s">
        <v>15</v>
      </c>
      <c r="C9048" s="0" t="s">
        <v>16</v>
      </c>
    </row>
    <row r="9049">
      <c r="A9049" s="0" t="s">
        <v>17</v>
      </c>
      <c r="C9049" s="0" t="s">
        <v>18</v>
      </c>
    </row>
    <row r="9052">
      <c r="A9052" s="5" t="s">
        <v>19</v>
      </c>
      <c r="B9052" s="5" t="s">
        <v>20</v>
      </c>
      <c r="C9052" s="7" t="s">
        <v>21</v>
      </c>
      <c r="D9052" s="9"/>
      <c r="E9052" s="7" t="s">
        <v>22</v>
      </c>
      <c r="F9052" s="9"/>
      <c r="G9052" s="5" t="s">
        <v>23</v>
      </c>
      <c r="H9052" s="5" t="s">
        <v>24</v>
      </c>
      <c r="I9052" s="5" t="s">
        <v>220</v>
      </c>
      <c r="J9052" s="5" t="s">
        <v>26</v>
      </c>
    </row>
    <row r="9053">
      <c r="A9053" s="6"/>
      <c r="B9053" s="6"/>
      <c r="C9053" s="8" t="s">
        <v>27</v>
      </c>
      <c r="D9053" s="8" t="s">
        <v>28</v>
      </c>
      <c r="E9053" s="8" t="s">
        <v>27</v>
      </c>
      <c r="F9053" s="8" t="s">
        <v>28</v>
      </c>
      <c r="G9053" s="6"/>
      <c r="H9053" s="6"/>
      <c r="I9053" s="10" t="s">
        <v>29</v>
      </c>
      <c r="J9053" s="6"/>
    </row>
    <row r="9054">
      <c r="A9054" s="11" t="s">
        <v>30</v>
      </c>
      <c r="B9054" s="12">
        <v>1087.836</v>
      </c>
      <c r="C9054" s="12">
        <v>0</v>
      </c>
      <c r="D9054" s="13">
        <v>0</v>
      </c>
      <c r="E9054" s="12">
        <v>0</v>
      </c>
      <c r="F9054" s="14">
        <v>0</v>
      </c>
      <c r="G9054" s="13">
        <v>68364396.8349</v>
      </c>
      <c r="H9054" s="14">
        <v>74369251995.290268</v>
      </c>
      <c r="I9054" s="14" t="e">
        <f>=Round(3356250.31780000,0)</f>
        <v>#VALUE!</v>
      </c>
      <c r="J9054" s="14" t="e">
        <f>=Round(0.00000000,0)</f>
        <v>#VALUE!</v>
      </c>
    </row>
    <row r="9055">
      <c r="A9055" s="11" t="s">
        <v>31</v>
      </c>
      <c r="B9055" s="12">
        <v>1089.903</v>
      </c>
      <c r="C9055" s="12">
        <v>0</v>
      </c>
      <c r="D9055" s="13">
        <v>0</v>
      </c>
      <c r="E9055" s="12">
        <v>0</v>
      </c>
      <c r="F9055" s="14">
        <v>0</v>
      </c>
      <c r="G9055" s="13">
        <v>68364396.8349</v>
      </c>
      <c r="H9055" s="14">
        <v>74510561203.548019</v>
      </c>
      <c r="I9055" s="14" t="e">
        <f>=Round(3352712.18010000,0)</f>
        <v>#VALUE!</v>
      </c>
      <c r="J9055" s="14" t="e">
        <f>=Round(0.00000000,0)</f>
        <v>#VALUE!</v>
      </c>
    </row>
    <row r="9056">
      <c r="A9056" s="11" t="s">
        <v>32</v>
      </c>
      <c r="B9056" s="12">
        <v>1089.687</v>
      </c>
      <c r="C9056" s="12">
        <v>0</v>
      </c>
      <c r="D9056" s="13">
        <v>0</v>
      </c>
      <c r="E9056" s="12">
        <v>0</v>
      </c>
      <c r="F9056" s="14">
        <v>0</v>
      </c>
      <c r="G9056" s="13">
        <v>68364396.8349</v>
      </c>
      <c r="H9056" s="14">
        <v>74495794493.83168</v>
      </c>
      <c r="I9056" s="14" t="e">
        <f>=Round(3359082.67720000,0)</f>
        <v>#VALUE!</v>
      </c>
      <c r="J9056" s="14" t="e">
        <f>=Round(0.00000000,0)</f>
        <v>#VALUE!</v>
      </c>
    </row>
    <row r="9057">
      <c r="A9057" s="11" t="s">
        <v>33</v>
      </c>
      <c r="B9057" s="12">
        <v>1089.987</v>
      </c>
      <c r="C9057" s="12">
        <v>0</v>
      </c>
      <c r="D9057" s="13">
        <v>0</v>
      </c>
      <c r="E9057" s="12">
        <v>917442.1346</v>
      </c>
      <c r="F9057" s="14">
        <v>999999999.97</v>
      </c>
      <c r="G9057" s="13">
        <v>68364396.8349</v>
      </c>
      <c r="H9057" s="14">
        <v>74516303812.882141</v>
      </c>
      <c r="I9057" s="14" t="e">
        <f>=Round(3358416.96490000,0)</f>
        <v>#VALUE!</v>
      </c>
      <c r="J9057" s="14" t="e">
        <f>=Round(0.00000000,0)</f>
        <v>#VALUE!</v>
      </c>
    </row>
    <row r="9058">
      <c r="A9058" s="11" t="s">
        <v>34</v>
      </c>
      <c r="B9058" s="12">
        <v>1095.532</v>
      </c>
      <c r="C9058" s="12">
        <v>0</v>
      </c>
      <c r="D9058" s="13">
        <v>0</v>
      </c>
      <c r="E9058" s="12">
        <v>0</v>
      </c>
      <c r="F9058" s="14">
        <v>0</v>
      </c>
      <c r="G9058" s="13">
        <v>67446954.700300008</v>
      </c>
      <c r="H9058" s="14">
        <v>73890297176.72905</v>
      </c>
      <c r="I9058" s="14" t="e">
        <f>=Round(3359341.56530000,0)</f>
        <v>#VALUE!</v>
      </c>
      <c r="J9058" s="14" t="e">
        <f>=Round(0.00000000,0)</f>
        <v>#VALUE!</v>
      </c>
    </row>
    <row r="9059">
      <c r="A9059" s="11" t="s">
        <v>35</v>
      </c>
      <c r="B9059" s="12">
        <v>1095.532</v>
      </c>
      <c r="C9059" s="12">
        <v>0</v>
      </c>
      <c r="D9059" s="13">
        <v>0</v>
      </c>
      <c r="E9059" s="12">
        <v>0</v>
      </c>
      <c r="F9059" s="14">
        <v>0</v>
      </c>
      <c r="G9059" s="13">
        <v>67446954.700300008</v>
      </c>
      <c r="H9059" s="14">
        <v>73890297176.72905</v>
      </c>
      <c r="I9059" s="14" t="e">
        <f>=Round(3331119.95470000,0)</f>
        <v>#VALUE!</v>
      </c>
      <c r="J9059" s="14" t="e">
        <f>=Round(0.00000000,0)</f>
        <v>#VALUE!</v>
      </c>
    </row>
    <row r="9060">
      <c r="A9060" s="11" t="s">
        <v>36</v>
      </c>
      <c r="B9060" s="12">
        <v>1095.532</v>
      </c>
      <c r="C9060" s="12">
        <v>0</v>
      </c>
      <c r="D9060" s="13">
        <v>0</v>
      </c>
      <c r="E9060" s="12">
        <v>0</v>
      </c>
      <c r="F9060" s="14">
        <v>0</v>
      </c>
      <c r="G9060" s="13">
        <v>67446954.700300008</v>
      </c>
      <c r="H9060" s="14">
        <v>73890297176.72905</v>
      </c>
      <c r="I9060" s="14" t="e">
        <f>=Round(3331119.95470000,0)</f>
        <v>#VALUE!</v>
      </c>
      <c r="J9060" s="14" t="e">
        <f>=Round(0.00000000,0)</f>
        <v>#VALUE!</v>
      </c>
    </row>
    <row r="9061">
      <c r="A9061" s="11" t="s">
        <v>37</v>
      </c>
      <c r="B9061" s="12">
        <v>1094.389</v>
      </c>
      <c r="C9061" s="12">
        <v>0</v>
      </c>
      <c r="D9061" s="13">
        <v>0</v>
      </c>
      <c r="E9061" s="12">
        <v>0</v>
      </c>
      <c r="F9061" s="14">
        <v>0</v>
      </c>
      <c r="G9061" s="13">
        <v>67446954.700300008</v>
      </c>
      <c r="H9061" s="14">
        <v>73813205307.506622</v>
      </c>
      <c r="I9061" s="14" t="e">
        <f>=Round(3331119.95470000,0)</f>
        <v>#VALUE!</v>
      </c>
      <c r="J9061" s="14" t="e">
        <f>=Round(0.00000000,0)</f>
        <v>#VALUE!</v>
      </c>
    </row>
    <row r="9062">
      <c r="A9062" s="11" t="s">
        <v>38</v>
      </c>
      <c r="B9062" s="12">
        <v>1089.685</v>
      </c>
      <c r="C9062" s="12">
        <v>0</v>
      </c>
      <c r="D9062" s="13">
        <v>0</v>
      </c>
      <c r="E9062" s="12">
        <v>22942409.9625</v>
      </c>
      <c r="F9062" s="14">
        <v>24999999999.99</v>
      </c>
      <c r="G9062" s="13">
        <v>67446954.700300008</v>
      </c>
      <c r="H9062" s="14">
        <v>73495934832.5964</v>
      </c>
      <c r="I9062" s="14" t="e">
        <f>=Round(3327644.50160000,0)</f>
        <v>#VALUE!</v>
      </c>
      <c r="J9062" s="14" t="e">
        <f>=Round(0.00000000,0)</f>
        <v>#VALUE!</v>
      </c>
    </row>
    <row r="9063">
      <c r="A9063" s="11" t="s">
        <v>39</v>
      </c>
      <c r="B9063" s="12">
        <v>1092.193</v>
      </c>
      <c r="C9063" s="12">
        <v>0</v>
      </c>
      <c r="D9063" s="13">
        <v>0</v>
      </c>
      <c r="E9063" s="12">
        <v>0</v>
      </c>
      <c r="F9063" s="14">
        <v>0</v>
      </c>
      <c r="G9063" s="13">
        <v>44504544.737799995</v>
      </c>
      <c r="H9063" s="14">
        <v>48607552230.811989</v>
      </c>
      <c r="I9063" s="14" t="e">
        <f>=Round(3313341.32440000,0)</f>
        <v>#VALUE!</v>
      </c>
      <c r="J9063" s="14" t="e">
        <f>=Round(0.00000000,0)</f>
        <v>#VALUE!</v>
      </c>
    </row>
    <row r="9064">
      <c r="A9064" s="11" t="s">
        <v>40</v>
      </c>
      <c r="B9064" s="12">
        <v>1090.532</v>
      </c>
      <c r="C9064" s="12">
        <v>0</v>
      </c>
      <c r="D9064" s="13">
        <v>0</v>
      </c>
      <c r="E9064" s="12">
        <v>22924590.9336</v>
      </c>
      <c r="F9064" s="14">
        <v>25000000000</v>
      </c>
      <c r="G9064" s="13">
        <v>44504544.737799995</v>
      </c>
      <c r="H9064" s="14">
        <v>48533630182.00251</v>
      </c>
      <c r="I9064" s="14" t="e">
        <f>=Round(2191324.07600000,0)</f>
        <v>#VALUE!</v>
      </c>
      <c r="J9064" s="14" t="e">
        <f>=Round(0.00000000,0)</f>
        <v>#VALUE!</v>
      </c>
    </row>
    <row r="9065">
      <c r="A9065" s="11" t="s">
        <v>41</v>
      </c>
      <c r="B9065" s="12">
        <v>1094.032</v>
      </c>
      <c r="C9065" s="12">
        <v>0</v>
      </c>
      <c r="D9065" s="13">
        <v>0</v>
      </c>
      <c r="E9065" s="12">
        <v>0</v>
      </c>
      <c r="F9065" s="14">
        <v>0</v>
      </c>
      <c r="G9065" s="13">
        <v>21579953.8042</v>
      </c>
      <c r="H9065" s="14">
        <v>23609160020.316536</v>
      </c>
      <c r="I9065" s="14" t="e">
        <f>=Round(2187991.52460000,0)</f>
        <v>#VALUE!</v>
      </c>
      <c r="J9065" s="14" t="e">
        <f>=Round(0.00000000,0)</f>
        <v>#VALUE!</v>
      </c>
    </row>
    <row r="9066">
      <c r="A9066" s="11" t="s">
        <v>42</v>
      </c>
      <c r="B9066" s="12">
        <v>1094.032</v>
      </c>
      <c r="C9066" s="12">
        <v>0</v>
      </c>
      <c r="D9066" s="13">
        <v>0</v>
      </c>
      <c r="E9066" s="12">
        <v>0</v>
      </c>
      <c r="F9066" s="14">
        <v>0</v>
      </c>
      <c r="G9066" s="13">
        <v>21579953.8042</v>
      </c>
      <c r="H9066" s="14">
        <v>23609160020.316536</v>
      </c>
      <c r="I9066" s="14" t="e">
        <f>=Round(1064347.37800000,0)</f>
        <v>#VALUE!</v>
      </c>
      <c r="J9066" s="14" t="e">
        <f>=Round(0.00000000,0)</f>
        <v>#VALUE!</v>
      </c>
    </row>
    <row r="9067">
      <c r="A9067" s="11" t="s">
        <v>43</v>
      </c>
      <c r="B9067" s="12">
        <v>1094.032</v>
      </c>
      <c r="C9067" s="12">
        <v>0</v>
      </c>
      <c r="D9067" s="13">
        <v>0</v>
      </c>
      <c r="E9067" s="12">
        <v>0</v>
      </c>
      <c r="F9067" s="14">
        <v>0</v>
      </c>
      <c r="G9067" s="13">
        <v>21579953.8042</v>
      </c>
      <c r="H9067" s="14">
        <v>23609160020.316536</v>
      </c>
      <c r="I9067" s="14" t="e">
        <f>=Round(1064347.37800000,0)</f>
        <v>#VALUE!</v>
      </c>
      <c r="J9067" s="14" t="e">
        <f>=Round(0.00000000,0)</f>
        <v>#VALUE!</v>
      </c>
    </row>
    <row r="9068">
      <c r="A9068" s="11" t="s">
        <v>44</v>
      </c>
      <c r="B9068" s="12">
        <v>1092.426</v>
      </c>
      <c r="C9068" s="12">
        <v>0</v>
      </c>
      <c r="D9068" s="13">
        <v>0</v>
      </c>
      <c r="E9068" s="12">
        <v>21579953.8042</v>
      </c>
      <c r="F9068" s="14">
        <v>23574502614.51</v>
      </c>
      <c r="G9068" s="13">
        <v>21579953.8042</v>
      </c>
      <c r="H9068" s="14">
        <v>23574502614.506989</v>
      </c>
      <c r="I9068" s="14" t="e">
        <f>=Round(1064347.37800000,0)</f>
        <v>#VALUE!</v>
      </c>
      <c r="J9068" s="14" t="e">
        <f>=Round(0.00000000,0)</f>
        <v>#VALUE!</v>
      </c>
    </row>
    <row r="9069">
      <c r="A9069" s="11" t="s">
        <v>45</v>
      </c>
      <c r="B9069" s="12">
        <v>1093.992</v>
      </c>
      <c r="C9069" s="12">
        <v>0</v>
      </c>
      <c r="D9069" s="13">
        <v>0</v>
      </c>
      <c r="E9069" s="12">
        <v>0</v>
      </c>
      <c r="F9069" s="14">
        <v>0</v>
      </c>
      <c r="G9069" s="13">
        <v>0</v>
      </c>
      <c r="H9069" s="14">
        <v>0</v>
      </c>
      <c r="I9069" s="14" t="e">
        <f>=Round(1062784.95390000,0)</f>
        <v>#VALUE!</v>
      </c>
      <c r="J9069" s="14" t="e">
        <f>=Round(0.00000000,0)</f>
        <v>#VALUE!</v>
      </c>
    </row>
    <row r="9070">
      <c r="A9070" s="11" t="s">
        <v>46</v>
      </c>
      <c r="B9070" s="12">
        <v>1095.583</v>
      </c>
      <c r="C9070" s="12">
        <v>0</v>
      </c>
      <c r="D9070" s="13">
        <v>0</v>
      </c>
      <c r="E9070" s="12">
        <v>0</v>
      </c>
      <c r="F9070" s="14">
        <v>0</v>
      </c>
      <c r="G9070" s="13">
        <v>0</v>
      </c>
      <c r="H9070" s="14">
        <v>0</v>
      </c>
      <c r="I9070" s="14" t="e">
        <f>=Round(0.00000000,0)</f>
        <v>#VALUE!</v>
      </c>
      <c r="J9070" s="14" t="e">
        <f>=Round(0.00000000,0)</f>
        <v>#VALUE!</v>
      </c>
    </row>
    <row r="9071">
      <c r="A9071" s="11" t="s">
        <v>47</v>
      </c>
      <c r="B9071" s="12">
        <v>1097.406</v>
      </c>
      <c r="C9071" s="12">
        <v>0</v>
      </c>
      <c r="D9071" s="13">
        <v>0</v>
      </c>
      <c r="E9071" s="12">
        <v>0</v>
      </c>
      <c r="F9071" s="14">
        <v>0</v>
      </c>
      <c r="G9071" s="13">
        <v>0</v>
      </c>
      <c r="H9071" s="14">
        <v>0</v>
      </c>
      <c r="I9071" s="14" t="e">
        <f>=Round(0.00000000,0)</f>
        <v>#VALUE!</v>
      </c>
      <c r="J9071" s="14" t="e">
        <f>=Round(0.00000000,0)</f>
        <v>#VALUE!</v>
      </c>
    </row>
    <row r="9072">
      <c r="A9072" s="11" t="s">
        <v>48</v>
      </c>
      <c r="B9072" s="12">
        <v>1097.772</v>
      </c>
      <c r="C9072" s="12">
        <v>0</v>
      </c>
      <c r="D9072" s="13">
        <v>0</v>
      </c>
      <c r="E9072" s="12">
        <v>0</v>
      </c>
      <c r="F9072" s="14">
        <v>0</v>
      </c>
      <c r="G9072" s="13">
        <v>0</v>
      </c>
      <c r="H9072" s="14">
        <v>0</v>
      </c>
      <c r="I9072" s="14" t="e">
        <f>=Round(0.00000000,0)</f>
        <v>#VALUE!</v>
      </c>
      <c r="J9072" s="14" t="e">
        <f>=Round(0.00000000,0)</f>
        <v>#VALUE!</v>
      </c>
    </row>
    <row r="9073">
      <c r="A9073" s="11" t="s">
        <v>49</v>
      </c>
      <c r="B9073" s="12">
        <v>1097.772</v>
      </c>
      <c r="C9073" s="12">
        <v>0</v>
      </c>
      <c r="D9073" s="13">
        <v>0</v>
      </c>
      <c r="E9073" s="12">
        <v>0</v>
      </c>
      <c r="F9073" s="14">
        <v>0</v>
      </c>
      <c r="G9073" s="13">
        <v>0</v>
      </c>
      <c r="H9073" s="14">
        <v>0</v>
      </c>
      <c r="I9073" s="14" t="e">
        <f>=Round(0.00000000,0)</f>
        <v>#VALUE!</v>
      </c>
      <c r="J9073" s="14" t="e">
        <f>=Round(0.00000000,0)</f>
        <v>#VALUE!</v>
      </c>
    </row>
    <row r="9074">
      <c r="A9074" s="11" t="s">
        <v>50</v>
      </c>
      <c r="B9074" s="12">
        <v>1097.772</v>
      </c>
      <c r="C9074" s="12">
        <v>0</v>
      </c>
      <c r="D9074" s="13">
        <v>0</v>
      </c>
      <c r="E9074" s="12">
        <v>0</v>
      </c>
      <c r="F9074" s="14">
        <v>0</v>
      </c>
      <c r="G9074" s="13">
        <v>0</v>
      </c>
      <c r="H9074" s="14">
        <v>0</v>
      </c>
      <c r="I9074" s="14" t="e">
        <f>=Round(0.00000000,0)</f>
        <v>#VALUE!</v>
      </c>
      <c r="J9074" s="14" t="e">
        <f>=Round(0.00000000,0)</f>
        <v>#VALUE!</v>
      </c>
    </row>
    <row r="9075">
      <c r="A9075" s="11" t="s">
        <v>51</v>
      </c>
      <c r="B9075" s="12">
        <v>1098.496</v>
      </c>
      <c r="C9075" s="12">
        <v>0</v>
      </c>
      <c r="D9075" s="13">
        <v>0</v>
      </c>
      <c r="E9075" s="12">
        <v>0</v>
      </c>
      <c r="F9075" s="14">
        <v>0</v>
      </c>
      <c r="G9075" s="13">
        <v>0</v>
      </c>
      <c r="H9075" s="14">
        <v>0</v>
      </c>
      <c r="I9075" s="14" t="e">
        <f>=Round(0.00000000,0)</f>
        <v>#VALUE!</v>
      </c>
      <c r="J9075" s="14" t="e">
        <f>=Round(0.00000000,0)</f>
        <v>#VALUE!</v>
      </c>
    </row>
    <row r="9076">
      <c r="A9076" s="11" t="s">
        <v>52</v>
      </c>
      <c r="B9076" s="12">
        <v>1099.793</v>
      </c>
      <c r="C9076" s="12">
        <v>0</v>
      </c>
      <c r="D9076" s="13">
        <v>0</v>
      </c>
      <c r="E9076" s="12">
        <v>0</v>
      </c>
      <c r="F9076" s="14">
        <v>0</v>
      </c>
      <c r="G9076" s="13">
        <v>0</v>
      </c>
      <c r="H9076" s="14">
        <v>0</v>
      </c>
      <c r="I9076" s="14" t="e">
        <f>=Round(0.00000000,0)</f>
        <v>#VALUE!</v>
      </c>
      <c r="J9076" s="14" t="e">
        <f>=Round(0.00000000,0)</f>
        <v>#VALUE!</v>
      </c>
    </row>
    <row r="9077">
      <c r="A9077" s="11" t="s">
        <v>53</v>
      </c>
      <c r="B9077" s="12">
        <v>1100.156</v>
      </c>
      <c r="C9077" s="12">
        <v>0</v>
      </c>
      <c r="D9077" s="13">
        <v>0</v>
      </c>
      <c r="E9077" s="12">
        <v>0</v>
      </c>
      <c r="F9077" s="14">
        <v>0</v>
      </c>
      <c r="G9077" s="13">
        <v>0</v>
      </c>
      <c r="H9077" s="14">
        <v>0</v>
      </c>
      <c r="I9077" s="14" t="e">
        <f>=Round(0.00000000,0)</f>
        <v>#VALUE!</v>
      </c>
      <c r="J9077" s="14" t="e">
        <f>=Round(0.00000000,0)</f>
        <v>#VALUE!</v>
      </c>
    </row>
    <row r="9078">
      <c r="A9078" s="11" t="s">
        <v>54</v>
      </c>
      <c r="B9078" s="12">
        <v>1100.444</v>
      </c>
      <c r="C9078" s="12">
        <v>0</v>
      </c>
      <c r="D9078" s="13">
        <v>0</v>
      </c>
      <c r="E9078" s="12">
        <v>0</v>
      </c>
      <c r="F9078" s="14">
        <v>0</v>
      </c>
      <c r="G9078" s="13">
        <v>0</v>
      </c>
      <c r="H9078" s="14">
        <v>0</v>
      </c>
      <c r="I9078" s="14" t="e">
        <f>=Round(0.00000000,0)</f>
        <v>#VALUE!</v>
      </c>
      <c r="J9078" s="14" t="e">
        <f>=Round(0.00000000,0)</f>
        <v>#VALUE!</v>
      </c>
    </row>
    <row r="9079">
      <c r="A9079" s="11" t="s">
        <v>55</v>
      </c>
      <c r="B9079" s="12">
        <v>1097.991</v>
      </c>
      <c r="C9079" s="12">
        <v>0</v>
      </c>
      <c r="D9079" s="13">
        <v>0</v>
      </c>
      <c r="E9079" s="12">
        <v>0</v>
      </c>
      <c r="F9079" s="14">
        <v>0</v>
      </c>
      <c r="G9079" s="13">
        <v>0</v>
      </c>
      <c r="H9079" s="14">
        <v>0</v>
      </c>
      <c r="I9079" s="14" t="e">
        <f>=Round(0.00000000,0)</f>
        <v>#VALUE!</v>
      </c>
      <c r="J9079" s="14" t="e">
        <f>=Round(0.00000000,0)</f>
        <v>#VALUE!</v>
      </c>
    </row>
    <row r="9080" ht="-1">
      <c r="A9080" s="15"/>
      <c r="B9080" s="16" t="s">
        <v>56</v>
      </c>
      <c r="C9080" s="15"/>
      <c r="D9080" s="15"/>
      <c r="E9080" s="15"/>
      <c r="F9080" s="15"/>
      <c r="G9080" s="15"/>
      <c r="H9080" s="15"/>
      <c r="I9080" s="17" t="e">
        <f>=Round(SUM(I9054:I9079),0)</f>
        <v>#VALUE!</v>
      </c>
      <c r="J9080" s="17" t="e">
        <f>=Round(SUM(J9054:J9079),0)</f>
        <v>#VALUE!</v>
      </c>
    </row>
    <row r="9081">
      <c r="A9081" s="1" t="s">
        <v>0</v>
      </c>
      <c r="B9081" s="1"/>
      <c r="C9081" s="1"/>
      <c r="D9081" s="1"/>
    </row>
    <row r="9082">
      <c r="A9082" s="0" t="s">
        <v>1</v>
      </c>
      <c r="C9082" s="0" t="s">
        <v>308</v>
      </c>
      <c r="H9082" s="2" t="s">
        <v>3</v>
      </c>
    </row>
    <row r="9083">
      <c r="A9083" s="0" t="s">
        <v>4</v>
      </c>
      <c r="C9083" s="0" t="s">
        <v>312</v>
      </c>
      <c r="H9083" s="3" t="s">
        <v>6</v>
      </c>
    </row>
    <row r="9084">
      <c r="A9084" s="0" t="s">
        <v>7</v>
      </c>
      <c r="C9084" s="4" t="s">
        <v>219</v>
      </c>
      <c r="H9084" s="2" t="s">
        <v>9</v>
      </c>
    </row>
    <row r="9085">
      <c r="A9085" s="0" t="s">
        <v>10</v>
      </c>
      <c r="C9085" s="4" t="s">
        <v>11</v>
      </c>
      <c r="H9085" s="2" t="s">
        <v>12</v>
      </c>
    </row>
    <row r="9086">
      <c r="A9086" s="0" t="s">
        <v>13</v>
      </c>
      <c r="C9086" s="0" t="s">
        <v>14</v>
      </c>
    </row>
    <row r="9087">
      <c r="A9087" s="0" t="s">
        <v>15</v>
      </c>
      <c r="C9087" s="0" t="s">
        <v>16</v>
      </c>
    </row>
    <row r="9088">
      <c r="A9088" s="0" t="s">
        <v>17</v>
      </c>
      <c r="C9088" s="0" t="s">
        <v>18</v>
      </c>
    </row>
    <row r="9091">
      <c r="A9091" s="5" t="s">
        <v>19</v>
      </c>
      <c r="B9091" s="5" t="s">
        <v>20</v>
      </c>
      <c r="C9091" s="7" t="s">
        <v>21</v>
      </c>
      <c r="D9091" s="9"/>
      <c r="E9091" s="7" t="s">
        <v>22</v>
      </c>
      <c r="F9091" s="9"/>
      <c r="G9091" s="5" t="s">
        <v>23</v>
      </c>
      <c r="H9091" s="5" t="s">
        <v>24</v>
      </c>
      <c r="I9091" s="5" t="s">
        <v>220</v>
      </c>
      <c r="J9091" s="5" t="s">
        <v>26</v>
      </c>
    </row>
    <row r="9092">
      <c r="A9092" s="6"/>
      <c r="B9092" s="6"/>
      <c r="C9092" s="8" t="s">
        <v>27</v>
      </c>
      <c r="D9092" s="8" t="s">
        <v>28</v>
      </c>
      <c r="E9092" s="8" t="s">
        <v>27</v>
      </c>
      <c r="F9092" s="8" t="s">
        <v>28</v>
      </c>
      <c r="G9092" s="6"/>
      <c r="H9092" s="6"/>
      <c r="I9092" s="10" t="s">
        <v>29</v>
      </c>
      <c r="J9092" s="6"/>
    </row>
    <row r="9093">
      <c r="A9093" s="11" t="s">
        <v>30</v>
      </c>
      <c r="B9093" s="12">
        <v>1087.836</v>
      </c>
      <c r="C9093" s="12">
        <v>0</v>
      </c>
      <c r="D9093" s="13">
        <v>0</v>
      </c>
      <c r="E9093" s="12">
        <v>0</v>
      </c>
      <c r="F9093" s="14">
        <v>0</v>
      </c>
      <c r="G9093" s="13">
        <v>26750113.7476</v>
      </c>
      <c r="H9093" s="14">
        <v>29099736738.734192</v>
      </c>
      <c r="I9093" s="14" t="e">
        <f>=Round(1313257.80560000,0)</f>
        <v>#VALUE!</v>
      </c>
      <c r="J9093" s="14" t="e">
        <f>=Round(0.00000000,0)</f>
        <v>#VALUE!</v>
      </c>
    </row>
    <row r="9094">
      <c r="A9094" s="11" t="s">
        <v>31</v>
      </c>
      <c r="B9094" s="12">
        <v>1089.903</v>
      </c>
      <c r="C9094" s="12">
        <v>0</v>
      </c>
      <c r="D9094" s="13">
        <v>0</v>
      </c>
      <c r="E9094" s="12">
        <v>0</v>
      </c>
      <c r="F9094" s="14">
        <v>0</v>
      </c>
      <c r="G9094" s="13">
        <v>26750113.7476</v>
      </c>
      <c r="H9094" s="14">
        <v>29155029223.850483</v>
      </c>
      <c r="I9094" s="14" t="e">
        <f>=Round(1311873.37760000,0)</f>
        <v>#VALUE!</v>
      </c>
      <c r="J9094" s="14" t="e">
        <f>=Round(0.00000000,0)</f>
        <v>#VALUE!</v>
      </c>
    </row>
    <row r="9095">
      <c r="A9095" s="11" t="s">
        <v>32</v>
      </c>
      <c r="B9095" s="12">
        <v>1089.687</v>
      </c>
      <c r="C9095" s="12">
        <v>0</v>
      </c>
      <c r="D9095" s="13">
        <v>0</v>
      </c>
      <c r="E9095" s="12">
        <v>0</v>
      </c>
      <c r="F9095" s="14">
        <v>0</v>
      </c>
      <c r="G9095" s="13">
        <v>26750113.7476</v>
      </c>
      <c r="H9095" s="14">
        <v>29149251199.281</v>
      </c>
      <c r="I9095" s="14" t="e">
        <f>=Round(1314366.07160000,0)</f>
        <v>#VALUE!</v>
      </c>
      <c r="J9095" s="14" t="e">
        <f>=Round(0.00000000,0)</f>
        <v>#VALUE!</v>
      </c>
    </row>
    <row r="9096">
      <c r="A9096" s="11" t="s">
        <v>33</v>
      </c>
      <c r="B9096" s="12">
        <v>1089.987</v>
      </c>
      <c r="C9096" s="12">
        <v>0</v>
      </c>
      <c r="D9096" s="13">
        <v>0</v>
      </c>
      <c r="E9096" s="12">
        <v>0</v>
      </c>
      <c r="F9096" s="14">
        <v>0</v>
      </c>
      <c r="G9096" s="13">
        <v>26750113.7476</v>
      </c>
      <c r="H9096" s="14">
        <v>29157276233.405281</v>
      </c>
      <c r="I9096" s="14" t="e">
        <f>=Round(1314105.58690000,0)</f>
        <v>#VALUE!</v>
      </c>
      <c r="J9096" s="14" t="e">
        <f>=Round(0.00000000,0)</f>
        <v>#VALUE!</v>
      </c>
    </row>
    <row r="9097">
      <c r="A9097" s="11" t="s">
        <v>34</v>
      </c>
      <c r="B9097" s="12">
        <v>1095.532</v>
      </c>
      <c r="C9097" s="12">
        <v>0</v>
      </c>
      <c r="D9097" s="13">
        <v>0</v>
      </c>
      <c r="E9097" s="12">
        <v>0</v>
      </c>
      <c r="F9097" s="14">
        <v>0</v>
      </c>
      <c r="G9097" s="13">
        <v>26750113.7476</v>
      </c>
      <c r="H9097" s="14">
        <v>29305605614.135723</v>
      </c>
      <c r="I9097" s="14" t="e">
        <f>=Round(1314467.37120000,0)</f>
        <v>#VALUE!</v>
      </c>
      <c r="J9097" s="14" t="e">
        <f>=Round(0.00000000,0)</f>
        <v>#VALUE!</v>
      </c>
    </row>
    <row r="9098">
      <c r="A9098" s="11" t="s">
        <v>35</v>
      </c>
      <c r="B9098" s="12">
        <v>1095.532</v>
      </c>
      <c r="C9098" s="12">
        <v>0</v>
      </c>
      <c r="D9098" s="13">
        <v>0</v>
      </c>
      <c r="E9098" s="12">
        <v>0</v>
      </c>
      <c r="F9098" s="14">
        <v>0</v>
      </c>
      <c r="G9098" s="13">
        <v>26750113.7476</v>
      </c>
      <c r="H9098" s="14">
        <v>29305605614.135723</v>
      </c>
      <c r="I9098" s="14" t="e">
        <f>=Round(1321154.35150000,0)</f>
        <v>#VALUE!</v>
      </c>
      <c r="J9098" s="14" t="e">
        <f>=Round(0.00000000,0)</f>
        <v>#VALUE!</v>
      </c>
    </row>
    <row r="9099">
      <c r="A9099" s="11" t="s">
        <v>36</v>
      </c>
      <c r="B9099" s="12">
        <v>1095.532</v>
      </c>
      <c r="C9099" s="12">
        <v>0</v>
      </c>
      <c r="D9099" s="13">
        <v>0</v>
      </c>
      <c r="E9099" s="12">
        <v>0</v>
      </c>
      <c r="F9099" s="14">
        <v>0</v>
      </c>
      <c r="G9099" s="13">
        <v>26750113.7476</v>
      </c>
      <c r="H9099" s="14">
        <v>29305605614.135723</v>
      </c>
      <c r="I9099" s="14" t="e">
        <f>=Round(1321154.35150000,0)</f>
        <v>#VALUE!</v>
      </c>
      <c r="J9099" s="14" t="e">
        <f>=Round(0.00000000,0)</f>
        <v>#VALUE!</v>
      </c>
    </row>
    <row r="9100">
      <c r="A9100" s="11" t="s">
        <v>37</v>
      </c>
      <c r="B9100" s="12">
        <v>1094.389</v>
      </c>
      <c r="C9100" s="12">
        <v>0</v>
      </c>
      <c r="D9100" s="13">
        <v>0</v>
      </c>
      <c r="E9100" s="12">
        <v>0</v>
      </c>
      <c r="F9100" s="14">
        <v>0</v>
      </c>
      <c r="G9100" s="13">
        <v>26750113.7476</v>
      </c>
      <c r="H9100" s="14">
        <v>29275030234.122215</v>
      </c>
      <c r="I9100" s="14" t="e">
        <f>=Round(1321154.35150000,0)</f>
        <v>#VALUE!</v>
      </c>
      <c r="J9100" s="14" t="e">
        <f>=Round(0.00000000,0)</f>
        <v>#VALUE!</v>
      </c>
    </row>
    <row r="9101">
      <c r="A9101" s="11" t="s">
        <v>38</v>
      </c>
      <c r="B9101" s="12">
        <v>1089.685</v>
      </c>
      <c r="C9101" s="12">
        <v>0</v>
      </c>
      <c r="D9101" s="13">
        <v>0</v>
      </c>
      <c r="E9101" s="12">
        <v>22942409.9625</v>
      </c>
      <c r="F9101" s="14">
        <v>24999999999.99</v>
      </c>
      <c r="G9101" s="13">
        <v>26750113.7476</v>
      </c>
      <c r="H9101" s="14">
        <v>29149197699.053505</v>
      </c>
      <c r="I9101" s="14" t="e">
        <f>=Round(1319775.95320000,0)</f>
        <v>#VALUE!</v>
      </c>
      <c r="J9101" s="14" t="e">
        <f>=Round(0.00000000,0)</f>
        <v>#VALUE!</v>
      </c>
    </row>
    <row r="9102">
      <c r="A9102" s="11" t="s">
        <v>39</v>
      </c>
      <c r="B9102" s="12">
        <v>1092.193</v>
      </c>
      <c r="C9102" s="12">
        <v>0</v>
      </c>
      <c r="D9102" s="13">
        <v>0</v>
      </c>
      <c r="E9102" s="12">
        <v>0</v>
      </c>
      <c r="F9102" s="14">
        <v>0</v>
      </c>
      <c r="G9102" s="13">
        <v>3807703.7851000004</v>
      </c>
      <c r="H9102" s="14">
        <v>4158747420.1597242</v>
      </c>
      <c r="I9102" s="14" t="e">
        <f>=Round(1314103.17500000,0)</f>
        <v>#VALUE!</v>
      </c>
      <c r="J9102" s="14" t="e">
        <f>=Round(0.00000000,0)</f>
        <v>#VALUE!</v>
      </c>
    </row>
    <row r="9103">
      <c r="A9103" s="11" t="s">
        <v>40</v>
      </c>
      <c r="B9103" s="12">
        <v>1090.532</v>
      </c>
      <c r="C9103" s="12">
        <v>0</v>
      </c>
      <c r="D9103" s="13">
        <v>0</v>
      </c>
      <c r="E9103" s="12">
        <v>3807703.7851</v>
      </c>
      <c r="F9103" s="14">
        <v>4152422824.17</v>
      </c>
      <c r="G9103" s="13">
        <v>3807703.7851000004</v>
      </c>
      <c r="H9103" s="14">
        <v>4152422824.1726732</v>
      </c>
      <c r="I9103" s="14" t="e">
        <f>=Round(187484.51480000,0)</f>
        <v>#VALUE!</v>
      </c>
      <c r="J9103" s="14" t="e">
        <f>=Round(0.00000000,0)</f>
        <v>#VALUE!</v>
      </c>
    </row>
    <row r="9104">
      <c r="A9104" s="11" t="s">
        <v>41</v>
      </c>
      <c r="B9104" s="12">
        <v>1094.032</v>
      </c>
      <c r="C9104" s="12">
        <v>0</v>
      </c>
      <c r="D9104" s="13">
        <v>0</v>
      </c>
      <c r="E9104" s="12">
        <v>0</v>
      </c>
      <c r="F9104" s="14">
        <v>0</v>
      </c>
      <c r="G9104" s="13">
        <v>0</v>
      </c>
      <c r="H9104" s="14">
        <v>0</v>
      </c>
      <c r="I9104" s="14" t="e">
        <f>=Round(187199.38960000,0)</f>
        <v>#VALUE!</v>
      </c>
      <c r="J9104" s="14" t="e">
        <f>=Round(0.00000000,0)</f>
        <v>#VALUE!</v>
      </c>
    </row>
    <row r="9105">
      <c r="A9105" s="11" t="s">
        <v>42</v>
      </c>
      <c r="B9105" s="12">
        <v>1094.032</v>
      </c>
      <c r="C9105" s="12">
        <v>0</v>
      </c>
      <c r="D9105" s="13">
        <v>0</v>
      </c>
      <c r="E9105" s="12">
        <v>0</v>
      </c>
      <c r="F9105" s="14">
        <v>0</v>
      </c>
      <c r="G9105" s="13">
        <v>0</v>
      </c>
      <c r="H9105" s="14">
        <v>0</v>
      </c>
      <c r="I9105" s="14" t="e">
        <f>=Round(0.00000000,0)</f>
        <v>#VALUE!</v>
      </c>
      <c r="J9105" s="14" t="e">
        <f>=Round(0.00000000,0)</f>
        <v>#VALUE!</v>
      </c>
    </row>
    <row r="9106">
      <c r="A9106" s="11" t="s">
        <v>43</v>
      </c>
      <c r="B9106" s="12">
        <v>1094.032</v>
      </c>
      <c r="C9106" s="12">
        <v>0</v>
      </c>
      <c r="D9106" s="13">
        <v>0</v>
      </c>
      <c r="E9106" s="12">
        <v>0</v>
      </c>
      <c r="F9106" s="14">
        <v>0</v>
      </c>
      <c r="G9106" s="13">
        <v>0</v>
      </c>
      <c r="H9106" s="14">
        <v>0</v>
      </c>
      <c r="I9106" s="14" t="e">
        <f>=Round(0.00000000,0)</f>
        <v>#VALUE!</v>
      </c>
      <c r="J9106" s="14" t="e">
        <f>=Round(0.00000000,0)</f>
        <v>#VALUE!</v>
      </c>
    </row>
    <row r="9107">
      <c r="A9107" s="11" t="s">
        <v>44</v>
      </c>
      <c r="B9107" s="12">
        <v>1092.426</v>
      </c>
      <c r="C9107" s="12">
        <v>0</v>
      </c>
      <c r="D9107" s="13">
        <v>0</v>
      </c>
      <c r="E9107" s="12">
        <v>0</v>
      </c>
      <c r="F9107" s="14">
        <v>0</v>
      </c>
      <c r="G9107" s="13">
        <v>0</v>
      </c>
      <c r="H9107" s="14">
        <v>0</v>
      </c>
      <c r="I9107" s="14" t="e">
        <f>=Round(0.00000000,0)</f>
        <v>#VALUE!</v>
      </c>
      <c r="J9107" s="14" t="e">
        <f>=Round(0.00000000,0)</f>
        <v>#VALUE!</v>
      </c>
    </row>
    <row r="9108">
      <c r="A9108" s="11" t="s">
        <v>45</v>
      </c>
      <c r="B9108" s="12">
        <v>1093.992</v>
      </c>
      <c r="C9108" s="12">
        <v>0</v>
      </c>
      <c r="D9108" s="13">
        <v>0</v>
      </c>
      <c r="E9108" s="12">
        <v>0</v>
      </c>
      <c r="F9108" s="14">
        <v>0</v>
      </c>
      <c r="G9108" s="13">
        <v>0</v>
      </c>
      <c r="H9108" s="14">
        <v>0</v>
      </c>
      <c r="I9108" s="14" t="e">
        <f>=Round(0.00000000,0)</f>
        <v>#VALUE!</v>
      </c>
      <c r="J9108" s="14" t="e">
        <f>=Round(0.00000000,0)</f>
        <v>#VALUE!</v>
      </c>
    </row>
    <row r="9109">
      <c r="A9109" s="11" t="s">
        <v>46</v>
      </c>
      <c r="B9109" s="12">
        <v>1095.583</v>
      </c>
      <c r="C9109" s="12">
        <v>0</v>
      </c>
      <c r="D9109" s="13">
        <v>0</v>
      </c>
      <c r="E9109" s="12">
        <v>0</v>
      </c>
      <c r="F9109" s="14">
        <v>0</v>
      </c>
      <c r="G9109" s="13">
        <v>0</v>
      </c>
      <c r="H9109" s="14">
        <v>0</v>
      </c>
      <c r="I9109" s="14" t="e">
        <f>=Round(0.00000000,0)</f>
        <v>#VALUE!</v>
      </c>
      <c r="J9109" s="14" t="e">
        <f>=Round(0.00000000,0)</f>
        <v>#VALUE!</v>
      </c>
    </row>
    <row r="9110">
      <c r="A9110" s="11" t="s">
        <v>47</v>
      </c>
      <c r="B9110" s="12">
        <v>1097.406</v>
      </c>
      <c r="C9110" s="12">
        <v>0</v>
      </c>
      <c r="D9110" s="13">
        <v>0</v>
      </c>
      <c r="E9110" s="12">
        <v>0</v>
      </c>
      <c r="F9110" s="14">
        <v>0</v>
      </c>
      <c r="G9110" s="13">
        <v>0</v>
      </c>
      <c r="H9110" s="14">
        <v>0</v>
      </c>
      <c r="I9110" s="14" t="e">
        <f>=Round(0.00000000,0)</f>
        <v>#VALUE!</v>
      </c>
      <c r="J9110" s="14" t="e">
        <f>=Round(0.00000000,0)</f>
        <v>#VALUE!</v>
      </c>
    </row>
    <row r="9111">
      <c r="A9111" s="11" t="s">
        <v>48</v>
      </c>
      <c r="B9111" s="12">
        <v>1097.772</v>
      </c>
      <c r="C9111" s="12">
        <v>0</v>
      </c>
      <c r="D9111" s="13">
        <v>0</v>
      </c>
      <c r="E9111" s="12">
        <v>0</v>
      </c>
      <c r="F9111" s="14">
        <v>0</v>
      </c>
      <c r="G9111" s="13">
        <v>0</v>
      </c>
      <c r="H9111" s="14">
        <v>0</v>
      </c>
      <c r="I9111" s="14" t="e">
        <f>=Round(0.00000000,0)</f>
        <v>#VALUE!</v>
      </c>
      <c r="J9111" s="14" t="e">
        <f>=Round(0.00000000,0)</f>
        <v>#VALUE!</v>
      </c>
    </row>
    <row r="9112">
      <c r="A9112" s="11" t="s">
        <v>49</v>
      </c>
      <c r="B9112" s="12">
        <v>1097.772</v>
      </c>
      <c r="C9112" s="12">
        <v>0</v>
      </c>
      <c r="D9112" s="13">
        <v>0</v>
      </c>
      <c r="E9112" s="12">
        <v>0</v>
      </c>
      <c r="F9112" s="14">
        <v>0</v>
      </c>
      <c r="G9112" s="13">
        <v>0</v>
      </c>
      <c r="H9112" s="14">
        <v>0</v>
      </c>
      <c r="I9112" s="14" t="e">
        <f>=Round(0.00000000,0)</f>
        <v>#VALUE!</v>
      </c>
      <c r="J9112" s="14" t="e">
        <f>=Round(0.00000000,0)</f>
        <v>#VALUE!</v>
      </c>
    </row>
    <row r="9113">
      <c r="A9113" s="11" t="s">
        <v>50</v>
      </c>
      <c r="B9113" s="12">
        <v>1097.772</v>
      </c>
      <c r="C9113" s="12">
        <v>0</v>
      </c>
      <c r="D9113" s="13">
        <v>0</v>
      </c>
      <c r="E9113" s="12">
        <v>0</v>
      </c>
      <c r="F9113" s="14">
        <v>0</v>
      </c>
      <c r="G9113" s="13">
        <v>0</v>
      </c>
      <c r="H9113" s="14">
        <v>0</v>
      </c>
      <c r="I9113" s="14" t="e">
        <f>=Round(0.00000000,0)</f>
        <v>#VALUE!</v>
      </c>
      <c r="J9113" s="14" t="e">
        <f>=Round(0.00000000,0)</f>
        <v>#VALUE!</v>
      </c>
    </row>
    <row r="9114">
      <c r="A9114" s="11" t="s">
        <v>51</v>
      </c>
      <c r="B9114" s="12">
        <v>1098.496</v>
      </c>
      <c r="C9114" s="12">
        <v>0</v>
      </c>
      <c r="D9114" s="13">
        <v>0</v>
      </c>
      <c r="E9114" s="12">
        <v>0</v>
      </c>
      <c r="F9114" s="14">
        <v>0</v>
      </c>
      <c r="G9114" s="13">
        <v>0</v>
      </c>
      <c r="H9114" s="14">
        <v>0</v>
      </c>
      <c r="I9114" s="14" t="e">
        <f>=Round(0.00000000,0)</f>
        <v>#VALUE!</v>
      </c>
      <c r="J9114" s="14" t="e">
        <f>=Round(0.00000000,0)</f>
        <v>#VALUE!</v>
      </c>
    </row>
    <row r="9115">
      <c r="A9115" s="11" t="s">
        <v>52</v>
      </c>
      <c r="B9115" s="12">
        <v>1099.793</v>
      </c>
      <c r="C9115" s="12">
        <v>0</v>
      </c>
      <c r="D9115" s="13">
        <v>0</v>
      </c>
      <c r="E9115" s="12">
        <v>0</v>
      </c>
      <c r="F9115" s="14">
        <v>0</v>
      </c>
      <c r="G9115" s="13">
        <v>0</v>
      </c>
      <c r="H9115" s="14">
        <v>0</v>
      </c>
      <c r="I9115" s="14" t="e">
        <f>=Round(0.00000000,0)</f>
        <v>#VALUE!</v>
      </c>
      <c r="J9115" s="14" t="e">
        <f>=Round(0.00000000,0)</f>
        <v>#VALUE!</v>
      </c>
    </row>
    <row r="9116">
      <c r="A9116" s="11" t="s">
        <v>53</v>
      </c>
      <c r="B9116" s="12">
        <v>1100.156</v>
      </c>
      <c r="C9116" s="12">
        <v>0</v>
      </c>
      <c r="D9116" s="13">
        <v>0</v>
      </c>
      <c r="E9116" s="12">
        <v>0</v>
      </c>
      <c r="F9116" s="14">
        <v>0</v>
      </c>
      <c r="G9116" s="13">
        <v>0</v>
      </c>
      <c r="H9116" s="14">
        <v>0</v>
      </c>
      <c r="I9116" s="14" t="e">
        <f>=Round(0.00000000,0)</f>
        <v>#VALUE!</v>
      </c>
      <c r="J9116" s="14" t="e">
        <f>=Round(0.00000000,0)</f>
        <v>#VALUE!</v>
      </c>
    </row>
    <row r="9117">
      <c r="A9117" s="11" t="s">
        <v>54</v>
      </c>
      <c r="B9117" s="12">
        <v>1100.444</v>
      </c>
      <c r="C9117" s="12">
        <v>0</v>
      </c>
      <c r="D9117" s="13">
        <v>0</v>
      </c>
      <c r="E9117" s="12">
        <v>0</v>
      </c>
      <c r="F9117" s="14">
        <v>0</v>
      </c>
      <c r="G9117" s="13">
        <v>0</v>
      </c>
      <c r="H9117" s="14">
        <v>0</v>
      </c>
      <c r="I9117" s="14" t="e">
        <f>=Round(0.00000000,0)</f>
        <v>#VALUE!</v>
      </c>
      <c r="J9117" s="14" t="e">
        <f>=Round(0.00000000,0)</f>
        <v>#VALUE!</v>
      </c>
    </row>
    <row r="9118">
      <c r="A9118" s="11" t="s">
        <v>55</v>
      </c>
      <c r="B9118" s="12">
        <v>1097.991</v>
      </c>
      <c r="C9118" s="12">
        <v>0</v>
      </c>
      <c r="D9118" s="13">
        <v>0</v>
      </c>
      <c r="E9118" s="12">
        <v>0</v>
      </c>
      <c r="F9118" s="14">
        <v>0</v>
      </c>
      <c r="G9118" s="13">
        <v>0</v>
      </c>
      <c r="H9118" s="14">
        <v>0</v>
      </c>
      <c r="I9118" s="14" t="e">
        <f>=Round(0.00000000,0)</f>
        <v>#VALUE!</v>
      </c>
      <c r="J9118" s="14" t="e">
        <f>=Round(0.00000000,0)</f>
        <v>#VALUE!</v>
      </c>
    </row>
    <row r="9119" ht="-1">
      <c r="A9119" s="15"/>
      <c r="B9119" s="16" t="s">
        <v>56</v>
      </c>
      <c r="C9119" s="15"/>
      <c r="D9119" s="15"/>
      <c r="E9119" s="15"/>
      <c r="F9119" s="15"/>
      <c r="G9119" s="15"/>
      <c r="H9119" s="15"/>
      <c r="I9119" s="17" t="e">
        <f>=Round(SUM(I9093:I9118),0)</f>
        <v>#VALUE!</v>
      </c>
      <c r="J9119" s="17" t="e">
        <f>=Round(SUM(J9093:J9118),0)</f>
        <v>#VALUE!</v>
      </c>
    </row>
    <row r="9120">
      <c r="A9120" s="1" t="s">
        <v>0</v>
      </c>
      <c r="B9120" s="1"/>
      <c r="C9120" s="1"/>
      <c r="D9120" s="1"/>
    </row>
    <row r="9121">
      <c r="A9121" s="0" t="s">
        <v>1</v>
      </c>
      <c r="C9121" s="0" t="s">
        <v>308</v>
      </c>
      <c r="H9121" s="2" t="s">
        <v>3</v>
      </c>
    </row>
    <row r="9122">
      <c r="A9122" s="0" t="s">
        <v>4</v>
      </c>
      <c r="C9122" s="0" t="s">
        <v>117</v>
      </c>
      <c r="H9122" s="3" t="s">
        <v>6</v>
      </c>
    </row>
    <row r="9123">
      <c r="A9123" s="0" t="s">
        <v>7</v>
      </c>
      <c r="C9123" s="4" t="s">
        <v>219</v>
      </c>
      <c r="H9123" s="2" t="s">
        <v>9</v>
      </c>
    </row>
    <row r="9124">
      <c r="A9124" s="0" t="s">
        <v>10</v>
      </c>
      <c r="C9124" s="4" t="s">
        <v>11</v>
      </c>
      <c r="H9124" s="2" t="s">
        <v>12</v>
      </c>
    </row>
    <row r="9125">
      <c r="A9125" s="0" t="s">
        <v>13</v>
      </c>
      <c r="C9125" s="0" t="s">
        <v>14</v>
      </c>
    </row>
    <row r="9126">
      <c r="A9126" s="0" t="s">
        <v>15</v>
      </c>
      <c r="C9126" s="0" t="s">
        <v>16</v>
      </c>
    </row>
    <row r="9127">
      <c r="A9127" s="0" t="s">
        <v>17</v>
      </c>
      <c r="C9127" s="0" t="s">
        <v>18</v>
      </c>
    </row>
    <row r="9130">
      <c r="A9130" s="5" t="s">
        <v>19</v>
      </c>
      <c r="B9130" s="5" t="s">
        <v>20</v>
      </c>
      <c r="C9130" s="7" t="s">
        <v>21</v>
      </c>
      <c r="D9130" s="9"/>
      <c r="E9130" s="7" t="s">
        <v>22</v>
      </c>
      <c r="F9130" s="9"/>
      <c r="G9130" s="5" t="s">
        <v>23</v>
      </c>
      <c r="H9130" s="5" t="s">
        <v>24</v>
      </c>
      <c r="I9130" s="5" t="s">
        <v>220</v>
      </c>
      <c r="J9130" s="5" t="s">
        <v>26</v>
      </c>
    </row>
    <row r="9131">
      <c r="A9131" s="6"/>
      <c r="B9131" s="6"/>
      <c r="C9131" s="8" t="s">
        <v>27</v>
      </c>
      <c r="D9131" s="8" t="s">
        <v>28</v>
      </c>
      <c r="E9131" s="8" t="s">
        <v>27</v>
      </c>
      <c r="F9131" s="8" t="s">
        <v>28</v>
      </c>
      <c r="G9131" s="6"/>
      <c r="H9131" s="6"/>
      <c r="I9131" s="10" t="s">
        <v>29</v>
      </c>
      <c r="J9131" s="6"/>
    </row>
    <row r="9132">
      <c r="A9132" s="11" t="s">
        <v>30</v>
      </c>
      <c r="B9132" s="12">
        <v>1087.836</v>
      </c>
      <c r="C9132" s="12">
        <v>0</v>
      </c>
      <c r="D9132" s="13">
        <v>0</v>
      </c>
      <c r="E9132" s="12">
        <v>0</v>
      </c>
      <c r="F9132" s="14">
        <v>0</v>
      </c>
      <c r="G9132" s="13">
        <v>20915268.8992</v>
      </c>
      <c r="H9132" s="14">
        <v>22752382458.230133</v>
      </c>
      <c r="I9132" s="14" t="e">
        <f>=Round(1026804.61090000,0)</f>
        <v>#VALUE!</v>
      </c>
      <c r="J9132" s="14" t="e">
        <f>=Round(0.00000000,0)</f>
        <v>#VALUE!</v>
      </c>
    </row>
    <row r="9133">
      <c r="A9133" s="11" t="s">
        <v>31</v>
      </c>
      <c r="B9133" s="12">
        <v>1089.903</v>
      </c>
      <c r="C9133" s="12">
        <v>0</v>
      </c>
      <c r="D9133" s="13">
        <v>0</v>
      </c>
      <c r="E9133" s="12">
        <v>0</v>
      </c>
      <c r="F9133" s="14">
        <v>0</v>
      </c>
      <c r="G9133" s="13">
        <v>20915268.8992</v>
      </c>
      <c r="H9133" s="14">
        <v>22795614319.044777</v>
      </c>
      <c r="I9133" s="14" t="e">
        <f>=Round(1025722.16000000,0)</f>
        <v>#VALUE!</v>
      </c>
      <c r="J9133" s="14" t="e">
        <f>=Round(0.00000000,0)</f>
        <v>#VALUE!</v>
      </c>
    </row>
    <row r="9134">
      <c r="A9134" s="11" t="s">
        <v>32</v>
      </c>
      <c r="B9134" s="12">
        <v>1089.687</v>
      </c>
      <c r="C9134" s="12">
        <v>0</v>
      </c>
      <c r="D9134" s="13">
        <v>0</v>
      </c>
      <c r="E9134" s="12">
        <v>0</v>
      </c>
      <c r="F9134" s="14">
        <v>0</v>
      </c>
      <c r="G9134" s="13">
        <v>20915268.8992</v>
      </c>
      <c r="H9134" s="14">
        <v>22791096620.962551</v>
      </c>
      <c r="I9134" s="14" t="e">
        <f>=Round(1027671.13730000,0)</f>
        <v>#VALUE!</v>
      </c>
      <c r="J9134" s="14" t="e">
        <f>=Round(0.00000000,0)</f>
        <v>#VALUE!</v>
      </c>
    </row>
    <row r="9135">
      <c r="A9135" s="11" t="s">
        <v>33</v>
      </c>
      <c r="B9135" s="12">
        <v>1089.987</v>
      </c>
      <c r="C9135" s="12">
        <v>0</v>
      </c>
      <c r="D9135" s="13">
        <v>0</v>
      </c>
      <c r="E9135" s="12">
        <v>0</v>
      </c>
      <c r="F9135" s="14">
        <v>0</v>
      </c>
      <c r="G9135" s="13">
        <v>20915268.8992</v>
      </c>
      <c r="H9135" s="14">
        <v>22797371201.632313</v>
      </c>
      <c r="I9135" s="14" t="e">
        <f>=Round(1027467.47060000,0)</f>
        <v>#VALUE!</v>
      </c>
      <c r="J9135" s="14" t="e">
        <f>=Round(0.00000000,0)</f>
        <v>#VALUE!</v>
      </c>
    </row>
    <row r="9136">
      <c r="A9136" s="11" t="s">
        <v>34</v>
      </c>
      <c r="B9136" s="12">
        <v>1095.532</v>
      </c>
      <c r="C9136" s="12">
        <v>0</v>
      </c>
      <c r="D9136" s="13">
        <v>0</v>
      </c>
      <c r="E9136" s="12">
        <v>0</v>
      </c>
      <c r="F9136" s="14">
        <v>0</v>
      </c>
      <c r="G9136" s="13">
        <v>20915268.8992</v>
      </c>
      <c r="H9136" s="14">
        <v>22913346367.678375</v>
      </c>
      <c r="I9136" s="14" t="e">
        <f>=Round(1027750.34110000,0)</f>
        <v>#VALUE!</v>
      </c>
      <c r="J9136" s="14" t="e">
        <f>=Round(0.00000000,0)</f>
        <v>#VALUE!</v>
      </c>
    </row>
    <row r="9137">
      <c r="A9137" s="11" t="s">
        <v>35</v>
      </c>
      <c r="B9137" s="12">
        <v>1095.532</v>
      </c>
      <c r="C9137" s="12">
        <v>0</v>
      </c>
      <c r="D9137" s="13">
        <v>0</v>
      </c>
      <c r="E9137" s="12">
        <v>0</v>
      </c>
      <c r="F9137" s="14">
        <v>0</v>
      </c>
      <c r="G9137" s="13">
        <v>20915268.8992</v>
      </c>
      <c r="H9137" s="14">
        <v>22913346367.678375</v>
      </c>
      <c r="I9137" s="14" t="e">
        <f>=Round(1032978.72970000,0)</f>
        <v>#VALUE!</v>
      </c>
      <c r="J9137" s="14" t="e">
        <f>=Round(0.00000000,0)</f>
        <v>#VALUE!</v>
      </c>
    </row>
    <row r="9138">
      <c r="A9138" s="11" t="s">
        <v>36</v>
      </c>
      <c r="B9138" s="12">
        <v>1095.532</v>
      </c>
      <c r="C9138" s="12">
        <v>0</v>
      </c>
      <c r="D9138" s="13">
        <v>0</v>
      </c>
      <c r="E9138" s="12">
        <v>0</v>
      </c>
      <c r="F9138" s="14">
        <v>0</v>
      </c>
      <c r="G9138" s="13">
        <v>20915268.8992</v>
      </c>
      <c r="H9138" s="14">
        <v>22913346367.678375</v>
      </c>
      <c r="I9138" s="14" t="e">
        <f>=Round(1032978.72970000,0)</f>
        <v>#VALUE!</v>
      </c>
      <c r="J9138" s="14" t="e">
        <f>=Round(0.00000000,0)</f>
        <v>#VALUE!</v>
      </c>
    </row>
    <row r="9139">
      <c r="A9139" s="11" t="s">
        <v>37</v>
      </c>
      <c r="B9139" s="12">
        <v>1094.389</v>
      </c>
      <c r="C9139" s="12">
        <v>0</v>
      </c>
      <c r="D9139" s="13">
        <v>0</v>
      </c>
      <c r="E9139" s="12">
        <v>0</v>
      </c>
      <c r="F9139" s="14">
        <v>0</v>
      </c>
      <c r="G9139" s="13">
        <v>20915268.8992</v>
      </c>
      <c r="H9139" s="14">
        <v>22889440215.326588</v>
      </c>
      <c r="I9139" s="14" t="e">
        <f>=Round(1032978.72970000,0)</f>
        <v>#VALUE!</v>
      </c>
      <c r="J9139" s="14" t="e">
        <f>=Round(0.00000000,0)</f>
        <v>#VALUE!</v>
      </c>
    </row>
    <row r="9140">
      <c r="A9140" s="11" t="s">
        <v>38</v>
      </c>
      <c r="B9140" s="12">
        <v>1089.685</v>
      </c>
      <c r="C9140" s="12">
        <v>0</v>
      </c>
      <c r="D9140" s="13">
        <v>0</v>
      </c>
      <c r="E9140" s="12">
        <v>0</v>
      </c>
      <c r="F9140" s="14">
        <v>0</v>
      </c>
      <c r="G9140" s="13">
        <v>20915268.8992</v>
      </c>
      <c r="H9140" s="14">
        <v>22791054790.424751</v>
      </c>
      <c r="I9140" s="14" t="e">
        <f>=Round(1031900.99330000,0)</f>
        <v>#VALUE!</v>
      </c>
      <c r="J9140" s="14" t="e">
        <f>=Round(0.00000000,0)</f>
        <v>#VALUE!</v>
      </c>
    </row>
    <row r="9141">
      <c r="A9141" s="11" t="s">
        <v>39</v>
      </c>
      <c r="B9141" s="12">
        <v>1092.193</v>
      </c>
      <c r="C9141" s="12">
        <v>0</v>
      </c>
      <c r="D9141" s="13">
        <v>0</v>
      </c>
      <c r="E9141" s="12">
        <v>0</v>
      </c>
      <c r="F9141" s="14">
        <v>0</v>
      </c>
      <c r="G9141" s="13">
        <v>20915268.8992</v>
      </c>
      <c r="H9141" s="14">
        <v>22843510284.823944</v>
      </c>
      <c r="I9141" s="14" t="e">
        <f>=Round(1027465.58480000,0)</f>
        <v>#VALUE!</v>
      </c>
      <c r="J9141" s="14" t="e">
        <f>=Round(0.00000000,0)</f>
        <v>#VALUE!</v>
      </c>
    </row>
    <row r="9142">
      <c r="A9142" s="11" t="s">
        <v>40</v>
      </c>
      <c r="B9142" s="12">
        <v>1090.532</v>
      </c>
      <c r="C9142" s="12">
        <v>0</v>
      </c>
      <c r="D9142" s="13">
        <v>0</v>
      </c>
      <c r="E9142" s="12">
        <v>0</v>
      </c>
      <c r="F9142" s="14">
        <v>0</v>
      </c>
      <c r="G9142" s="13">
        <v>20915268.8992</v>
      </c>
      <c r="H9142" s="14">
        <v>22808770023.182377</v>
      </c>
      <c r="I9142" s="14" t="e">
        <f>=Round(1029830.38170000,0)</f>
        <v>#VALUE!</v>
      </c>
      <c r="J9142" s="14" t="e">
        <f>=Round(0.00000000,0)</f>
        <v>#VALUE!</v>
      </c>
    </row>
    <row r="9143">
      <c r="A9143" s="11" t="s">
        <v>41</v>
      </c>
      <c r="B9143" s="12">
        <v>1094.032</v>
      </c>
      <c r="C9143" s="12">
        <v>0</v>
      </c>
      <c r="D9143" s="13">
        <v>0</v>
      </c>
      <c r="E9143" s="12">
        <v>0</v>
      </c>
      <c r="F9143" s="14">
        <v>0</v>
      </c>
      <c r="G9143" s="13">
        <v>20915268.8992</v>
      </c>
      <c r="H9143" s="14">
        <v>22881973464.329575</v>
      </c>
      <c r="I9143" s="14" t="e">
        <f>=Round(1028264.22240000,0)</f>
        <v>#VALUE!</v>
      </c>
      <c r="J9143" s="14" t="e">
        <f>=Round(0.00000000,0)</f>
        <v>#VALUE!</v>
      </c>
    </row>
    <row r="9144">
      <c r="A9144" s="11" t="s">
        <v>42</v>
      </c>
      <c r="B9144" s="12">
        <v>1094.032</v>
      </c>
      <c r="C9144" s="12">
        <v>0</v>
      </c>
      <c r="D9144" s="13">
        <v>0</v>
      </c>
      <c r="E9144" s="12">
        <v>0</v>
      </c>
      <c r="F9144" s="14">
        <v>0</v>
      </c>
      <c r="G9144" s="13">
        <v>20915268.8992</v>
      </c>
      <c r="H9144" s="14">
        <v>22881973464.329575</v>
      </c>
      <c r="I9144" s="14" t="e">
        <f>=Round(1031564.37750000,0)</f>
        <v>#VALUE!</v>
      </c>
      <c r="J9144" s="14" t="e">
        <f>=Round(0.00000000,0)</f>
        <v>#VALUE!</v>
      </c>
    </row>
    <row r="9145">
      <c r="A9145" s="11" t="s">
        <v>43</v>
      </c>
      <c r="B9145" s="12">
        <v>1094.032</v>
      </c>
      <c r="C9145" s="12">
        <v>0</v>
      </c>
      <c r="D9145" s="13">
        <v>0</v>
      </c>
      <c r="E9145" s="12">
        <v>0</v>
      </c>
      <c r="F9145" s="14">
        <v>0</v>
      </c>
      <c r="G9145" s="13">
        <v>20915268.8992</v>
      </c>
      <c r="H9145" s="14">
        <v>22881973464.329575</v>
      </c>
      <c r="I9145" s="14" t="e">
        <f>=Round(1031564.37750000,0)</f>
        <v>#VALUE!</v>
      </c>
      <c r="J9145" s="14" t="e">
        <f>=Round(0.00000000,0)</f>
        <v>#VALUE!</v>
      </c>
    </row>
    <row r="9146">
      <c r="A9146" s="11" t="s">
        <v>44</v>
      </c>
      <c r="B9146" s="12">
        <v>1092.426</v>
      </c>
      <c r="C9146" s="12">
        <v>0</v>
      </c>
      <c r="D9146" s="13">
        <v>0</v>
      </c>
      <c r="E9146" s="12">
        <v>0</v>
      </c>
      <c r="F9146" s="14">
        <v>0</v>
      </c>
      <c r="G9146" s="13">
        <v>20915268.8992</v>
      </c>
      <c r="H9146" s="14">
        <v>22848383542.477459</v>
      </c>
      <c r="I9146" s="14" t="e">
        <f>=Round(1031564.37750000,0)</f>
        <v>#VALUE!</v>
      </c>
      <c r="J9146" s="14" t="e">
        <f>=Round(0.00000000,0)</f>
        <v>#VALUE!</v>
      </c>
    </row>
    <row r="9147">
      <c r="A9147" s="11" t="s">
        <v>45</v>
      </c>
      <c r="B9147" s="12">
        <v>1093.992</v>
      </c>
      <c r="C9147" s="12">
        <v>0</v>
      </c>
      <c r="D9147" s="13">
        <v>0</v>
      </c>
      <c r="E9147" s="12">
        <v>0</v>
      </c>
      <c r="F9147" s="14">
        <v>0</v>
      </c>
      <c r="G9147" s="13">
        <v>20915268.8992</v>
      </c>
      <c r="H9147" s="14">
        <v>22881136853.573608</v>
      </c>
      <c r="I9147" s="14" t="e">
        <f>=Round(1030050.07770000,0)</f>
        <v>#VALUE!</v>
      </c>
      <c r="J9147" s="14" t="e">
        <f>=Round(0.00000000,0)</f>
        <v>#VALUE!</v>
      </c>
    </row>
    <row r="9148">
      <c r="A9148" s="11" t="s">
        <v>46</v>
      </c>
      <c r="B9148" s="12">
        <v>1095.583</v>
      </c>
      <c r="C9148" s="12">
        <v>0</v>
      </c>
      <c r="D9148" s="13">
        <v>0</v>
      </c>
      <c r="E9148" s="12">
        <v>0</v>
      </c>
      <c r="F9148" s="14">
        <v>0</v>
      </c>
      <c r="G9148" s="13">
        <v>20915268.8992</v>
      </c>
      <c r="H9148" s="14">
        <v>22914413046.392231</v>
      </c>
      <c r="I9148" s="14" t="e">
        <f>=Round(1031526.66140000,0)</f>
        <v>#VALUE!</v>
      </c>
      <c r="J9148" s="14" t="e">
        <f>=Round(0.00000000,0)</f>
        <v>#VALUE!</v>
      </c>
    </row>
    <row r="9149">
      <c r="A9149" s="11" t="s">
        <v>47</v>
      </c>
      <c r="B9149" s="12">
        <v>1097.406</v>
      </c>
      <c r="C9149" s="12">
        <v>0</v>
      </c>
      <c r="D9149" s="13">
        <v>0</v>
      </c>
      <c r="E9149" s="12">
        <v>0</v>
      </c>
      <c r="F9149" s="14">
        <v>0</v>
      </c>
      <c r="G9149" s="13">
        <v>20915268.8992</v>
      </c>
      <c r="H9149" s="14">
        <v>22952541581.595474</v>
      </c>
      <c r="I9149" s="14" t="e">
        <f>=Round(1033026.81770000,0)</f>
        <v>#VALUE!</v>
      </c>
      <c r="J9149" s="14" t="e">
        <f>=Round(0.00000000,0)</f>
        <v>#VALUE!</v>
      </c>
    </row>
    <row r="9150">
      <c r="A9150" s="11" t="s">
        <v>48</v>
      </c>
      <c r="B9150" s="12">
        <v>1097.772</v>
      </c>
      <c r="C9150" s="12">
        <v>0</v>
      </c>
      <c r="D9150" s="13">
        <v>0</v>
      </c>
      <c r="E9150" s="12">
        <v>0</v>
      </c>
      <c r="F9150" s="14">
        <v>0</v>
      </c>
      <c r="G9150" s="13">
        <v>20915268.8992</v>
      </c>
      <c r="H9150" s="14">
        <v>22960196570.012585</v>
      </c>
      <c r="I9150" s="14" t="e">
        <f>=Round(1034745.72700000,0)</f>
        <v>#VALUE!</v>
      </c>
      <c r="J9150" s="14" t="e">
        <f>=Round(0.00000000,0)</f>
        <v>#VALUE!</v>
      </c>
    </row>
    <row r="9151">
      <c r="A9151" s="11" t="s">
        <v>49</v>
      </c>
      <c r="B9151" s="12">
        <v>1097.772</v>
      </c>
      <c r="C9151" s="12">
        <v>0</v>
      </c>
      <c r="D9151" s="13">
        <v>0</v>
      </c>
      <c r="E9151" s="12">
        <v>0</v>
      </c>
      <c r="F9151" s="14">
        <v>0</v>
      </c>
      <c r="G9151" s="13">
        <v>20915268.8992</v>
      </c>
      <c r="H9151" s="14">
        <v>22960196570.012585</v>
      </c>
      <c r="I9151" s="14" t="e">
        <f>=Round(1035090.82900000,0)</f>
        <v>#VALUE!</v>
      </c>
      <c r="J9151" s="14" t="e">
        <f>=Round(0.00000000,0)</f>
        <v>#VALUE!</v>
      </c>
    </row>
    <row r="9152">
      <c r="A9152" s="11" t="s">
        <v>50</v>
      </c>
      <c r="B9152" s="12">
        <v>1097.772</v>
      </c>
      <c r="C9152" s="12">
        <v>0</v>
      </c>
      <c r="D9152" s="13">
        <v>0</v>
      </c>
      <c r="E9152" s="12">
        <v>0</v>
      </c>
      <c r="F9152" s="14">
        <v>0</v>
      </c>
      <c r="G9152" s="13">
        <v>20915268.8992</v>
      </c>
      <c r="H9152" s="14">
        <v>22960196570.012585</v>
      </c>
      <c r="I9152" s="14" t="e">
        <f>=Round(1035090.82900000,0)</f>
        <v>#VALUE!</v>
      </c>
      <c r="J9152" s="14" t="e">
        <f>=Round(0.00000000,0)</f>
        <v>#VALUE!</v>
      </c>
    </row>
    <row r="9153">
      <c r="A9153" s="11" t="s">
        <v>51</v>
      </c>
      <c r="B9153" s="12">
        <v>1098.496</v>
      </c>
      <c r="C9153" s="12">
        <v>0</v>
      </c>
      <c r="D9153" s="13">
        <v>0</v>
      </c>
      <c r="E9153" s="12">
        <v>0</v>
      </c>
      <c r="F9153" s="14">
        <v>0</v>
      </c>
      <c r="G9153" s="13">
        <v>20915268.8992</v>
      </c>
      <c r="H9153" s="14">
        <v>22975339224.695602</v>
      </c>
      <c r="I9153" s="14" t="e">
        <f>=Round(1035090.82900000,0)</f>
        <v>#VALUE!</v>
      </c>
      <c r="J9153" s="14" t="e">
        <f>=Round(0.00000000,0)</f>
        <v>#VALUE!</v>
      </c>
    </row>
    <row r="9154">
      <c r="A9154" s="11" t="s">
        <v>52</v>
      </c>
      <c r="B9154" s="12">
        <v>1099.793</v>
      </c>
      <c r="C9154" s="12">
        <v>0</v>
      </c>
      <c r="D9154" s="13">
        <v>0</v>
      </c>
      <c r="E9154" s="12">
        <v>0</v>
      </c>
      <c r="F9154" s="14">
        <v>0</v>
      </c>
      <c r="G9154" s="13">
        <v>20915268.8992</v>
      </c>
      <c r="H9154" s="14">
        <v>23002466328.457863</v>
      </c>
      <c r="I9154" s="14" t="e">
        <f>=Round(1035773.48960000,0)</f>
        <v>#VALUE!</v>
      </c>
      <c r="J9154" s="14" t="e">
        <f>=Round(0.00000000,0)</f>
        <v>#VALUE!</v>
      </c>
    </row>
    <row r="9155">
      <c r="A9155" s="11" t="s">
        <v>53</v>
      </c>
      <c r="B9155" s="12">
        <v>1100.156</v>
      </c>
      <c r="C9155" s="12">
        <v>0</v>
      </c>
      <c r="D9155" s="13">
        <v>0</v>
      </c>
      <c r="E9155" s="12">
        <v>0</v>
      </c>
      <c r="F9155" s="14">
        <v>0</v>
      </c>
      <c r="G9155" s="13">
        <v>20915268.8992</v>
      </c>
      <c r="H9155" s="14">
        <v>23010058571.068275</v>
      </c>
      <c r="I9155" s="14" t="e">
        <f>=Round(1036996.43280000,0)</f>
        <v>#VALUE!</v>
      </c>
      <c r="J9155" s="14" t="e">
        <f>=Round(0.00000000,0)</f>
        <v>#VALUE!</v>
      </c>
    </row>
    <row r="9156">
      <c r="A9156" s="11" t="s">
        <v>54</v>
      </c>
      <c r="B9156" s="12">
        <v>1100.444</v>
      </c>
      <c r="C9156" s="12">
        <v>0</v>
      </c>
      <c r="D9156" s="13">
        <v>0</v>
      </c>
      <c r="E9156" s="12">
        <v>0</v>
      </c>
      <c r="F9156" s="14">
        <v>0</v>
      </c>
      <c r="G9156" s="13">
        <v>20915268.8992</v>
      </c>
      <c r="H9156" s="14">
        <v>23016082168.511246</v>
      </c>
      <c r="I9156" s="14" t="e">
        <f>=Round(1037338.70610000,0)</f>
        <v>#VALUE!</v>
      </c>
      <c r="J9156" s="14" t="e">
        <f>=Round(0.00000000,0)</f>
        <v>#VALUE!</v>
      </c>
    </row>
    <row r="9157">
      <c r="A9157" s="11" t="s">
        <v>55</v>
      </c>
      <c r="B9157" s="12">
        <v>1097.991</v>
      </c>
      <c r="C9157" s="12">
        <v>0</v>
      </c>
      <c r="D9157" s="13">
        <v>0</v>
      </c>
      <c r="E9157" s="12">
        <v>0</v>
      </c>
      <c r="F9157" s="14">
        <v>0</v>
      </c>
      <c r="G9157" s="13">
        <v>20915268.8992</v>
      </c>
      <c r="H9157" s="14">
        <v>22964777013.901508</v>
      </c>
      <c r="I9157" s="14" t="e">
        <f>=Round(1037610.26170000,0)</f>
        <v>#VALUE!</v>
      </c>
      <c r="J9157" s="14" t="e">
        <f>=Round(0.00000000,0)</f>
        <v>#VALUE!</v>
      </c>
    </row>
    <row r="9158" ht="-1">
      <c r="A9158" s="15"/>
      <c r="B9158" s="16" t="s">
        <v>56</v>
      </c>
      <c r="C9158" s="15"/>
      <c r="D9158" s="15"/>
      <c r="E9158" s="15"/>
      <c r="F9158" s="15"/>
      <c r="G9158" s="15"/>
      <c r="H9158" s="15"/>
      <c r="I9158" s="17" t="e">
        <f>=Round(SUM(I9132:I9157),0)</f>
        <v>#VALUE!</v>
      </c>
      <c r="J9158" s="17" t="e">
        <f>=Round(SUM(J9132:J9157),0)</f>
        <v>#VALUE!</v>
      </c>
    </row>
    <row r="9159">
      <c r="A9159" s="1" t="s">
        <v>0</v>
      </c>
      <c r="B9159" s="1"/>
      <c r="C9159" s="1"/>
      <c r="D9159" s="1"/>
    </row>
    <row r="9160">
      <c r="A9160" s="0" t="s">
        <v>1</v>
      </c>
      <c r="C9160" s="0" t="s">
        <v>308</v>
      </c>
      <c r="H9160" s="2" t="s">
        <v>3</v>
      </c>
    </row>
    <row r="9161">
      <c r="A9161" s="0" t="s">
        <v>4</v>
      </c>
      <c r="C9161" s="0" t="s">
        <v>119</v>
      </c>
      <c r="H9161" s="3" t="s">
        <v>6</v>
      </c>
    </row>
    <row r="9162">
      <c r="A9162" s="0" t="s">
        <v>7</v>
      </c>
      <c r="C9162" s="4" t="s">
        <v>219</v>
      </c>
      <c r="H9162" s="2" t="s">
        <v>9</v>
      </c>
    </row>
    <row r="9163">
      <c r="A9163" s="0" t="s">
        <v>10</v>
      </c>
      <c r="C9163" s="4" t="s">
        <v>11</v>
      </c>
      <c r="H9163" s="2" t="s">
        <v>12</v>
      </c>
    </row>
    <row r="9164">
      <c r="A9164" s="0" t="s">
        <v>13</v>
      </c>
      <c r="C9164" s="0" t="s">
        <v>14</v>
      </c>
    </row>
    <row r="9165">
      <c r="A9165" s="0" t="s">
        <v>15</v>
      </c>
      <c r="C9165" s="0" t="s">
        <v>16</v>
      </c>
    </row>
    <row r="9166">
      <c r="A9166" s="0" t="s">
        <v>17</v>
      </c>
      <c r="C9166" s="0" t="s">
        <v>18</v>
      </c>
    </row>
    <row r="9169">
      <c r="A9169" s="5" t="s">
        <v>19</v>
      </c>
      <c r="B9169" s="5" t="s">
        <v>20</v>
      </c>
      <c r="C9169" s="7" t="s">
        <v>21</v>
      </c>
      <c r="D9169" s="9"/>
      <c r="E9169" s="7" t="s">
        <v>22</v>
      </c>
      <c r="F9169" s="9"/>
      <c r="G9169" s="5" t="s">
        <v>23</v>
      </c>
      <c r="H9169" s="5" t="s">
        <v>24</v>
      </c>
      <c r="I9169" s="5" t="s">
        <v>220</v>
      </c>
      <c r="J9169" s="5" t="s">
        <v>26</v>
      </c>
    </row>
    <row r="9170">
      <c r="A9170" s="6"/>
      <c r="B9170" s="6"/>
      <c r="C9170" s="8" t="s">
        <v>27</v>
      </c>
      <c r="D9170" s="8" t="s">
        <v>28</v>
      </c>
      <c r="E9170" s="8" t="s">
        <v>27</v>
      </c>
      <c r="F9170" s="8" t="s">
        <v>28</v>
      </c>
      <c r="G9170" s="6"/>
      <c r="H9170" s="6"/>
      <c r="I9170" s="10" t="s">
        <v>29</v>
      </c>
      <c r="J9170" s="6"/>
    </row>
    <row r="9171">
      <c r="A9171" s="11" t="s">
        <v>30</v>
      </c>
      <c r="B9171" s="12">
        <v>1087.836</v>
      </c>
      <c r="C9171" s="12">
        <v>0</v>
      </c>
      <c r="D9171" s="13">
        <v>0</v>
      </c>
      <c r="E9171" s="12">
        <v>0</v>
      </c>
      <c r="F9171" s="14">
        <v>0</v>
      </c>
      <c r="G9171" s="13">
        <v>92685.8903</v>
      </c>
      <c r="H9171" s="14">
        <v>100827048.160391</v>
      </c>
      <c r="I9171" s="14" t="e">
        <f>=Round(4550.27860000,0)</f>
        <v>#VALUE!</v>
      </c>
      <c r="J9171" s="14" t="e">
        <f>=Round(0.00000000,0)</f>
        <v>#VALUE!</v>
      </c>
    </row>
    <row r="9172">
      <c r="A9172" s="11" t="s">
        <v>31</v>
      </c>
      <c r="B9172" s="12">
        <v>1089.903</v>
      </c>
      <c r="C9172" s="12">
        <v>0</v>
      </c>
      <c r="D9172" s="13">
        <v>0</v>
      </c>
      <c r="E9172" s="12">
        <v>0</v>
      </c>
      <c r="F9172" s="14">
        <v>0</v>
      </c>
      <c r="G9172" s="13">
        <v>92685.8903</v>
      </c>
      <c r="H9172" s="14">
        <v>101018629.895641</v>
      </c>
      <c r="I9172" s="14" t="e">
        <f>=Round(4545.48170000,0)</f>
        <v>#VALUE!</v>
      </c>
      <c r="J9172" s="14" t="e">
        <f>=Round(0.00000000,0)</f>
        <v>#VALUE!</v>
      </c>
    </row>
    <row r="9173">
      <c r="A9173" s="11" t="s">
        <v>32</v>
      </c>
      <c r="B9173" s="12">
        <v>1089.687</v>
      </c>
      <c r="C9173" s="12">
        <v>0</v>
      </c>
      <c r="D9173" s="13">
        <v>0</v>
      </c>
      <c r="E9173" s="12">
        <v>0</v>
      </c>
      <c r="F9173" s="14">
        <v>0</v>
      </c>
      <c r="G9173" s="13">
        <v>92685.8903</v>
      </c>
      <c r="H9173" s="14">
        <v>100998609.743336</v>
      </c>
      <c r="I9173" s="14" t="e">
        <f>=Round(4554.11860000,0)</f>
        <v>#VALUE!</v>
      </c>
      <c r="J9173" s="14" t="e">
        <f>=Round(0.00000000,0)</f>
        <v>#VALUE!</v>
      </c>
    </row>
    <row r="9174">
      <c r="A9174" s="11" t="s">
        <v>33</v>
      </c>
      <c r="B9174" s="12">
        <v>1089.987</v>
      </c>
      <c r="C9174" s="12">
        <v>0</v>
      </c>
      <c r="D9174" s="13">
        <v>0</v>
      </c>
      <c r="E9174" s="12">
        <v>0</v>
      </c>
      <c r="F9174" s="14">
        <v>0</v>
      </c>
      <c r="G9174" s="13">
        <v>92685.8903</v>
      </c>
      <c r="H9174" s="14">
        <v>101026415.510426</v>
      </c>
      <c r="I9174" s="14" t="e">
        <f>=Round(4553.21600000,0)</f>
        <v>#VALUE!</v>
      </c>
      <c r="J9174" s="14" t="e">
        <f>=Round(0.00000000,0)</f>
        <v>#VALUE!</v>
      </c>
    </row>
    <row r="9175">
      <c r="A9175" s="11" t="s">
        <v>34</v>
      </c>
      <c r="B9175" s="12">
        <v>1095.532</v>
      </c>
      <c r="C9175" s="12">
        <v>0</v>
      </c>
      <c r="D9175" s="13">
        <v>0</v>
      </c>
      <c r="E9175" s="12">
        <v>0</v>
      </c>
      <c r="F9175" s="14">
        <v>0</v>
      </c>
      <c r="G9175" s="13">
        <v>92685.8903</v>
      </c>
      <c r="H9175" s="14">
        <v>101540358.77214</v>
      </c>
      <c r="I9175" s="14" t="e">
        <f>=Round(4554.46960000,0)</f>
        <v>#VALUE!</v>
      </c>
      <c r="J9175" s="14" t="e">
        <f>=Round(0.00000000,0)</f>
        <v>#VALUE!</v>
      </c>
    </row>
    <row r="9176">
      <c r="A9176" s="11" t="s">
        <v>35</v>
      </c>
      <c r="B9176" s="12">
        <v>1095.532</v>
      </c>
      <c r="C9176" s="12">
        <v>0</v>
      </c>
      <c r="D9176" s="13">
        <v>0</v>
      </c>
      <c r="E9176" s="12">
        <v>0</v>
      </c>
      <c r="F9176" s="14">
        <v>0</v>
      </c>
      <c r="G9176" s="13">
        <v>92685.8903</v>
      </c>
      <c r="H9176" s="14">
        <v>101540358.77214</v>
      </c>
      <c r="I9176" s="14" t="e">
        <f>=Round(4577.63910000,0)</f>
        <v>#VALUE!</v>
      </c>
      <c r="J9176" s="14" t="e">
        <f>=Round(0.00000000,0)</f>
        <v>#VALUE!</v>
      </c>
    </row>
    <row r="9177">
      <c r="A9177" s="11" t="s">
        <v>36</v>
      </c>
      <c r="B9177" s="12">
        <v>1095.532</v>
      </c>
      <c r="C9177" s="12">
        <v>0</v>
      </c>
      <c r="D9177" s="13">
        <v>0</v>
      </c>
      <c r="E9177" s="12">
        <v>0</v>
      </c>
      <c r="F9177" s="14">
        <v>0</v>
      </c>
      <c r="G9177" s="13">
        <v>92685.8903</v>
      </c>
      <c r="H9177" s="14">
        <v>101540358.77214</v>
      </c>
      <c r="I9177" s="14" t="e">
        <f>=Round(4577.63910000,0)</f>
        <v>#VALUE!</v>
      </c>
      <c r="J9177" s="14" t="e">
        <f>=Round(0.00000000,0)</f>
        <v>#VALUE!</v>
      </c>
    </row>
    <row r="9178">
      <c r="A9178" s="11" t="s">
        <v>37</v>
      </c>
      <c r="B9178" s="12">
        <v>1094.389</v>
      </c>
      <c r="C9178" s="12">
        <v>0</v>
      </c>
      <c r="D9178" s="13">
        <v>0</v>
      </c>
      <c r="E9178" s="12">
        <v>0</v>
      </c>
      <c r="F9178" s="14">
        <v>0</v>
      </c>
      <c r="G9178" s="13">
        <v>92685.8903</v>
      </c>
      <c r="H9178" s="14">
        <v>101434418.799527</v>
      </c>
      <c r="I9178" s="14" t="e">
        <f>=Round(4577.63910000,0)</f>
        <v>#VALUE!</v>
      </c>
      <c r="J9178" s="14" t="e">
        <f>=Round(0.00000000,0)</f>
        <v>#VALUE!</v>
      </c>
    </row>
    <row r="9179">
      <c r="A9179" s="11" t="s">
        <v>38</v>
      </c>
      <c r="B9179" s="12">
        <v>1089.685</v>
      </c>
      <c r="C9179" s="12">
        <v>0</v>
      </c>
      <c r="D9179" s="13">
        <v>0</v>
      </c>
      <c r="E9179" s="12">
        <v>0</v>
      </c>
      <c r="F9179" s="14">
        <v>0</v>
      </c>
      <c r="G9179" s="13">
        <v>92685.8903</v>
      </c>
      <c r="H9179" s="14">
        <v>100998424.371556</v>
      </c>
      <c r="I9179" s="14" t="e">
        <f>=Round(4572.86310000,0)</f>
        <v>#VALUE!</v>
      </c>
      <c r="J9179" s="14" t="e">
        <f>=Round(0.00000000,0)</f>
        <v>#VALUE!</v>
      </c>
    </row>
    <row r="9180">
      <c r="A9180" s="11" t="s">
        <v>39</v>
      </c>
      <c r="B9180" s="12">
        <v>1092.193</v>
      </c>
      <c r="C9180" s="12">
        <v>0</v>
      </c>
      <c r="D9180" s="13">
        <v>0</v>
      </c>
      <c r="E9180" s="12">
        <v>0</v>
      </c>
      <c r="F9180" s="14">
        <v>0</v>
      </c>
      <c r="G9180" s="13">
        <v>92685.8903</v>
      </c>
      <c r="H9180" s="14">
        <v>101230880.584428</v>
      </c>
      <c r="I9180" s="14" t="e">
        <f>=Round(4553.20770000,0)</f>
        <v>#VALUE!</v>
      </c>
      <c r="J9180" s="14" t="e">
        <f>=Round(0.00000000,0)</f>
        <v>#VALUE!</v>
      </c>
    </row>
    <row r="9181">
      <c r="A9181" s="11" t="s">
        <v>40</v>
      </c>
      <c r="B9181" s="12">
        <v>1090.532</v>
      </c>
      <c r="C9181" s="12">
        <v>0</v>
      </c>
      <c r="D9181" s="13">
        <v>0</v>
      </c>
      <c r="E9181" s="12">
        <v>0</v>
      </c>
      <c r="F9181" s="14">
        <v>0</v>
      </c>
      <c r="G9181" s="13">
        <v>92685.8903</v>
      </c>
      <c r="H9181" s="14">
        <v>101076929.32064</v>
      </c>
      <c r="I9181" s="14" t="e">
        <f>=Round(4563.68720000,0)</f>
        <v>#VALUE!</v>
      </c>
      <c r="J9181" s="14" t="e">
        <f>=Round(0.00000000,0)</f>
        <v>#VALUE!</v>
      </c>
    </row>
    <row r="9182">
      <c r="A9182" s="11" t="s">
        <v>41</v>
      </c>
      <c r="B9182" s="12">
        <v>1094.032</v>
      </c>
      <c r="C9182" s="12">
        <v>0</v>
      </c>
      <c r="D9182" s="13">
        <v>0</v>
      </c>
      <c r="E9182" s="12">
        <v>0</v>
      </c>
      <c r="F9182" s="14">
        <v>0</v>
      </c>
      <c r="G9182" s="13">
        <v>92685.8903</v>
      </c>
      <c r="H9182" s="14">
        <v>101401329.93669</v>
      </c>
      <c r="I9182" s="14" t="e">
        <f>=Round(4556.74680000,0)</f>
        <v>#VALUE!</v>
      </c>
      <c r="J9182" s="14" t="e">
        <f>=Round(0.00000000,0)</f>
        <v>#VALUE!</v>
      </c>
    </row>
    <row r="9183">
      <c r="A9183" s="11" t="s">
        <v>42</v>
      </c>
      <c r="B9183" s="12">
        <v>1094.032</v>
      </c>
      <c r="C9183" s="12">
        <v>0</v>
      </c>
      <c r="D9183" s="13">
        <v>0</v>
      </c>
      <c r="E9183" s="12">
        <v>0</v>
      </c>
      <c r="F9183" s="14">
        <v>0</v>
      </c>
      <c r="G9183" s="13">
        <v>92685.8903</v>
      </c>
      <c r="H9183" s="14">
        <v>101401329.93669</v>
      </c>
      <c r="I9183" s="14" t="e">
        <f>=Round(4571.37140000,0)</f>
        <v>#VALUE!</v>
      </c>
      <c r="J9183" s="14" t="e">
        <f>=Round(0.00000000,0)</f>
        <v>#VALUE!</v>
      </c>
    </row>
    <row r="9184">
      <c r="A9184" s="11" t="s">
        <v>43</v>
      </c>
      <c r="B9184" s="12">
        <v>1094.032</v>
      </c>
      <c r="C9184" s="12">
        <v>0</v>
      </c>
      <c r="D9184" s="13">
        <v>0</v>
      </c>
      <c r="E9184" s="12">
        <v>0</v>
      </c>
      <c r="F9184" s="14">
        <v>0</v>
      </c>
      <c r="G9184" s="13">
        <v>92685.8903</v>
      </c>
      <c r="H9184" s="14">
        <v>101401329.93669</v>
      </c>
      <c r="I9184" s="14" t="e">
        <f>=Round(4571.37140000,0)</f>
        <v>#VALUE!</v>
      </c>
      <c r="J9184" s="14" t="e">
        <f>=Round(0.00000000,0)</f>
        <v>#VALUE!</v>
      </c>
    </row>
    <row r="9185">
      <c r="A9185" s="11" t="s">
        <v>44</v>
      </c>
      <c r="B9185" s="12">
        <v>1092.426</v>
      </c>
      <c r="C9185" s="12">
        <v>0</v>
      </c>
      <c r="D9185" s="13">
        <v>0</v>
      </c>
      <c r="E9185" s="12">
        <v>0</v>
      </c>
      <c r="F9185" s="14">
        <v>0</v>
      </c>
      <c r="G9185" s="13">
        <v>92685.8903</v>
      </c>
      <c r="H9185" s="14">
        <v>101252476.396868</v>
      </c>
      <c r="I9185" s="14" t="e">
        <f>=Round(4571.37140000,0)</f>
        <v>#VALUE!</v>
      </c>
      <c r="J9185" s="14" t="e">
        <f>=Round(0.00000000,0)</f>
        <v>#VALUE!</v>
      </c>
    </row>
    <row r="9186">
      <c r="A9186" s="11" t="s">
        <v>45</v>
      </c>
      <c r="B9186" s="12">
        <v>1093.992</v>
      </c>
      <c r="C9186" s="12">
        <v>0</v>
      </c>
      <c r="D9186" s="13">
        <v>0</v>
      </c>
      <c r="E9186" s="12">
        <v>0</v>
      </c>
      <c r="F9186" s="14">
        <v>0</v>
      </c>
      <c r="G9186" s="13">
        <v>92685.8903</v>
      </c>
      <c r="H9186" s="14">
        <v>101397622.501078</v>
      </c>
      <c r="I9186" s="14" t="e">
        <f>=Round(4564.66080000,0)</f>
        <v>#VALUE!</v>
      </c>
      <c r="J9186" s="14" t="e">
        <f>=Round(0.00000000,0)</f>
        <v>#VALUE!</v>
      </c>
    </row>
    <row r="9187">
      <c r="A9187" s="11" t="s">
        <v>46</v>
      </c>
      <c r="B9187" s="12">
        <v>1095.583</v>
      </c>
      <c r="C9187" s="12">
        <v>0</v>
      </c>
      <c r="D9187" s="13">
        <v>0</v>
      </c>
      <c r="E9187" s="12">
        <v>0</v>
      </c>
      <c r="F9187" s="14">
        <v>0</v>
      </c>
      <c r="G9187" s="13">
        <v>92685.8903</v>
      </c>
      <c r="H9187" s="14">
        <v>101545085.752545</v>
      </c>
      <c r="I9187" s="14" t="e">
        <f>=Round(4571.20430000,0)</f>
        <v>#VALUE!</v>
      </c>
      <c r="J9187" s="14" t="e">
        <f>=Round(0.00000000,0)</f>
        <v>#VALUE!</v>
      </c>
    </row>
    <row r="9188">
      <c r="A9188" s="11" t="s">
        <v>47</v>
      </c>
      <c r="B9188" s="12">
        <v>1097.406</v>
      </c>
      <c r="C9188" s="12">
        <v>0</v>
      </c>
      <c r="D9188" s="13">
        <v>0</v>
      </c>
      <c r="E9188" s="12">
        <v>0</v>
      </c>
      <c r="F9188" s="14">
        <v>0</v>
      </c>
      <c r="G9188" s="13">
        <v>92685.8903</v>
      </c>
      <c r="H9188" s="14">
        <v>101714052.130562</v>
      </c>
      <c r="I9188" s="14" t="e">
        <f>=Round(4577.85220000,0)</f>
        <v>#VALUE!</v>
      </c>
      <c r="J9188" s="14" t="e">
        <f>=Round(0.00000000,0)</f>
        <v>#VALUE!</v>
      </c>
    </row>
    <row r="9189">
      <c r="A9189" s="11" t="s">
        <v>48</v>
      </c>
      <c r="B9189" s="12">
        <v>1097.772</v>
      </c>
      <c r="C9189" s="12">
        <v>0</v>
      </c>
      <c r="D9189" s="13">
        <v>0</v>
      </c>
      <c r="E9189" s="12">
        <v>0</v>
      </c>
      <c r="F9189" s="14">
        <v>0</v>
      </c>
      <c r="G9189" s="13">
        <v>92685.8903</v>
      </c>
      <c r="H9189" s="14">
        <v>101747975.166412</v>
      </c>
      <c r="I9189" s="14" t="e">
        <f>=Round(4585.46960000,0)</f>
        <v>#VALUE!</v>
      </c>
      <c r="J9189" s="14" t="e">
        <f>=Round(0.00000000,0)</f>
        <v>#VALUE!</v>
      </c>
    </row>
    <row r="9190">
      <c r="A9190" s="11" t="s">
        <v>49</v>
      </c>
      <c r="B9190" s="12">
        <v>1097.772</v>
      </c>
      <c r="C9190" s="12">
        <v>0</v>
      </c>
      <c r="D9190" s="13">
        <v>0</v>
      </c>
      <c r="E9190" s="12">
        <v>0</v>
      </c>
      <c r="F9190" s="14">
        <v>0</v>
      </c>
      <c r="G9190" s="13">
        <v>92685.8903</v>
      </c>
      <c r="H9190" s="14">
        <v>101747975.166412</v>
      </c>
      <c r="I9190" s="14" t="e">
        <f>=Round(4586.99890000,0)</f>
        <v>#VALUE!</v>
      </c>
      <c r="J9190" s="14" t="e">
        <f>=Round(0.00000000,0)</f>
        <v>#VALUE!</v>
      </c>
    </row>
    <row r="9191">
      <c r="A9191" s="11" t="s">
        <v>50</v>
      </c>
      <c r="B9191" s="12">
        <v>1097.772</v>
      </c>
      <c r="C9191" s="12">
        <v>0</v>
      </c>
      <c r="D9191" s="13">
        <v>0</v>
      </c>
      <c r="E9191" s="12">
        <v>0</v>
      </c>
      <c r="F9191" s="14">
        <v>0</v>
      </c>
      <c r="G9191" s="13">
        <v>92685.8903</v>
      </c>
      <c r="H9191" s="14">
        <v>101747975.166412</v>
      </c>
      <c r="I9191" s="14" t="e">
        <f>=Round(4586.99890000,0)</f>
        <v>#VALUE!</v>
      </c>
      <c r="J9191" s="14" t="e">
        <f>=Round(0.00000000,0)</f>
        <v>#VALUE!</v>
      </c>
    </row>
    <row r="9192">
      <c r="A9192" s="11" t="s">
        <v>51</v>
      </c>
      <c r="B9192" s="12">
        <v>1098.496</v>
      </c>
      <c r="C9192" s="12">
        <v>0</v>
      </c>
      <c r="D9192" s="13">
        <v>0</v>
      </c>
      <c r="E9192" s="12">
        <v>0</v>
      </c>
      <c r="F9192" s="14">
        <v>0</v>
      </c>
      <c r="G9192" s="13">
        <v>92685.8903</v>
      </c>
      <c r="H9192" s="14">
        <v>101815079.750989</v>
      </c>
      <c r="I9192" s="14" t="e">
        <f>=Round(4586.99890000,0)</f>
        <v>#VALUE!</v>
      </c>
      <c r="J9192" s="14" t="e">
        <f>=Round(0.00000000,0)</f>
        <v>#VALUE!</v>
      </c>
    </row>
    <row r="9193">
      <c r="A9193" s="11" t="s">
        <v>52</v>
      </c>
      <c r="B9193" s="12">
        <v>1099.793</v>
      </c>
      <c r="C9193" s="12">
        <v>0</v>
      </c>
      <c r="D9193" s="13">
        <v>0</v>
      </c>
      <c r="E9193" s="12">
        <v>0</v>
      </c>
      <c r="F9193" s="14">
        <v>0</v>
      </c>
      <c r="G9193" s="13">
        <v>92685.8903</v>
      </c>
      <c r="H9193" s="14">
        <v>101935293.350708</v>
      </c>
      <c r="I9193" s="14" t="e">
        <f>=Round(4590.02410000,0)</f>
        <v>#VALUE!</v>
      </c>
      <c r="J9193" s="14" t="e">
        <f>=Round(0.00000000,0)</f>
        <v>#VALUE!</v>
      </c>
    </row>
    <row r="9194">
      <c r="A9194" s="11" t="s">
        <v>53</v>
      </c>
      <c r="B9194" s="12">
        <v>1100.156</v>
      </c>
      <c r="C9194" s="12">
        <v>0</v>
      </c>
      <c r="D9194" s="13">
        <v>0</v>
      </c>
      <c r="E9194" s="12">
        <v>0</v>
      </c>
      <c r="F9194" s="14">
        <v>0</v>
      </c>
      <c r="G9194" s="13">
        <v>92685.8903</v>
      </c>
      <c r="H9194" s="14">
        <v>101968938.328887</v>
      </c>
      <c r="I9194" s="14" t="e">
        <f>=Round(4595.44360000,0)</f>
        <v>#VALUE!</v>
      </c>
      <c r="J9194" s="14" t="e">
        <f>=Round(0.00000000,0)</f>
        <v>#VALUE!</v>
      </c>
    </row>
    <row r="9195">
      <c r="A9195" s="11" t="s">
        <v>54</v>
      </c>
      <c r="B9195" s="12">
        <v>1100.444</v>
      </c>
      <c r="C9195" s="12">
        <v>0</v>
      </c>
      <c r="D9195" s="13">
        <v>0</v>
      </c>
      <c r="E9195" s="12">
        <v>0</v>
      </c>
      <c r="F9195" s="14">
        <v>0</v>
      </c>
      <c r="G9195" s="13">
        <v>92685.8903</v>
      </c>
      <c r="H9195" s="14">
        <v>101995631.865293</v>
      </c>
      <c r="I9195" s="14" t="e">
        <f>=Round(4596.96030000,0)</f>
        <v>#VALUE!</v>
      </c>
      <c r="J9195" s="14" t="e">
        <f>=Round(0.00000000,0)</f>
        <v>#VALUE!</v>
      </c>
    </row>
    <row r="9196">
      <c r="A9196" s="11" t="s">
        <v>55</v>
      </c>
      <c r="B9196" s="12">
        <v>1097.991</v>
      </c>
      <c r="C9196" s="12">
        <v>0</v>
      </c>
      <c r="D9196" s="13">
        <v>0</v>
      </c>
      <c r="E9196" s="12">
        <v>0</v>
      </c>
      <c r="F9196" s="14">
        <v>0</v>
      </c>
      <c r="G9196" s="13">
        <v>92685.8903</v>
      </c>
      <c r="H9196" s="14">
        <v>101768273.376387</v>
      </c>
      <c r="I9196" s="14" t="e">
        <f>=Round(4598.16370000,0)</f>
        <v>#VALUE!</v>
      </c>
      <c r="J9196" s="14" t="e">
        <f>=Round(0.00000000,0)</f>
        <v>#VALUE!</v>
      </c>
    </row>
    <row r="9197" ht="-1">
      <c r="A9197" s="15"/>
      <c r="B9197" s="16" t="s">
        <v>56</v>
      </c>
      <c r="C9197" s="15"/>
      <c r="D9197" s="15"/>
      <c r="E9197" s="15"/>
      <c r="F9197" s="15"/>
      <c r="G9197" s="15"/>
      <c r="H9197" s="15"/>
      <c r="I9197" s="17" t="e">
        <f>=Round(SUM(I9171:I9196),0)</f>
        <v>#VALUE!</v>
      </c>
      <c r="J9197" s="17" t="e">
        <f>=Round(SUM(J9171:J9196),0)</f>
        <v>#VALUE!</v>
      </c>
    </row>
    <row r="9198">
      <c r="A9198" s="1" t="s">
        <v>0</v>
      </c>
      <c r="B9198" s="1"/>
      <c r="C9198" s="1"/>
      <c r="D9198" s="1"/>
    </row>
    <row r="9199">
      <c r="A9199" s="0" t="s">
        <v>1</v>
      </c>
      <c r="C9199" s="0" t="s">
        <v>308</v>
      </c>
      <c r="H9199" s="2" t="s">
        <v>3</v>
      </c>
    </row>
    <row r="9200">
      <c r="A9200" s="0" t="s">
        <v>4</v>
      </c>
      <c r="C9200" s="0" t="s">
        <v>265</v>
      </c>
      <c r="H9200" s="3" t="s">
        <v>6</v>
      </c>
    </row>
    <row r="9201">
      <c r="A9201" s="0" t="s">
        <v>7</v>
      </c>
      <c r="C9201" s="4" t="s">
        <v>219</v>
      </c>
      <c r="H9201" s="2" t="s">
        <v>9</v>
      </c>
    </row>
    <row r="9202">
      <c r="A9202" s="0" t="s">
        <v>10</v>
      </c>
      <c r="C9202" s="4" t="s">
        <v>11</v>
      </c>
      <c r="H9202" s="2" t="s">
        <v>12</v>
      </c>
    </row>
    <row r="9203">
      <c r="A9203" s="0" t="s">
        <v>13</v>
      </c>
      <c r="C9203" s="0" t="s">
        <v>14</v>
      </c>
    </row>
    <row r="9204">
      <c r="A9204" s="0" t="s">
        <v>15</v>
      </c>
      <c r="C9204" s="0" t="s">
        <v>16</v>
      </c>
    </row>
    <row r="9205">
      <c r="A9205" s="0" t="s">
        <v>17</v>
      </c>
      <c r="C9205" s="0" t="s">
        <v>18</v>
      </c>
    </row>
    <row r="9208">
      <c r="A9208" s="5" t="s">
        <v>19</v>
      </c>
      <c r="B9208" s="5" t="s">
        <v>20</v>
      </c>
      <c r="C9208" s="7" t="s">
        <v>21</v>
      </c>
      <c r="D9208" s="9"/>
      <c r="E9208" s="7" t="s">
        <v>22</v>
      </c>
      <c r="F9208" s="9"/>
      <c r="G9208" s="5" t="s">
        <v>23</v>
      </c>
      <c r="H9208" s="5" t="s">
        <v>24</v>
      </c>
      <c r="I9208" s="5" t="s">
        <v>220</v>
      </c>
      <c r="J9208" s="5" t="s">
        <v>26</v>
      </c>
    </row>
    <row r="9209">
      <c r="A9209" s="6"/>
      <c r="B9209" s="6"/>
      <c r="C9209" s="8" t="s">
        <v>27</v>
      </c>
      <c r="D9209" s="8" t="s">
        <v>28</v>
      </c>
      <c r="E9209" s="8" t="s">
        <v>27</v>
      </c>
      <c r="F9209" s="8" t="s">
        <v>28</v>
      </c>
      <c r="G9209" s="6"/>
      <c r="H9209" s="6"/>
      <c r="I9209" s="10" t="s">
        <v>29</v>
      </c>
      <c r="J9209" s="6"/>
    </row>
    <row r="9210">
      <c r="A9210" s="11" t="s">
        <v>30</v>
      </c>
      <c r="B9210" s="12">
        <v>1087.836</v>
      </c>
      <c r="C9210" s="12">
        <v>0</v>
      </c>
      <c r="D9210" s="13">
        <v>0</v>
      </c>
      <c r="E9210" s="12">
        <v>0</v>
      </c>
      <c r="F9210" s="14">
        <v>0</v>
      </c>
      <c r="G9210" s="13">
        <v>162584574.46330002</v>
      </c>
      <c r="H9210" s="14">
        <v>176865353145.85843</v>
      </c>
      <c r="I9210" s="14" t="e">
        <f>=Round(7981852.46970000,0)</f>
        <v>#VALUE!</v>
      </c>
      <c r="J9210" s="14" t="e">
        <f>=Round(0.00000000,0)</f>
        <v>#VALUE!</v>
      </c>
    </row>
    <row r="9211">
      <c r="A9211" s="11" t="s">
        <v>31</v>
      </c>
      <c r="B9211" s="12">
        <v>1089.903</v>
      </c>
      <c r="C9211" s="12">
        <v>0</v>
      </c>
      <c r="D9211" s="13">
        <v>0</v>
      </c>
      <c r="E9211" s="12">
        <v>0</v>
      </c>
      <c r="F9211" s="14">
        <v>0</v>
      </c>
      <c r="G9211" s="13">
        <v>162584574.46330002</v>
      </c>
      <c r="H9211" s="14">
        <v>177201415461.27405</v>
      </c>
      <c r="I9211" s="14" t="e">
        <f>=Round(7973438.05170000,0)</f>
        <v>#VALUE!</v>
      </c>
      <c r="J9211" s="14" t="e">
        <f>=Round(0.00000000,0)</f>
        <v>#VALUE!</v>
      </c>
    </row>
    <row r="9212">
      <c r="A9212" s="11" t="s">
        <v>32</v>
      </c>
      <c r="B9212" s="12">
        <v>1089.687</v>
      </c>
      <c r="C9212" s="12">
        <v>0</v>
      </c>
      <c r="D9212" s="13">
        <v>0</v>
      </c>
      <c r="E9212" s="12">
        <v>0</v>
      </c>
      <c r="F9212" s="14">
        <v>0</v>
      </c>
      <c r="G9212" s="13">
        <v>162584574.46330002</v>
      </c>
      <c r="H9212" s="14">
        <v>177166297193.18997</v>
      </c>
      <c r="I9212" s="14" t="e">
        <f>=Round(7988588.40190000,0)</f>
        <v>#VALUE!</v>
      </c>
      <c r="J9212" s="14" t="e">
        <f>=Round(0.00000000,0)</f>
        <v>#VALUE!</v>
      </c>
    </row>
    <row r="9213">
      <c r="A9213" s="11" t="s">
        <v>33</v>
      </c>
      <c r="B9213" s="12">
        <v>1089.987</v>
      </c>
      <c r="C9213" s="12">
        <v>0</v>
      </c>
      <c r="D9213" s="13">
        <v>0</v>
      </c>
      <c r="E9213" s="12">
        <v>0</v>
      </c>
      <c r="F9213" s="14">
        <v>0</v>
      </c>
      <c r="G9213" s="13">
        <v>162584574.46330002</v>
      </c>
      <c r="H9213" s="14">
        <v>177215072565.529</v>
      </c>
      <c r="I9213" s="14" t="e">
        <f>=Round(7987005.20130000,0)</f>
        <v>#VALUE!</v>
      </c>
      <c r="J9213" s="14" t="e">
        <f>=Round(0.00000000,0)</f>
        <v>#VALUE!</v>
      </c>
    </row>
    <row r="9214">
      <c r="A9214" s="11" t="s">
        <v>34</v>
      </c>
      <c r="B9214" s="12">
        <v>1095.532</v>
      </c>
      <c r="C9214" s="12">
        <v>0</v>
      </c>
      <c r="D9214" s="13">
        <v>0</v>
      </c>
      <c r="E9214" s="12">
        <v>0</v>
      </c>
      <c r="F9214" s="14">
        <v>0</v>
      </c>
      <c r="G9214" s="13">
        <v>162584574.46330002</v>
      </c>
      <c r="H9214" s="14">
        <v>178116604030.92798</v>
      </c>
      <c r="I9214" s="14" t="e">
        <f>=Round(7989204.09110000,0)</f>
        <v>#VALUE!</v>
      </c>
      <c r="J9214" s="14" t="e">
        <f>=Round(0.00000000,0)</f>
        <v>#VALUE!</v>
      </c>
    </row>
    <row r="9215">
      <c r="A9215" s="11" t="s">
        <v>35</v>
      </c>
      <c r="B9215" s="12">
        <v>1095.532</v>
      </c>
      <c r="C9215" s="12">
        <v>0</v>
      </c>
      <c r="D9215" s="13">
        <v>0</v>
      </c>
      <c r="E9215" s="12">
        <v>0</v>
      </c>
      <c r="F9215" s="14">
        <v>0</v>
      </c>
      <c r="G9215" s="13">
        <v>162584574.46330002</v>
      </c>
      <c r="H9215" s="14">
        <v>178116604030.92798</v>
      </c>
      <c r="I9215" s="14" t="e">
        <f>=Round(8029846.90300000,0)</f>
        <v>#VALUE!</v>
      </c>
      <c r="J9215" s="14" t="e">
        <f>=Round(0.00000000,0)</f>
        <v>#VALUE!</v>
      </c>
    </row>
    <row r="9216">
      <c r="A9216" s="11" t="s">
        <v>36</v>
      </c>
      <c r="B9216" s="12">
        <v>1095.532</v>
      </c>
      <c r="C9216" s="12">
        <v>0</v>
      </c>
      <c r="D9216" s="13">
        <v>0</v>
      </c>
      <c r="E9216" s="12">
        <v>0</v>
      </c>
      <c r="F9216" s="14">
        <v>0</v>
      </c>
      <c r="G9216" s="13">
        <v>162584574.46330002</v>
      </c>
      <c r="H9216" s="14">
        <v>178116604030.92798</v>
      </c>
      <c r="I9216" s="14" t="e">
        <f>=Round(8029846.90300000,0)</f>
        <v>#VALUE!</v>
      </c>
      <c r="J9216" s="14" t="e">
        <f>=Round(0.00000000,0)</f>
        <v>#VALUE!</v>
      </c>
    </row>
    <row r="9217">
      <c r="A9217" s="11" t="s">
        <v>37</v>
      </c>
      <c r="B9217" s="12">
        <v>1094.389</v>
      </c>
      <c r="C9217" s="12">
        <v>0</v>
      </c>
      <c r="D9217" s="13">
        <v>0</v>
      </c>
      <c r="E9217" s="12">
        <v>0</v>
      </c>
      <c r="F9217" s="14">
        <v>0</v>
      </c>
      <c r="G9217" s="13">
        <v>162584574.46330002</v>
      </c>
      <c r="H9217" s="14">
        <v>177930769862.31641</v>
      </c>
      <c r="I9217" s="14" t="e">
        <f>=Round(8029846.90300000,0)</f>
        <v>#VALUE!</v>
      </c>
      <c r="J9217" s="14" t="e">
        <f>=Round(0.00000000,0)</f>
        <v>#VALUE!</v>
      </c>
    </row>
    <row r="9218">
      <c r="A9218" s="11" t="s">
        <v>38</v>
      </c>
      <c r="B9218" s="12">
        <v>1089.685</v>
      </c>
      <c r="C9218" s="12">
        <v>0</v>
      </c>
      <c r="D9218" s="13">
        <v>0</v>
      </c>
      <c r="E9218" s="12">
        <v>0</v>
      </c>
      <c r="F9218" s="14">
        <v>0</v>
      </c>
      <c r="G9218" s="13">
        <v>162584574.46330002</v>
      </c>
      <c r="H9218" s="14">
        <v>177165972024.04105</v>
      </c>
      <c r="I9218" s="14" t="e">
        <f>=Round(8021469.13310000,0)</f>
        <v>#VALUE!</v>
      </c>
      <c r="J9218" s="14" t="e">
        <f>=Round(0.00000000,0)</f>
        <v>#VALUE!</v>
      </c>
    </row>
    <row r="9219">
      <c r="A9219" s="11" t="s">
        <v>39</v>
      </c>
      <c r="B9219" s="12">
        <v>1092.193</v>
      </c>
      <c r="C9219" s="12">
        <v>0</v>
      </c>
      <c r="D9219" s="13">
        <v>0</v>
      </c>
      <c r="E9219" s="12">
        <v>0</v>
      </c>
      <c r="F9219" s="14">
        <v>0</v>
      </c>
      <c r="G9219" s="13">
        <v>162584574.46330002</v>
      </c>
      <c r="H9219" s="14">
        <v>177573734136.795</v>
      </c>
      <c r="I9219" s="14" t="e">
        <f>=Round(7986990.54210000,0)</f>
        <v>#VALUE!</v>
      </c>
      <c r="J9219" s="14" t="e">
        <f>=Round(0.00000000,0)</f>
        <v>#VALUE!</v>
      </c>
    </row>
    <row r="9220">
      <c r="A9220" s="11" t="s">
        <v>40</v>
      </c>
      <c r="B9220" s="12">
        <v>1090.532</v>
      </c>
      <c r="C9220" s="12">
        <v>0</v>
      </c>
      <c r="D9220" s="13">
        <v>0</v>
      </c>
      <c r="E9220" s="12">
        <v>0</v>
      </c>
      <c r="F9220" s="14">
        <v>0</v>
      </c>
      <c r="G9220" s="13">
        <v>162584574.46330002</v>
      </c>
      <c r="H9220" s="14">
        <v>177303681158.61148</v>
      </c>
      <c r="I9220" s="14" t="e">
        <f>=Round(8005373.26030000,0)</f>
        <v>#VALUE!</v>
      </c>
      <c r="J9220" s="14" t="e">
        <f>=Round(0.00000000,0)</f>
        <v>#VALUE!</v>
      </c>
    </row>
    <row r="9221">
      <c r="A9221" s="11" t="s">
        <v>41</v>
      </c>
      <c r="B9221" s="12">
        <v>1094.032</v>
      </c>
      <c r="C9221" s="12">
        <v>0</v>
      </c>
      <c r="D9221" s="13">
        <v>0</v>
      </c>
      <c r="E9221" s="12">
        <v>0</v>
      </c>
      <c r="F9221" s="14">
        <v>0</v>
      </c>
      <c r="G9221" s="13">
        <v>162584574.46330002</v>
      </c>
      <c r="H9221" s="14">
        <v>177872727169.23303</v>
      </c>
      <c r="I9221" s="14" t="e">
        <f>=Round(7993198.74080000,0)</f>
        <v>#VALUE!</v>
      </c>
      <c r="J9221" s="14" t="e">
        <f>=Round(0.00000000,0)</f>
        <v>#VALUE!</v>
      </c>
    </row>
    <row r="9222">
      <c r="A9222" s="11" t="s">
        <v>42</v>
      </c>
      <c r="B9222" s="12">
        <v>1094.032</v>
      </c>
      <c r="C9222" s="12">
        <v>0</v>
      </c>
      <c r="D9222" s="13">
        <v>0</v>
      </c>
      <c r="E9222" s="12">
        <v>0</v>
      </c>
      <c r="F9222" s="14">
        <v>0</v>
      </c>
      <c r="G9222" s="13">
        <v>162584574.46330002</v>
      </c>
      <c r="H9222" s="14">
        <v>177872727169.23303</v>
      </c>
      <c r="I9222" s="14" t="e">
        <f>=Round(8018852.45440000,0)</f>
        <v>#VALUE!</v>
      </c>
      <c r="J9222" s="14" t="e">
        <f>=Round(0.00000000,0)</f>
        <v>#VALUE!</v>
      </c>
    </row>
    <row r="9223">
      <c r="A9223" s="11" t="s">
        <v>43</v>
      </c>
      <c r="B9223" s="12">
        <v>1094.032</v>
      </c>
      <c r="C9223" s="12">
        <v>0</v>
      </c>
      <c r="D9223" s="13">
        <v>0</v>
      </c>
      <c r="E9223" s="12">
        <v>0</v>
      </c>
      <c r="F9223" s="14">
        <v>0</v>
      </c>
      <c r="G9223" s="13">
        <v>162584574.46330002</v>
      </c>
      <c r="H9223" s="14">
        <v>177872727169.23303</v>
      </c>
      <c r="I9223" s="14" t="e">
        <f>=Round(8018852.45440000,0)</f>
        <v>#VALUE!</v>
      </c>
      <c r="J9223" s="14" t="e">
        <f>=Round(0.00000000,0)</f>
        <v>#VALUE!</v>
      </c>
    </row>
    <row r="9224">
      <c r="A9224" s="11" t="s">
        <v>44</v>
      </c>
      <c r="B9224" s="12">
        <v>1092.426</v>
      </c>
      <c r="C9224" s="12">
        <v>0</v>
      </c>
      <c r="D9224" s="13">
        <v>0</v>
      </c>
      <c r="E9224" s="12">
        <v>0</v>
      </c>
      <c r="F9224" s="14">
        <v>0</v>
      </c>
      <c r="G9224" s="13">
        <v>162584574.46330002</v>
      </c>
      <c r="H9224" s="14">
        <v>177611616342.64496</v>
      </c>
      <c r="I9224" s="14" t="e">
        <f>=Round(8018852.45440000,0)</f>
        <v>#VALUE!</v>
      </c>
      <c r="J9224" s="14" t="e">
        <f>=Round(0.00000000,0)</f>
        <v>#VALUE!</v>
      </c>
    </row>
    <row r="9225">
      <c r="A9225" s="11" t="s">
        <v>45</v>
      </c>
      <c r="B9225" s="12">
        <v>1093.992</v>
      </c>
      <c r="C9225" s="12">
        <v>0</v>
      </c>
      <c r="D9225" s="13">
        <v>0</v>
      </c>
      <c r="E9225" s="12">
        <v>0</v>
      </c>
      <c r="F9225" s="14">
        <v>0</v>
      </c>
      <c r="G9225" s="13">
        <v>162584574.46330002</v>
      </c>
      <c r="H9225" s="14">
        <v>177866223786.25449</v>
      </c>
      <c r="I9225" s="14" t="e">
        <f>=Round(8007081.06460000,0)</f>
        <v>#VALUE!</v>
      </c>
      <c r="J9225" s="14" t="e">
        <f>=Round(0.00000000,0)</f>
        <v>#VALUE!</v>
      </c>
    </row>
    <row r="9226">
      <c r="A9226" s="11" t="s">
        <v>46</v>
      </c>
      <c r="B9226" s="12">
        <v>1095.583</v>
      </c>
      <c r="C9226" s="12">
        <v>0</v>
      </c>
      <c r="D9226" s="13">
        <v>0</v>
      </c>
      <c r="E9226" s="12">
        <v>0</v>
      </c>
      <c r="F9226" s="14">
        <v>0</v>
      </c>
      <c r="G9226" s="13">
        <v>162584574.46330002</v>
      </c>
      <c r="H9226" s="14">
        <v>178124895844.22559</v>
      </c>
      <c r="I9226" s="14" t="e">
        <f>=Round(8018559.26910000,0)</f>
        <v>#VALUE!</v>
      </c>
      <c r="J9226" s="14" t="e">
        <f>=Round(0.00000000,0)</f>
        <v>#VALUE!</v>
      </c>
    </row>
    <row r="9227">
      <c r="A9227" s="11" t="s">
        <v>47</v>
      </c>
      <c r="B9227" s="12">
        <v>1097.406</v>
      </c>
      <c r="C9227" s="12">
        <v>0</v>
      </c>
      <c r="D9227" s="13">
        <v>0</v>
      </c>
      <c r="E9227" s="12">
        <v>0</v>
      </c>
      <c r="F9227" s="14">
        <v>0</v>
      </c>
      <c r="G9227" s="13">
        <v>162584574.46330002</v>
      </c>
      <c r="H9227" s="14">
        <v>178421287523.4722</v>
      </c>
      <c r="I9227" s="14" t="e">
        <f>=Round(8030220.71430000,0)</f>
        <v>#VALUE!</v>
      </c>
      <c r="J9227" s="14" t="e">
        <f>=Round(0.00000000,0)</f>
        <v>#VALUE!</v>
      </c>
    </row>
    <row r="9228">
      <c r="A9228" s="11" t="s">
        <v>48</v>
      </c>
      <c r="B9228" s="12">
        <v>1097.772</v>
      </c>
      <c r="C9228" s="12">
        <v>0</v>
      </c>
      <c r="D9228" s="13">
        <v>0</v>
      </c>
      <c r="E9228" s="12">
        <v>0</v>
      </c>
      <c r="F9228" s="14">
        <v>0</v>
      </c>
      <c r="G9228" s="13">
        <v>162584574.46330002</v>
      </c>
      <c r="H9228" s="14">
        <v>178480793477.72577</v>
      </c>
      <c r="I9228" s="14" t="e">
        <f>=Round(8043582.63430000,0)</f>
        <v>#VALUE!</v>
      </c>
      <c r="J9228" s="14" t="e">
        <f>=Round(0.00000000,0)</f>
        <v>#VALUE!</v>
      </c>
    </row>
    <row r="9229">
      <c r="A9229" s="11" t="s">
        <v>49</v>
      </c>
      <c r="B9229" s="12">
        <v>1097.772</v>
      </c>
      <c r="C9229" s="12">
        <v>0</v>
      </c>
      <c r="D9229" s="13">
        <v>0</v>
      </c>
      <c r="E9229" s="12">
        <v>0</v>
      </c>
      <c r="F9229" s="14">
        <v>0</v>
      </c>
      <c r="G9229" s="13">
        <v>162584574.46330002</v>
      </c>
      <c r="H9229" s="14">
        <v>178480793477.72577</v>
      </c>
      <c r="I9229" s="14" t="e">
        <f>=Round(8046265.27970000,0)</f>
        <v>#VALUE!</v>
      </c>
      <c r="J9229" s="14" t="e">
        <f>=Round(0.00000000,0)</f>
        <v>#VALUE!</v>
      </c>
    </row>
    <row r="9230">
      <c r="A9230" s="11" t="s">
        <v>50</v>
      </c>
      <c r="B9230" s="12">
        <v>1097.772</v>
      </c>
      <c r="C9230" s="12">
        <v>0</v>
      </c>
      <c r="D9230" s="13">
        <v>0</v>
      </c>
      <c r="E9230" s="12">
        <v>0</v>
      </c>
      <c r="F9230" s="14">
        <v>0</v>
      </c>
      <c r="G9230" s="13">
        <v>162584574.46330002</v>
      </c>
      <c r="H9230" s="14">
        <v>178480793477.72577</v>
      </c>
      <c r="I9230" s="14" t="e">
        <f>=Round(8046265.27970000,0)</f>
        <v>#VALUE!</v>
      </c>
      <c r="J9230" s="14" t="e">
        <f>=Round(0.00000000,0)</f>
        <v>#VALUE!</v>
      </c>
    </row>
    <row r="9231">
      <c r="A9231" s="11" t="s">
        <v>51</v>
      </c>
      <c r="B9231" s="12">
        <v>1098.496</v>
      </c>
      <c r="C9231" s="12">
        <v>0</v>
      </c>
      <c r="D9231" s="13">
        <v>0</v>
      </c>
      <c r="E9231" s="12">
        <v>0</v>
      </c>
      <c r="F9231" s="14">
        <v>0</v>
      </c>
      <c r="G9231" s="13">
        <v>162584574.46330002</v>
      </c>
      <c r="H9231" s="14">
        <v>178598504709.63718</v>
      </c>
      <c r="I9231" s="14" t="e">
        <f>=Round(8046265.27970000,0)</f>
        <v>#VALUE!</v>
      </c>
      <c r="J9231" s="14" t="e">
        <f>=Round(0.00000000,0)</f>
        <v>#VALUE!</v>
      </c>
    </row>
    <row r="9232">
      <c r="A9232" s="11" t="s">
        <v>52</v>
      </c>
      <c r="B9232" s="12">
        <v>1099.793</v>
      </c>
      <c r="C9232" s="12">
        <v>0</v>
      </c>
      <c r="D9232" s="13">
        <v>0</v>
      </c>
      <c r="E9232" s="12">
        <v>0</v>
      </c>
      <c r="F9232" s="14">
        <v>0</v>
      </c>
      <c r="G9232" s="13">
        <v>162584574.46330002</v>
      </c>
      <c r="H9232" s="14">
        <v>178809376902.7161</v>
      </c>
      <c r="I9232" s="14" t="e">
        <f>=Round(8051571.93360000,0)</f>
        <v>#VALUE!</v>
      </c>
      <c r="J9232" s="14" t="e">
        <f>=Round(0.00000000,0)</f>
        <v>#VALUE!</v>
      </c>
    </row>
    <row r="9233">
      <c r="A9233" s="11" t="s">
        <v>53</v>
      </c>
      <c r="B9233" s="12">
        <v>1100.156</v>
      </c>
      <c r="C9233" s="12">
        <v>0</v>
      </c>
      <c r="D9233" s="13">
        <v>0</v>
      </c>
      <c r="E9233" s="12">
        <v>0</v>
      </c>
      <c r="F9233" s="14">
        <v>0</v>
      </c>
      <c r="G9233" s="13">
        <v>162584574.46330002</v>
      </c>
      <c r="H9233" s="14">
        <v>178868395103.24628</v>
      </c>
      <c r="I9233" s="14" t="e">
        <f>=Round(8061078.46690000,0)</f>
        <v>#VALUE!</v>
      </c>
      <c r="J9233" s="14" t="e">
        <f>=Round(0.00000000,0)</f>
        <v>#VALUE!</v>
      </c>
    </row>
    <row r="9234">
      <c r="A9234" s="11" t="s">
        <v>54</v>
      </c>
      <c r="B9234" s="12">
        <v>1100.444</v>
      </c>
      <c r="C9234" s="12">
        <v>0</v>
      </c>
      <c r="D9234" s="13">
        <v>0</v>
      </c>
      <c r="E9234" s="12">
        <v>0</v>
      </c>
      <c r="F9234" s="14">
        <v>0</v>
      </c>
      <c r="G9234" s="13">
        <v>162584574.46330002</v>
      </c>
      <c r="H9234" s="14">
        <v>178915219460.69171</v>
      </c>
      <c r="I9234" s="14" t="e">
        <f>=Round(8063739.12350000,0)</f>
        <v>#VALUE!</v>
      </c>
      <c r="J9234" s="14" t="e">
        <f>=Round(0.00000000,0)</f>
        <v>#VALUE!</v>
      </c>
    </row>
    <row r="9235">
      <c r="A9235" s="11" t="s">
        <v>55</v>
      </c>
      <c r="B9235" s="12">
        <v>1097.991</v>
      </c>
      <c r="C9235" s="12">
        <v>0</v>
      </c>
      <c r="D9235" s="13">
        <v>0</v>
      </c>
      <c r="E9235" s="12">
        <v>0</v>
      </c>
      <c r="F9235" s="14">
        <v>0</v>
      </c>
      <c r="G9235" s="13">
        <v>162584574.46330002</v>
      </c>
      <c r="H9235" s="14">
        <v>178516399499.5332</v>
      </c>
      <c r="I9235" s="14" t="e">
        <f>=Round(8065850.05770000,0)</f>
        <v>#VALUE!</v>
      </c>
      <c r="J9235" s="14" t="e">
        <f>=Round(0.00000000,0)</f>
        <v>#VALUE!</v>
      </c>
    </row>
    <row r="9236" ht="-1">
      <c r="A9236" s="15"/>
      <c r="B9236" s="16" t="s">
        <v>56</v>
      </c>
      <c r="C9236" s="15"/>
      <c r="D9236" s="15"/>
      <c r="E9236" s="15"/>
      <c r="F9236" s="15"/>
      <c r="G9236" s="15"/>
      <c r="H9236" s="15"/>
      <c r="I9236" s="17" t="e">
        <f>=Round(SUM(I9210:I9235),0)</f>
        <v>#VALUE!</v>
      </c>
      <c r="J9236" s="17" t="e">
        <f>=Round(SUM(J9210:J9235),0)</f>
        <v>#VALUE!</v>
      </c>
    </row>
    <row r="9237">
      <c r="A9237" s="1" t="s">
        <v>0</v>
      </c>
      <c r="B9237" s="1"/>
      <c r="C9237" s="1"/>
      <c r="D9237" s="1"/>
    </row>
    <row r="9238">
      <c r="A9238" s="0" t="s">
        <v>1</v>
      </c>
      <c r="C9238" s="0" t="s">
        <v>308</v>
      </c>
      <c r="H9238" s="2" t="s">
        <v>3</v>
      </c>
    </row>
    <row r="9239">
      <c r="A9239" s="0" t="s">
        <v>4</v>
      </c>
      <c r="C9239" s="0" t="s">
        <v>313</v>
      </c>
      <c r="H9239" s="3" t="s">
        <v>6</v>
      </c>
    </row>
    <row r="9240">
      <c r="A9240" s="0" t="s">
        <v>7</v>
      </c>
      <c r="C9240" s="4" t="s">
        <v>219</v>
      </c>
      <c r="H9240" s="2" t="s">
        <v>9</v>
      </c>
    </row>
    <row r="9241">
      <c r="A9241" s="0" t="s">
        <v>10</v>
      </c>
      <c r="C9241" s="4" t="s">
        <v>11</v>
      </c>
      <c r="H9241" s="2" t="s">
        <v>12</v>
      </c>
    </row>
    <row r="9242">
      <c r="A9242" s="0" t="s">
        <v>13</v>
      </c>
      <c r="C9242" s="0" t="s">
        <v>14</v>
      </c>
    </row>
    <row r="9243">
      <c r="A9243" s="0" t="s">
        <v>15</v>
      </c>
      <c r="C9243" s="0" t="s">
        <v>16</v>
      </c>
    </row>
    <row r="9244">
      <c r="A9244" s="0" t="s">
        <v>17</v>
      </c>
      <c r="C9244" s="0" t="s">
        <v>18</v>
      </c>
    </row>
    <row r="9247">
      <c r="A9247" s="5" t="s">
        <v>19</v>
      </c>
      <c r="B9247" s="5" t="s">
        <v>20</v>
      </c>
      <c r="C9247" s="7" t="s">
        <v>21</v>
      </c>
      <c r="D9247" s="9"/>
      <c r="E9247" s="7" t="s">
        <v>22</v>
      </c>
      <c r="F9247" s="9"/>
      <c r="G9247" s="5" t="s">
        <v>23</v>
      </c>
      <c r="H9247" s="5" t="s">
        <v>24</v>
      </c>
      <c r="I9247" s="5" t="s">
        <v>220</v>
      </c>
      <c r="J9247" s="5" t="s">
        <v>26</v>
      </c>
    </row>
    <row r="9248">
      <c r="A9248" s="6"/>
      <c r="B9248" s="6"/>
      <c r="C9248" s="8" t="s">
        <v>27</v>
      </c>
      <c r="D9248" s="8" t="s">
        <v>28</v>
      </c>
      <c r="E9248" s="8" t="s">
        <v>27</v>
      </c>
      <c r="F9248" s="8" t="s">
        <v>28</v>
      </c>
      <c r="G9248" s="6"/>
      <c r="H9248" s="6"/>
      <c r="I9248" s="10" t="s">
        <v>29</v>
      </c>
      <c r="J9248" s="6"/>
    </row>
    <row r="9249">
      <c r="A9249" s="11" t="s">
        <v>30</v>
      </c>
      <c r="B9249" s="12">
        <v>1087.836</v>
      </c>
      <c r="C9249" s="12">
        <v>0</v>
      </c>
      <c r="D9249" s="13">
        <v>0</v>
      </c>
      <c r="E9249" s="12">
        <v>0</v>
      </c>
      <c r="F9249" s="14">
        <v>0</v>
      </c>
      <c r="G9249" s="13">
        <v>83661.0756</v>
      </c>
      <c r="H9249" s="14">
        <v>91009529.836402</v>
      </c>
      <c r="I9249" s="14" t="e">
        <f>=Round(4107.21840000,0)</f>
        <v>#VALUE!</v>
      </c>
      <c r="J9249" s="14" t="e">
        <f>=Round(0.00000000,0)</f>
        <v>#VALUE!</v>
      </c>
    </row>
    <row r="9250">
      <c r="A9250" s="11" t="s">
        <v>31</v>
      </c>
      <c r="B9250" s="12">
        <v>1089.903</v>
      </c>
      <c r="C9250" s="12">
        <v>0</v>
      </c>
      <c r="D9250" s="13">
        <v>0</v>
      </c>
      <c r="E9250" s="12">
        <v>0</v>
      </c>
      <c r="F9250" s="14">
        <v>0</v>
      </c>
      <c r="G9250" s="13">
        <v>83661.0756</v>
      </c>
      <c r="H9250" s="14">
        <v>91182457.279667</v>
      </c>
      <c r="I9250" s="14" t="e">
        <f>=Round(4102.88860000,0)</f>
        <v>#VALUE!</v>
      </c>
      <c r="J9250" s="14" t="e">
        <f>=Round(0.00000000,0)</f>
        <v>#VALUE!</v>
      </c>
    </row>
    <row r="9251">
      <c r="A9251" s="11" t="s">
        <v>32</v>
      </c>
      <c r="B9251" s="12">
        <v>1089.687</v>
      </c>
      <c r="C9251" s="12">
        <v>0</v>
      </c>
      <c r="D9251" s="13">
        <v>0</v>
      </c>
      <c r="E9251" s="12">
        <v>0</v>
      </c>
      <c r="F9251" s="14">
        <v>0</v>
      </c>
      <c r="G9251" s="13">
        <v>83661.0756</v>
      </c>
      <c r="H9251" s="14">
        <v>91164386.487337</v>
      </c>
      <c r="I9251" s="14" t="e">
        <f>=Round(4110.68450000,0)</f>
        <v>#VALUE!</v>
      </c>
      <c r="J9251" s="14" t="e">
        <f>=Round(0.00000000,0)</f>
        <v>#VALUE!</v>
      </c>
    </row>
    <row r="9252">
      <c r="A9252" s="11" t="s">
        <v>33</v>
      </c>
      <c r="B9252" s="12">
        <v>1089.987</v>
      </c>
      <c r="C9252" s="12">
        <v>0</v>
      </c>
      <c r="D9252" s="13">
        <v>0</v>
      </c>
      <c r="E9252" s="12">
        <v>0</v>
      </c>
      <c r="F9252" s="14">
        <v>0</v>
      </c>
      <c r="G9252" s="13">
        <v>83661.0756</v>
      </c>
      <c r="H9252" s="14">
        <v>91189484.810017</v>
      </c>
      <c r="I9252" s="14" t="e">
        <f>=Round(4109.86990000,0)</f>
        <v>#VALUE!</v>
      </c>
      <c r="J9252" s="14" t="e">
        <f>=Round(0.00000000,0)</f>
        <v>#VALUE!</v>
      </c>
    </row>
    <row r="9253">
      <c r="A9253" s="11" t="s">
        <v>34</v>
      </c>
      <c r="B9253" s="12">
        <v>1095.532</v>
      </c>
      <c r="C9253" s="12">
        <v>0</v>
      </c>
      <c r="D9253" s="13">
        <v>0</v>
      </c>
      <c r="E9253" s="12">
        <v>0</v>
      </c>
      <c r="F9253" s="14">
        <v>0</v>
      </c>
      <c r="G9253" s="13">
        <v>83661.0756</v>
      </c>
      <c r="H9253" s="14">
        <v>91653385.474219</v>
      </c>
      <c r="I9253" s="14" t="e">
        <f>=Round(4111.00140000,0)</f>
        <v>#VALUE!</v>
      </c>
      <c r="J9253" s="14" t="e">
        <f>=Round(0.00000000,0)</f>
        <v>#VALUE!</v>
      </c>
    </row>
    <row r="9254">
      <c r="A9254" s="11" t="s">
        <v>35</v>
      </c>
      <c r="B9254" s="12">
        <v>1095.532</v>
      </c>
      <c r="C9254" s="12">
        <v>0</v>
      </c>
      <c r="D9254" s="13">
        <v>0</v>
      </c>
      <c r="E9254" s="12">
        <v>0</v>
      </c>
      <c r="F9254" s="14">
        <v>0</v>
      </c>
      <c r="G9254" s="13">
        <v>83661.0756</v>
      </c>
      <c r="H9254" s="14">
        <v>91653385.474219</v>
      </c>
      <c r="I9254" s="14" t="e">
        <f>=Round(4131.91490000,0)</f>
        <v>#VALUE!</v>
      </c>
      <c r="J9254" s="14" t="e">
        <f>=Round(0.00000000,0)</f>
        <v>#VALUE!</v>
      </c>
    </row>
    <row r="9255">
      <c r="A9255" s="11" t="s">
        <v>36</v>
      </c>
      <c r="B9255" s="12">
        <v>1095.532</v>
      </c>
      <c r="C9255" s="12">
        <v>0</v>
      </c>
      <c r="D9255" s="13">
        <v>0</v>
      </c>
      <c r="E9255" s="12">
        <v>0</v>
      </c>
      <c r="F9255" s="14">
        <v>0</v>
      </c>
      <c r="G9255" s="13">
        <v>83661.0756</v>
      </c>
      <c r="H9255" s="14">
        <v>91653385.474219</v>
      </c>
      <c r="I9255" s="14" t="e">
        <f>=Round(4131.91490000,0)</f>
        <v>#VALUE!</v>
      </c>
      <c r="J9255" s="14" t="e">
        <f>=Round(0.00000000,0)</f>
        <v>#VALUE!</v>
      </c>
    </row>
    <row r="9256">
      <c r="A9256" s="11" t="s">
        <v>37</v>
      </c>
      <c r="B9256" s="12">
        <v>1094.389</v>
      </c>
      <c r="C9256" s="12">
        <v>0</v>
      </c>
      <c r="D9256" s="13">
        <v>0</v>
      </c>
      <c r="E9256" s="12">
        <v>0</v>
      </c>
      <c r="F9256" s="14">
        <v>0</v>
      </c>
      <c r="G9256" s="13">
        <v>83661.0756</v>
      </c>
      <c r="H9256" s="14">
        <v>91557760.864808</v>
      </c>
      <c r="I9256" s="14" t="e">
        <f>=Round(4131.91490000,0)</f>
        <v>#VALUE!</v>
      </c>
      <c r="J9256" s="14" t="e">
        <f>=Round(0.00000000,0)</f>
        <v>#VALUE!</v>
      </c>
    </row>
    <row r="9257">
      <c r="A9257" s="11" t="s">
        <v>38</v>
      </c>
      <c r="B9257" s="12">
        <v>1089.685</v>
      </c>
      <c r="C9257" s="12">
        <v>0</v>
      </c>
      <c r="D9257" s="13">
        <v>0</v>
      </c>
      <c r="E9257" s="12">
        <v>0</v>
      </c>
      <c r="F9257" s="14">
        <v>0</v>
      </c>
      <c r="G9257" s="13">
        <v>83661.0756</v>
      </c>
      <c r="H9257" s="14">
        <v>91164219.165186</v>
      </c>
      <c r="I9257" s="14" t="e">
        <f>=Round(4127.60400000,0)</f>
        <v>#VALUE!</v>
      </c>
      <c r="J9257" s="14" t="e">
        <f>=Round(0.00000000,0)</f>
        <v>#VALUE!</v>
      </c>
    </row>
    <row r="9258">
      <c r="A9258" s="11" t="s">
        <v>39</v>
      </c>
      <c r="B9258" s="12">
        <v>1092.193</v>
      </c>
      <c r="C9258" s="12">
        <v>0</v>
      </c>
      <c r="D9258" s="13">
        <v>0</v>
      </c>
      <c r="E9258" s="12">
        <v>0</v>
      </c>
      <c r="F9258" s="14">
        <v>0</v>
      </c>
      <c r="G9258" s="13">
        <v>83661.0756</v>
      </c>
      <c r="H9258" s="14">
        <v>91374041.142791</v>
      </c>
      <c r="I9258" s="14" t="e">
        <f>=Round(4109.86230000,0)</f>
        <v>#VALUE!</v>
      </c>
      <c r="J9258" s="14" t="e">
        <f>=Round(0.00000000,0)</f>
        <v>#VALUE!</v>
      </c>
    </row>
    <row r="9259">
      <c r="A9259" s="11" t="s">
        <v>40</v>
      </c>
      <c r="B9259" s="12">
        <v>1090.532</v>
      </c>
      <c r="C9259" s="12">
        <v>0</v>
      </c>
      <c r="D9259" s="13">
        <v>0</v>
      </c>
      <c r="E9259" s="12">
        <v>0</v>
      </c>
      <c r="F9259" s="14">
        <v>0</v>
      </c>
      <c r="G9259" s="13">
        <v>83661.0756</v>
      </c>
      <c r="H9259" s="14">
        <v>91235080.096219</v>
      </c>
      <c r="I9259" s="14" t="e">
        <f>=Round(4119.32150000,0)</f>
        <v>#VALUE!</v>
      </c>
      <c r="J9259" s="14" t="e">
        <f>=Round(0.00000000,0)</f>
        <v>#VALUE!</v>
      </c>
    </row>
    <row r="9260">
      <c r="A9260" s="11" t="s">
        <v>41</v>
      </c>
      <c r="B9260" s="12">
        <v>1094.032</v>
      </c>
      <c r="C9260" s="12">
        <v>0</v>
      </c>
      <c r="D9260" s="13">
        <v>0</v>
      </c>
      <c r="E9260" s="12">
        <v>0</v>
      </c>
      <c r="F9260" s="14">
        <v>0</v>
      </c>
      <c r="G9260" s="13">
        <v>83661.0756</v>
      </c>
      <c r="H9260" s="14">
        <v>91527893.860819</v>
      </c>
      <c r="I9260" s="14" t="e">
        <f>=Round(4113.05690000,0)</f>
        <v>#VALUE!</v>
      </c>
      <c r="J9260" s="14" t="e">
        <f>=Round(0.00000000,0)</f>
        <v>#VALUE!</v>
      </c>
    </row>
    <row r="9261">
      <c r="A9261" s="11" t="s">
        <v>42</v>
      </c>
      <c r="B9261" s="12">
        <v>1094.032</v>
      </c>
      <c r="C9261" s="12">
        <v>0</v>
      </c>
      <c r="D9261" s="13">
        <v>0</v>
      </c>
      <c r="E9261" s="12">
        <v>0</v>
      </c>
      <c r="F9261" s="14">
        <v>0</v>
      </c>
      <c r="G9261" s="13">
        <v>83661.0756</v>
      </c>
      <c r="H9261" s="14">
        <v>91527893.860819</v>
      </c>
      <c r="I9261" s="14" t="e">
        <f>=Round(4126.25750000,0)</f>
        <v>#VALUE!</v>
      </c>
      <c r="J9261" s="14" t="e">
        <f>=Round(0.00000000,0)</f>
        <v>#VALUE!</v>
      </c>
    </row>
    <row r="9262">
      <c r="A9262" s="11" t="s">
        <v>43</v>
      </c>
      <c r="B9262" s="12">
        <v>1094.032</v>
      </c>
      <c r="C9262" s="12">
        <v>0</v>
      </c>
      <c r="D9262" s="13">
        <v>0</v>
      </c>
      <c r="E9262" s="12">
        <v>0</v>
      </c>
      <c r="F9262" s="14">
        <v>0</v>
      </c>
      <c r="G9262" s="13">
        <v>83661.0756</v>
      </c>
      <c r="H9262" s="14">
        <v>91527893.860819</v>
      </c>
      <c r="I9262" s="14" t="e">
        <f>=Round(4126.25750000,0)</f>
        <v>#VALUE!</v>
      </c>
      <c r="J9262" s="14" t="e">
        <f>=Round(0.00000000,0)</f>
        <v>#VALUE!</v>
      </c>
    </row>
    <row r="9263">
      <c r="A9263" s="11" t="s">
        <v>44</v>
      </c>
      <c r="B9263" s="12">
        <v>1092.426</v>
      </c>
      <c r="C9263" s="12">
        <v>0</v>
      </c>
      <c r="D9263" s="13">
        <v>0</v>
      </c>
      <c r="E9263" s="12">
        <v>0</v>
      </c>
      <c r="F9263" s="14">
        <v>0</v>
      </c>
      <c r="G9263" s="13">
        <v>83661.0756</v>
      </c>
      <c r="H9263" s="14">
        <v>91393534.173406</v>
      </c>
      <c r="I9263" s="14" t="e">
        <f>=Round(4126.25750000,0)</f>
        <v>#VALUE!</v>
      </c>
      <c r="J9263" s="14" t="e">
        <f>=Round(0.00000000,0)</f>
        <v>#VALUE!</v>
      </c>
    </row>
    <row r="9264">
      <c r="A9264" s="11" t="s">
        <v>45</v>
      </c>
      <c r="B9264" s="12">
        <v>1093.992</v>
      </c>
      <c r="C9264" s="12">
        <v>0</v>
      </c>
      <c r="D9264" s="13">
        <v>0</v>
      </c>
      <c r="E9264" s="12">
        <v>0</v>
      </c>
      <c r="F9264" s="14">
        <v>0</v>
      </c>
      <c r="G9264" s="13">
        <v>83661.0756</v>
      </c>
      <c r="H9264" s="14">
        <v>91524547.417795</v>
      </c>
      <c r="I9264" s="14" t="e">
        <f>=Round(4120.20030000,0)</f>
        <v>#VALUE!</v>
      </c>
      <c r="J9264" s="14" t="e">
        <f>=Round(0.00000000,0)</f>
        <v>#VALUE!</v>
      </c>
    </row>
    <row r="9265">
      <c r="A9265" s="11" t="s">
        <v>46</v>
      </c>
      <c r="B9265" s="12">
        <v>1095.583</v>
      </c>
      <c r="C9265" s="12">
        <v>0</v>
      </c>
      <c r="D9265" s="13">
        <v>0</v>
      </c>
      <c r="E9265" s="12">
        <v>0</v>
      </c>
      <c r="F9265" s="14">
        <v>0</v>
      </c>
      <c r="G9265" s="13">
        <v>83661.0756</v>
      </c>
      <c r="H9265" s="14">
        <v>91657652.189075</v>
      </c>
      <c r="I9265" s="14" t="e">
        <f>=Round(4126.10660000,0)</f>
        <v>#VALUE!</v>
      </c>
      <c r="J9265" s="14" t="e">
        <f>=Round(0.00000000,0)</f>
        <v>#VALUE!</v>
      </c>
    </row>
    <row r="9266">
      <c r="A9266" s="11" t="s">
        <v>47</v>
      </c>
      <c r="B9266" s="12">
        <v>1097.406</v>
      </c>
      <c r="C9266" s="12">
        <v>0</v>
      </c>
      <c r="D9266" s="13">
        <v>0</v>
      </c>
      <c r="E9266" s="12">
        <v>0</v>
      </c>
      <c r="F9266" s="14">
        <v>0</v>
      </c>
      <c r="G9266" s="13">
        <v>83661.0756</v>
      </c>
      <c r="H9266" s="14">
        <v>91810166.329894</v>
      </c>
      <c r="I9266" s="14" t="e">
        <f>=Round(4132.10730000,0)</f>
        <v>#VALUE!</v>
      </c>
      <c r="J9266" s="14" t="e">
        <f>=Round(0.00000000,0)</f>
        <v>#VALUE!</v>
      </c>
    </row>
    <row r="9267">
      <c r="A9267" s="11" t="s">
        <v>48</v>
      </c>
      <c r="B9267" s="12">
        <v>1097.772</v>
      </c>
      <c r="C9267" s="12">
        <v>0</v>
      </c>
      <c r="D9267" s="13">
        <v>0</v>
      </c>
      <c r="E9267" s="12">
        <v>0</v>
      </c>
      <c r="F9267" s="14">
        <v>0</v>
      </c>
      <c r="G9267" s="13">
        <v>83661.0756</v>
      </c>
      <c r="H9267" s="14">
        <v>91840786.283563</v>
      </c>
      <c r="I9267" s="14" t="e">
        <f>=Round(4138.98290000,0)</f>
        <v>#VALUE!</v>
      </c>
      <c r="J9267" s="14" t="e">
        <f>=Round(0.00000000,0)</f>
        <v>#VALUE!</v>
      </c>
    </row>
    <row r="9268">
      <c r="A9268" s="11" t="s">
        <v>49</v>
      </c>
      <c r="B9268" s="12">
        <v>1097.772</v>
      </c>
      <c r="C9268" s="12">
        <v>0</v>
      </c>
      <c r="D9268" s="13">
        <v>0</v>
      </c>
      <c r="E9268" s="12">
        <v>0</v>
      </c>
      <c r="F9268" s="14">
        <v>0</v>
      </c>
      <c r="G9268" s="13">
        <v>83661.0756</v>
      </c>
      <c r="H9268" s="14">
        <v>91840786.283563</v>
      </c>
      <c r="I9268" s="14" t="e">
        <f>=Round(4140.36330000,0)</f>
        <v>#VALUE!</v>
      </c>
      <c r="J9268" s="14" t="e">
        <f>=Round(0.00000000,0)</f>
        <v>#VALUE!</v>
      </c>
    </row>
    <row r="9269">
      <c r="A9269" s="11" t="s">
        <v>50</v>
      </c>
      <c r="B9269" s="12">
        <v>1097.772</v>
      </c>
      <c r="C9269" s="12">
        <v>0</v>
      </c>
      <c r="D9269" s="13">
        <v>0</v>
      </c>
      <c r="E9269" s="12">
        <v>0</v>
      </c>
      <c r="F9269" s="14">
        <v>0</v>
      </c>
      <c r="G9269" s="13">
        <v>83661.0756</v>
      </c>
      <c r="H9269" s="14">
        <v>91840786.283563</v>
      </c>
      <c r="I9269" s="14" t="e">
        <f>=Round(4140.36330000,0)</f>
        <v>#VALUE!</v>
      </c>
      <c r="J9269" s="14" t="e">
        <f>=Round(0.00000000,0)</f>
        <v>#VALUE!</v>
      </c>
    </row>
    <row r="9270">
      <c r="A9270" s="11" t="s">
        <v>51</v>
      </c>
      <c r="B9270" s="12">
        <v>1098.496</v>
      </c>
      <c r="C9270" s="12">
        <v>0</v>
      </c>
      <c r="D9270" s="13">
        <v>0</v>
      </c>
      <c r="E9270" s="12">
        <v>0</v>
      </c>
      <c r="F9270" s="14">
        <v>0</v>
      </c>
      <c r="G9270" s="13">
        <v>83661.0756</v>
      </c>
      <c r="H9270" s="14">
        <v>91901356.902298</v>
      </c>
      <c r="I9270" s="14" t="e">
        <f>=Round(4140.36330000,0)</f>
        <v>#VALUE!</v>
      </c>
      <c r="J9270" s="14" t="e">
        <f>=Round(0.00000000,0)</f>
        <v>#VALUE!</v>
      </c>
    </row>
    <row r="9271">
      <c r="A9271" s="11" t="s">
        <v>52</v>
      </c>
      <c r="B9271" s="12">
        <v>1099.793</v>
      </c>
      <c r="C9271" s="12">
        <v>0</v>
      </c>
      <c r="D9271" s="13">
        <v>0</v>
      </c>
      <c r="E9271" s="12">
        <v>0</v>
      </c>
      <c r="F9271" s="14">
        <v>0</v>
      </c>
      <c r="G9271" s="13">
        <v>83661.0756</v>
      </c>
      <c r="H9271" s="14">
        <v>92009865.317351</v>
      </c>
      <c r="I9271" s="14" t="e">
        <f>=Round(4143.09400000,0)</f>
        <v>#VALUE!</v>
      </c>
      <c r="J9271" s="14" t="e">
        <f>=Round(0.00000000,0)</f>
        <v>#VALUE!</v>
      </c>
    </row>
    <row r="9272">
      <c r="A9272" s="11" t="s">
        <v>53</v>
      </c>
      <c r="B9272" s="12">
        <v>1100.156</v>
      </c>
      <c r="C9272" s="12">
        <v>0</v>
      </c>
      <c r="D9272" s="13">
        <v>0</v>
      </c>
      <c r="E9272" s="12">
        <v>0</v>
      </c>
      <c r="F9272" s="14">
        <v>0</v>
      </c>
      <c r="G9272" s="13">
        <v>83661.0756</v>
      </c>
      <c r="H9272" s="14">
        <v>92040234.287794</v>
      </c>
      <c r="I9272" s="14" t="e">
        <f>=Round(4147.98570000,0)</f>
        <v>#VALUE!</v>
      </c>
      <c r="J9272" s="14" t="e">
        <f>=Round(0.00000000,0)</f>
        <v>#VALUE!</v>
      </c>
    </row>
    <row r="9273">
      <c r="A9273" s="11" t="s">
        <v>54</v>
      </c>
      <c r="B9273" s="12">
        <v>1100.444</v>
      </c>
      <c r="C9273" s="12">
        <v>0</v>
      </c>
      <c r="D9273" s="13">
        <v>0</v>
      </c>
      <c r="E9273" s="12">
        <v>0</v>
      </c>
      <c r="F9273" s="14">
        <v>0</v>
      </c>
      <c r="G9273" s="13">
        <v>83661.0756</v>
      </c>
      <c r="H9273" s="14">
        <v>92064328.677566</v>
      </c>
      <c r="I9273" s="14" t="e">
        <f>=Round(4149.35480000,0)</f>
        <v>#VALUE!</v>
      </c>
      <c r="J9273" s="14" t="e">
        <f>=Round(0.00000000,0)</f>
        <v>#VALUE!</v>
      </c>
    </row>
    <row r="9274">
      <c r="A9274" s="11" t="s">
        <v>55</v>
      </c>
      <c r="B9274" s="12">
        <v>1097.991</v>
      </c>
      <c r="C9274" s="12">
        <v>0</v>
      </c>
      <c r="D9274" s="13">
        <v>0</v>
      </c>
      <c r="E9274" s="12">
        <v>0</v>
      </c>
      <c r="F9274" s="14">
        <v>0</v>
      </c>
      <c r="G9274" s="13">
        <v>83661.0756</v>
      </c>
      <c r="H9274" s="14">
        <v>91859108.05912</v>
      </c>
      <c r="I9274" s="14" t="e">
        <f>=Round(4150.44100000,0)</f>
        <v>#VALUE!</v>
      </c>
      <c r="J9274" s="14" t="e">
        <f>=Round(0.00000000,0)</f>
        <v>#VALUE!</v>
      </c>
    </row>
    <row r="9275" ht="-1">
      <c r="A9275" s="15"/>
      <c r="B9275" s="16" t="s">
        <v>56</v>
      </c>
      <c r="C9275" s="15"/>
      <c r="D9275" s="15"/>
      <c r="E9275" s="15"/>
      <c r="F9275" s="15"/>
      <c r="G9275" s="15"/>
      <c r="H9275" s="15"/>
      <c r="I9275" s="17" t="e">
        <f>=Round(SUM(I9249:I9274),0)</f>
        <v>#VALUE!</v>
      </c>
      <c r="J9275" s="17" t="e">
        <f>=Round(SUM(J9249:J9274),0)</f>
        <v>#VALUE!</v>
      </c>
    </row>
    <row r="9276">
      <c r="A9276" s="1" t="s">
        <v>0</v>
      </c>
      <c r="B9276" s="1"/>
      <c r="C9276" s="1"/>
      <c r="D9276" s="1"/>
    </row>
    <row r="9277">
      <c r="A9277" s="0" t="s">
        <v>1</v>
      </c>
      <c r="C9277" s="0" t="s">
        <v>314</v>
      </c>
      <c r="H9277" s="2" t="s">
        <v>3</v>
      </c>
    </row>
    <row r="9278">
      <c r="A9278" s="0" t="s">
        <v>4</v>
      </c>
      <c r="C9278" s="0" t="s">
        <v>315</v>
      </c>
      <c r="H9278" s="3" t="s">
        <v>6</v>
      </c>
    </row>
    <row r="9279">
      <c r="A9279" s="0" t="s">
        <v>7</v>
      </c>
      <c r="C9279" s="4" t="s">
        <v>194</v>
      </c>
      <c r="H9279" s="2" t="s">
        <v>9</v>
      </c>
    </row>
    <row r="9280">
      <c r="A9280" s="0" t="s">
        <v>10</v>
      </c>
      <c r="C9280" s="4" t="s">
        <v>11</v>
      </c>
      <c r="H9280" s="2" t="s">
        <v>12</v>
      </c>
    </row>
    <row r="9281">
      <c r="A9281" s="0" t="s">
        <v>13</v>
      </c>
      <c r="C9281" s="0" t="s">
        <v>14</v>
      </c>
    </row>
    <row r="9282">
      <c r="A9282" s="0" t="s">
        <v>15</v>
      </c>
      <c r="C9282" s="0" t="s">
        <v>16</v>
      </c>
    </row>
    <row r="9283">
      <c r="A9283" s="0" t="s">
        <v>17</v>
      </c>
      <c r="C9283" s="0" t="s">
        <v>18</v>
      </c>
    </row>
    <row r="9286">
      <c r="A9286" s="5" t="s">
        <v>19</v>
      </c>
      <c r="B9286" s="5" t="s">
        <v>20</v>
      </c>
      <c r="C9286" s="7" t="s">
        <v>21</v>
      </c>
      <c r="D9286" s="9"/>
      <c r="E9286" s="7" t="s">
        <v>22</v>
      </c>
      <c r="F9286" s="9"/>
      <c r="G9286" s="5" t="s">
        <v>23</v>
      </c>
      <c r="H9286" s="5" t="s">
        <v>24</v>
      </c>
      <c r="I9286" s="5" t="s">
        <v>195</v>
      </c>
      <c r="J9286" s="5" t="s">
        <v>26</v>
      </c>
    </row>
    <row r="9287">
      <c r="A9287" s="6"/>
      <c r="B9287" s="6"/>
      <c r="C9287" s="8" t="s">
        <v>27</v>
      </c>
      <c r="D9287" s="8" t="s">
        <v>28</v>
      </c>
      <c r="E9287" s="8" t="s">
        <v>27</v>
      </c>
      <c r="F9287" s="8" t="s">
        <v>28</v>
      </c>
      <c r="G9287" s="6"/>
      <c r="H9287" s="6"/>
      <c r="I9287" s="10" t="s">
        <v>29</v>
      </c>
      <c r="J9287" s="6"/>
    </row>
    <row r="9288">
      <c r="A9288" s="11" t="s">
        <v>30</v>
      </c>
      <c r="B9288" s="12">
        <v>957.6</v>
      </c>
      <c r="C9288" s="12">
        <v>0</v>
      </c>
      <c r="D9288" s="13">
        <v>0</v>
      </c>
      <c r="E9288" s="12">
        <v>0</v>
      </c>
      <c r="F9288" s="14">
        <v>0</v>
      </c>
      <c r="G9288" s="13">
        <v>52260710.052</v>
      </c>
      <c r="H9288" s="14">
        <v>50044855945.7952</v>
      </c>
      <c r="I9288" s="14" t="e">
        <f>=Round(1882218.91320000,0)</f>
        <v>#VALUE!</v>
      </c>
      <c r="J9288" s="14" t="e">
        <f>=Round(0.00000000,0)</f>
        <v>#VALUE!</v>
      </c>
    </row>
    <row r="9289">
      <c r="A9289" s="11" t="s">
        <v>31</v>
      </c>
      <c r="B9289" s="12">
        <v>960.582</v>
      </c>
      <c r="C9289" s="12">
        <v>0</v>
      </c>
      <c r="D9289" s="13">
        <v>0</v>
      </c>
      <c r="E9289" s="12">
        <v>0</v>
      </c>
      <c r="F9289" s="14">
        <v>0</v>
      </c>
      <c r="G9289" s="13">
        <v>52260710.052</v>
      </c>
      <c r="H9289" s="14">
        <v>50200697383.170265</v>
      </c>
      <c r="I9289" s="14" t="e">
        <f>=Round(1880100.46240000,0)</f>
        <v>#VALUE!</v>
      </c>
      <c r="J9289" s="14" t="e">
        <f>=Round(0.00000000,0)</f>
        <v>#VALUE!</v>
      </c>
    </row>
    <row r="9290">
      <c r="A9290" s="11" t="s">
        <v>32</v>
      </c>
      <c r="B9290" s="12">
        <v>962.436</v>
      </c>
      <c r="C9290" s="12">
        <v>0</v>
      </c>
      <c r="D9290" s="13">
        <v>0</v>
      </c>
      <c r="E9290" s="12">
        <v>0</v>
      </c>
      <c r="F9290" s="14">
        <v>0</v>
      </c>
      <c r="G9290" s="13">
        <v>52260710.052</v>
      </c>
      <c r="H9290" s="14">
        <v>50297588739.606674</v>
      </c>
      <c r="I9290" s="14" t="e">
        <f>=Round(1885955.16130000,0)</f>
        <v>#VALUE!</v>
      </c>
      <c r="J9290" s="14" t="e">
        <f>=Round(0.00000000,0)</f>
        <v>#VALUE!</v>
      </c>
    </row>
    <row r="9291">
      <c r="A9291" s="11" t="s">
        <v>33</v>
      </c>
      <c r="B9291" s="12">
        <v>963.552</v>
      </c>
      <c r="C9291" s="12">
        <v>0</v>
      </c>
      <c r="D9291" s="13">
        <v>0</v>
      </c>
      <c r="E9291" s="12">
        <v>0</v>
      </c>
      <c r="F9291" s="14">
        <v>0</v>
      </c>
      <c r="G9291" s="13">
        <v>52260710.052</v>
      </c>
      <c r="H9291" s="14">
        <v>50355911692.024704</v>
      </c>
      <c r="I9291" s="14" t="e">
        <f>=Round(1889595.20540000,0)</f>
        <v>#VALUE!</v>
      </c>
      <c r="J9291" s="14" t="e">
        <f>=Round(0.00000000,0)</f>
        <v>#VALUE!</v>
      </c>
    </row>
    <row r="9292">
      <c r="A9292" s="11" t="s">
        <v>34</v>
      </c>
      <c r="B9292" s="12">
        <v>963.953</v>
      </c>
      <c r="C9292" s="12">
        <v>0</v>
      </c>
      <c r="D9292" s="13">
        <v>0</v>
      </c>
      <c r="E9292" s="12">
        <v>0</v>
      </c>
      <c r="F9292" s="14">
        <v>0</v>
      </c>
      <c r="G9292" s="13">
        <v>52260710.052</v>
      </c>
      <c r="H9292" s="14">
        <v>50376868236.755554</v>
      </c>
      <c r="I9292" s="14" t="e">
        <f>=Round(1891786.29990000,0)</f>
        <v>#VALUE!</v>
      </c>
      <c r="J9292" s="14" t="e">
        <f>=Round(0.00000000,0)</f>
        <v>#VALUE!</v>
      </c>
    </row>
    <row r="9293">
      <c r="A9293" s="11" t="s">
        <v>35</v>
      </c>
      <c r="B9293" s="12">
        <v>963.953</v>
      </c>
      <c r="C9293" s="12">
        <v>0</v>
      </c>
      <c r="D9293" s="13">
        <v>0</v>
      </c>
      <c r="E9293" s="12">
        <v>0</v>
      </c>
      <c r="F9293" s="14">
        <v>0</v>
      </c>
      <c r="G9293" s="13">
        <v>52260710.052</v>
      </c>
      <c r="H9293" s="14">
        <v>50376868236.755554</v>
      </c>
      <c r="I9293" s="14" t="e">
        <f>=Round(1892573.60180000,0)</f>
        <v>#VALUE!</v>
      </c>
      <c r="J9293" s="14" t="e">
        <f>=Round(0.00000000,0)</f>
        <v>#VALUE!</v>
      </c>
    </row>
    <row r="9294">
      <c r="A9294" s="11" t="s">
        <v>36</v>
      </c>
      <c r="B9294" s="12">
        <v>963.953</v>
      </c>
      <c r="C9294" s="12">
        <v>0</v>
      </c>
      <c r="D9294" s="13">
        <v>0</v>
      </c>
      <c r="E9294" s="12">
        <v>0</v>
      </c>
      <c r="F9294" s="14">
        <v>0</v>
      </c>
      <c r="G9294" s="13">
        <v>52260710.052</v>
      </c>
      <c r="H9294" s="14">
        <v>50376868236.755554</v>
      </c>
      <c r="I9294" s="14" t="e">
        <f>=Round(1892573.60180000,0)</f>
        <v>#VALUE!</v>
      </c>
      <c r="J9294" s="14" t="e">
        <f>=Round(0.00000000,0)</f>
        <v>#VALUE!</v>
      </c>
    </row>
    <row r="9295">
      <c r="A9295" s="11" t="s">
        <v>37</v>
      </c>
      <c r="B9295" s="12">
        <v>962.637</v>
      </c>
      <c r="C9295" s="12">
        <v>0</v>
      </c>
      <c r="D9295" s="13">
        <v>0</v>
      </c>
      <c r="E9295" s="12">
        <v>0</v>
      </c>
      <c r="F9295" s="14">
        <v>0</v>
      </c>
      <c r="G9295" s="13">
        <v>52260710.052</v>
      </c>
      <c r="H9295" s="14">
        <v>50308093142.327118</v>
      </c>
      <c r="I9295" s="14" t="e">
        <f>=Round(1892573.60180000,0)</f>
        <v>#VALUE!</v>
      </c>
      <c r="J9295" s="14" t="e">
        <f>=Round(0.00000000,0)</f>
        <v>#VALUE!</v>
      </c>
    </row>
    <row r="9296">
      <c r="A9296" s="11" t="s">
        <v>38</v>
      </c>
      <c r="B9296" s="12">
        <v>962.227</v>
      </c>
      <c r="C9296" s="12">
        <v>0</v>
      </c>
      <c r="D9296" s="13">
        <v>0</v>
      </c>
      <c r="E9296" s="12">
        <v>0</v>
      </c>
      <c r="F9296" s="14">
        <v>0</v>
      </c>
      <c r="G9296" s="13">
        <v>52260710.052</v>
      </c>
      <c r="H9296" s="14">
        <v>50286666251.205811</v>
      </c>
      <c r="I9296" s="14" t="e">
        <f>=Round(1889989.83800000,0)</f>
        <v>#VALUE!</v>
      </c>
      <c r="J9296" s="14" t="e">
        <f>=Round(0.00000000,0)</f>
        <v>#VALUE!</v>
      </c>
    </row>
    <row r="9297">
      <c r="A9297" s="11" t="s">
        <v>39</v>
      </c>
      <c r="B9297" s="12">
        <v>961.366</v>
      </c>
      <c r="C9297" s="12">
        <v>0</v>
      </c>
      <c r="D9297" s="13">
        <v>0</v>
      </c>
      <c r="E9297" s="12">
        <v>0</v>
      </c>
      <c r="F9297" s="14">
        <v>0</v>
      </c>
      <c r="G9297" s="13">
        <v>52260710.052</v>
      </c>
      <c r="H9297" s="14">
        <v>50241669779.851028</v>
      </c>
      <c r="I9297" s="14" t="e">
        <f>=Round(1889184.86600000,0)</f>
        <v>#VALUE!</v>
      </c>
      <c r="J9297" s="14" t="e">
        <f>=Round(0.00000000,0)</f>
        <v>#VALUE!</v>
      </c>
    </row>
    <row r="9298">
      <c r="A9298" s="11" t="s">
        <v>40</v>
      </c>
      <c r="B9298" s="12">
        <v>960.126</v>
      </c>
      <c r="C9298" s="12">
        <v>0</v>
      </c>
      <c r="D9298" s="13">
        <v>0</v>
      </c>
      <c r="E9298" s="12">
        <v>0</v>
      </c>
      <c r="F9298" s="14">
        <v>0</v>
      </c>
      <c r="G9298" s="13">
        <v>52260710.052</v>
      </c>
      <c r="H9298" s="14">
        <v>50176866499.386551</v>
      </c>
      <c r="I9298" s="14" t="e">
        <f>=Round(1887494.42480000,0)</f>
        <v>#VALUE!</v>
      </c>
      <c r="J9298" s="14" t="e">
        <f>=Round(0.00000000,0)</f>
        <v>#VALUE!</v>
      </c>
    </row>
    <row r="9299">
      <c r="A9299" s="11" t="s">
        <v>41</v>
      </c>
      <c r="B9299" s="12">
        <v>960.241</v>
      </c>
      <c r="C9299" s="12">
        <v>0</v>
      </c>
      <c r="D9299" s="13">
        <v>0</v>
      </c>
      <c r="E9299" s="12">
        <v>0</v>
      </c>
      <c r="F9299" s="14">
        <v>0</v>
      </c>
      <c r="G9299" s="13">
        <v>52260710.052</v>
      </c>
      <c r="H9299" s="14">
        <v>50182876481.042526</v>
      </c>
      <c r="I9299" s="14" t="e">
        <f>=Round(1885059.87530000,0)</f>
        <v>#VALUE!</v>
      </c>
      <c r="J9299" s="14" t="e">
        <f>=Round(0.00000000,0)</f>
        <v>#VALUE!</v>
      </c>
    </row>
    <row r="9300">
      <c r="A9300" s="11" t="s">
        <v>42</v>
      </c>
      <c r="B9300" s="12">
        <v>960.241</v>
      </c>
      <c r="C9300" s="12">
        <v>0</v>
      </c>
      <c r="D9300" s="13">
        <v>0</v>
      </c>
      <c r="E9300" s="12">
        <v>0</v>
      </c>
      <c r="F9300" s="14">
        <v>0</v>
      </c>
      <c r="G9300" s="13">
        <v>52260710.052</v>
      </c>
      <c r="H9300" s="14">
        <v>50182876481.042526</v>
      </c>
      <c r="I9300" s="14" t="e">
        <f>=Round(1885285.66010000,0)</f>
        <v>#VALUE!</v>
      </c>
      <c r="J9300" s="14" t="e">
        <f>=Round(0.00000000,0)</f>
        <v>#VALUE!</v>
      </c>
    </row>
    <row r="9301">
      <c r="A9301" s="11" t="s">
        <v>43</v>
      </c>
      <c r="B9301" s="12">
        <v>960.241</v>
      </c>
      <c r="C9301" s="12">
        <v>0</v>
      </c>
      <c r="D9301" s="13">
        <v>0</v>
      </c>
      <c r="E9301" s="12">
        <v>0</v>
      </c>
      <c r="F9301" s="14">
        <v>0</v>
      </c>
      <c r="G9301" s="13">
        <v>52260710.052</v>
      </c>
      <c r="H9301" s="14">
        <v>50182876481.042526</v>
      </c>
      <c r="I9301" s="14" t="e">
        <f>=Round(1885285.66010000,0)</f>
        <v>#VALUE!</v>
      </c>
      <c r="J9301" s="14" t="e">
        <f>=Round(0.00000000,0)</f>
        <v>#VALUE!</v>
      </c>
    </row>
    <row r="9302">
      <c r="A9302" s="11" t="s">
        <v>44</v>
      </c>
      <c r="B9302" s="12">
        <v>960.961</v>
      </c>
      <c r="C9302" s="12">
        <v>0</v>
      </c>
      <c r="D9302" s="13">
        <v>0</v>
      </c>
      <c r="E9302" s="12">
        <v>0</v>
      </c>
      <c r="F9302" s="14">
        <v>0</v>
      </c>
      <c r="G9302" s="13">
        <v>52260710.052</v>
      </c>
      <c r="H9302" s="14">
        <v>50220504192.279968</v>
      </c>
      <c r="I9302" s="14" t="e">
        <f>=Round(1885285.66010000,0)</f>
        <v>#VALUE!</v>
      </c>
      <c r="J9302" s="14" t="e">
        <f>=Round(0.00000000,0)</f>
        <v>#VALUE!</v>
      </c>
    </row>
    <row r="9303">
      <c r="A9303" s="11" t="s">
        <v>45</v>
      </c>
      <c r="B9303" s="12">
        <v>961.708</v>
      </c>
      <c r="C9303" s="12">
        <v>0</v>
      </c>
      <c r="D9303" s="13">
        <v>0</v>
      </c>
      <c r="E9303" s="12">
        <v>0</v>
      </c>
      <c r="F9303" s="14">
        <v>0</v>
      </c>
      <c r="G9303" s="13">
        <v>52260710.052</v>
      </c>
      <c r="H9303" s="14">
        <v>50259542942.688812</v>
      </c>
      <c r="I9303" s="14" t="e">
        <f>=Round(1886699.26950000,0)</f>
        <v>#VALUE!</v>
      </c>
      <c r="J9303" s="14" t="e">
        <f>=Round(0.00000000,0)</f>
        <v>#VALUE!</v>
      </c>
    </row>
    <row r="9304">
      <c r="A9304" s="11" t="s">
        <v>46</v>
      </c>
      <c r="B9304" s="12">
        <v>963.534</v>
      </c>
      <c r="C9304" s="12">
        <v>0</v>
      </c>
      <c r="D9304" s="13">
        <v>0</v>
      </c>
      <c r="E9304" s="12">
        <v>0</v>
      </c>
      <c r="F9304" s="14">
        <v>0</v>
      </c>
      <c r="G9304" s="13">
        <v>52260710.052</v>
      </c>
      <c r="H9304" s="14">
        <v>50354970999.243767</v>
      </c>
      <c r="I9304" s="14" t="e">
        <f>=Round(1888165.88920000,0)</f>
        <v>#VALUE!</v>
      </c>
      <c r="J9304" s="14" t="e">
        <f>=Round(0.00000000,0)</f>
        <v>#VALUE!</v>
      </c>
    </row>
    <row r="9305">
      <c r="A9305" s="11" t="s">
        <v>47</v>
      </c>
      <c r="B9305" s="12">
        <v>964.825</v>
      </c>
      <c r="C9305" s="12">
        <v>0</v>
      </c>
      <c r="D9305" s="13">
        <v>0</v>
      </c>
      <c r="E9305" s="12">
        <v>0</v>
      </c>
      <c r="F9305" s="14">
        <v>0</v>
      </c>
      <c r="G9305" s="13">
        <v>52260710.052</v>
      </c>
      <c r="H9305" s="14">
        <v>50422439575.9209</v>
      </c>
      <c r="I9305" s="14" t="e">
        <f>=Round(1891750.95970000,0)</f>
        <v>#VALUE!</v>
      </c>
      <c r="J9305" s="14" t="e">
        <f>=Round(0.00000000,0)</f>
        <v>#VALUE!</v>
      </c>
    </row>
    <row r="9306">
      <c r="A9306" s="11" t="s">
        <v>48</v>
      </c>
      <c r="B9306" s="12">
        <v>963.026</v>
      </c>
      <c r="C9306" s="12">
        <v>0</v>
      </c>
      <c r="D9306" s="13">
        <v>0</v>
      </c>
      <c r="E9306" s="12">
        <v>0</v>
      </c>
      <c r="F9306" s="14">
        <v>0</v>
      </c>
      <c r="G9306" s="13">
        <v>52260710.052</v>
      </c>
      <c r="H9306" s="14">
        <v>50328422558.537354</v>
      </c>
      <c r="I9306" s="14" t="e">
        <f>=Round(1894285.63980000,0)</f>
        <v>#VALUE!</v>
      </c>
      <c r="J9306" s="14" t="e">
        <f>=Round(0.00000000,0)</f>
        <v>#VALUE!</v>
      </c>
    </row>
    <row r="9307">
      <c r="A9307" s="11" t="s">
        <v>49</v>
      </c>
      <c r="B9307" s="12">
        <v>963.026</v>
      </c>
      <c r="C9307" s="12">
        <v>0</v>
      </c>
      <c r="D9307" s="13">
        <v>0</v>
      </c>
      <c r="E9307" s="12">
        <v>0</v>
      </c>
      <c r="F9307" s="14">
        <v>0</v>
      </c>
      <c r="G9307" s="13">
        <v>52260710.052</v>
      </c>
      <c r="H9307" s="14">
        <v>50328422558.537354</v>
      </c>
      <c r="I9307" s="14" t="e">
        <f>=Round(1890753.57970000,0)</f>
        <v>#VALUE!</v>
      </c>
      <c r="J9307" s="14" t="e">
        <f>=Round(0.00000000,0)</f>
        <v>#VALUE!</v>
      </c>
    </row>
    <row r="9308">
      <c r="A9308" s="11" t="s">
        <v>50</v>
      </c>
      <c r="B9308" s="12">
        <v>963.026</v>
      </c>
      <c r="C9308" s="12">
        <v>0</v>
      </c>
      <c r="D9308" s="13">
        <v>0</v>
      </c>
      <c r="E9308" s="12">
        <v>0</v>
      </c>
      <c r="F9308" s="14">
        <v>0</v>
      </c>
      <c r="G9308" s="13">
        <v>52260710.052</v>
      </c>
      <c r="H9308" s="14">
        <v>50328422558.537354</v>
      </c>
      <c r="I9308" s="14" t="e">
        <f>=Round(1890753.57970000,0)</f>
        <v>#VALUE!</v>
      </c>
      <c r="J9308" s="14" t="e">
        <f>=Round(0.00000000,0)</f>
        <v>#VALUE!</v>
      </c>
    </row>
    <row r="9309">
      <c r="A9309" s="11" t="s">
        <v>51</v>
      </c>
      <c r="B9309" s="12">
        <v>959.782</v>
      </c>
      <c r="C9309" s="12">
        <v>0</v>
      </c>
      <c r="D9309" s="13">
        <v>0</v>
      </c>
      <c r="E9309" s="12">
        <v>0</v>
      </c>
      <c r="F9309" s="14">
        <v>0</v>
      </c>
      <c r="G9309" s="13">
        <v>52260710.052</v>
      </c>
      <c r="H9309" s="14">
        <v>50158888815.128662</v>
      </c>
      <c r="I9309" s="14" t="e">
        <f>=Round(1890753.57970000,0)</f>
        <v>#VALUE!</v>
      </c>
      <c r="J9309" s="14" t="e">
        <f>=Round(0.00000000,0)</f>
        <v>#VALUE!</v>
      </c>
    </row>
    <row r="9310">
      <c r="A9310" s="11" t="s">
        <v>52</v>
      </c>
      <c r="B9310" s="12">
        <v>959.452</v>
      </c>
      <c r="C9310" s="12">
        <v>0</v>
      </c>
      <c r="D9310" s="13">
        <v>0</v>
      </c>
      <c r="E9310" s="12">
        <v>0</v>
      </c>
      <c r="F9310" s="14">
        <v>0</v>
      </c>
      <c r="G9310" s="13">
        <v>52260710.052</v>
      </c>
      <c r="H9310" s="14">
        <v>50141642780.8115</v>
      </c>
      <c r="I9310" s="14" t="e">
        <f>=Round(1884384.48420000,0)</f>
        <v>#VALUE!</v>
      </c>
      <c r="J9310" s="14" t="e">
        <f>=Round(0.00000000,0)</f>
        <v>#VALUE!</v>
      </c>
    </row>
    <row r="9311">
      <c r="A9311" s="11" t="s">
        <v>53</v>
      </c>
      <c r="B9311" s="12">
        <v>956.558</v>
      </c>
      <c r="C9311" s="12">
        <v>0</v>
      </c>
      <c r="D9311" s="13">
        <v>0</v>
      </c>
      <c r="E9311" s="12">
        <v>0</v>
      </c>
      <c r="F9311" s="14">
        <v>0</v>
      </c>
      <c r="G9311" s="13">
        <v>52260710.052</v>
      </c>
      <c r="H9311" s="14">
        <v>49990400285.921013</v>
      </c>
      <c r="I9311" s="14" t="e">
        <f>=Round(1883736.57990000,0)</f>
        <v>#VALUE!</v>
      </c>
      <c r="J9311" s="14" t="e">
        <f>=Round(0.00000000,0)</f>
        <v>#VALUE!</v>
      </c>
    </row>
    <row r="9312">
      <c r="A9312" s="11" t="s">
        <v>54</v>
      </c>
      <c r="B9312" s="12">
        <v>952.034</v>
      </c>
      <c r="C9312" s="12">
        <v>0</v>
      </c>
      <c r="D9312" s="13">
        <v>0</v>
      </c>
      <c r="E9312" s="12">
        <v>0</v>
      </c>
      <c r="F9312" s="14">
        <v>0</v>
      </c>
      <c r="G9312" s="13">
        <v>52260710.052</v>
      </c>
      <c r="H9312" s="14">
        <v>49753972833.645767</v>
      </c>
      <c r="I9312" s="14" t="e">
        <f>=Round(1878054.65560000,0)</f>
        <v>#VALUE!</v>
      </c>
      <c r="J9312" s="14" t="e">
        <f>=Round(0.00000000,0)</f>
        <v>#VALUE!</v>
      </c>
    </row>
    <row r="9313">
      <c r="A9313" s="11" t="s">
        <v>55</v>
      </c>
      <c r="B9313" s="12">
        <v>948.333</v>
      </c>
      <c r="C9313" s="12">
        <v>0</v>
      </c>
      <c r="D9313" s="13">
        <v>0</v>
      </c>
      <c r="E9313" s="12">
        <v>0</v>
      </c>
      <c r="F9313" s="14">
        <v>0</v>
      </c>
      <c r="G9313" s="13">
        <v>52260710.052</v>
      </c>
      <c r="H9313" s="14">
        <v>49560555945.743309</v>
      </c>
      <c r="I9313" s="14" t="e">
        <f>=Round(1869172.47670000,0)</f>
        <v>#VALUE!</v>
      </c>
      <c r="J9313" s="14" t="e">
        <f>=Round(0.00000000,0)</f>
        <v>#VALUE!</v>
      </c>
    </row>
    <row r="9314" ht="-1">
      <c r="A9314" s="15"/>
      <c r="B9314" s="16" t="s">
        <v>56</v>
      </c>
      <c r="C9314" s="15"/>
      <c r="D9314" s="15"/>
      <c r="E9314" s="15"/>
      <c r="F9314" s="15"/>
      <c r="G9314" s="15"/>
      <c r="H9314" s="15"/>
      <c r="I9314" s="17" t="e">
        <f>=Round(SUM(I9288:I9313),0)</f>
        <v>#VALUE!</v>
      </c>
      <c r="J9314" s="17" t="e">
        <f>=Round(SUM(J9288:J9313),0)</f>
        <v>#VALUE!</v>
      </c>
    </row>
    <row r="9315">
      <c r="A9315" s="1" t="s">
        <v>0</v>
      </c>
      <c r="B9315" s="1"/>
      <c r="C9315" s="1"/>
      <c r="D9315" s="1"/>
    </row>
    <row r="9316">
      <c r="A9316" s="0" t="s">
        <v>1</v>
      </c>
      <c r="C9316" s="0" t="s">
        <v>316</v>
      </c>
      <c r="H9316" s="2" t="s">
        <v>3</v>
      </c>
    </row>
    <row r="9317">
      <c r="A9317" s="0" t="s">
        <v>4</v>
      </c>
      <c r="C9317" s="0" t="s">
        <v>317</v>
      </c>
      <c r="H9317" s="3" t="s">
        <v>6</v>
      </c>
    </row>
    <row r="9318">
      <c r="A9318" s="0" t="s">
        <v>7</v>
      </c>
      <c r="C9318" s="4" t="s">
        <v>146</v>
      </c>
      <c r="H9318" s="2" t="s">
        <v>9</v>
      </c>
    </row>
    <row r="9319">
      <c r="A9319" s="0" t="s">
        <v>10</v>
      </c>
      <c r="C9319" s="4" t="s">
        <v>11</v>
      </c>
      <c r="H9319" s="2" t="s">
        <v>12</v>
      </c>
    </row>
    <row r="9320">
      <c r="A9320" s="0" t="s">
        <v>13</v>
      </c>
      <c r="C9320" s="0" t="s">
        <v>14</v>
      </c>
    </row>
    <row r="9321">
      <c r="A9321" s="0" t="s">
        <v>15</v>
      </c>
      <c r="C9321" s="0" t="s">
        <v>16</v>
      </c>
    </row>
    <row r="9322">
      <c r="A9322" s="0" t="s">
        <v>17</v>
      </c>
      <c r="C9322" s="0" t="s">
        <v>18</v>
      </c>
    </row>
    <row r="9325">
      <c r="A9325" s="5" t="s">
        <v>19</v>
      </c>
      <c r="B9325" s="5" t="s">
        <v>20</v>
      </c>
      <c r="C9325" s="7" t="s">
        <v>21</v>
      </c>
      <c r="D9325" s="9"/>
      <c r="E9325" s="7" t="s">
        <v>22</v>
      </c>
      <c r="F9325" s="9"/>
      <c r="G9325" s="5" t="s">
        <v>23</v>
      </c>
      <c r="H9325" s="5" t="s">
        <v>24</v>
      </c>
      <c r="I9325" s="5" t="s">
        <v>147</v>
      </c>
      <c r="J9325" s="5" t="s">
        <v>26</v>
      </c>
    </row>
    <row r="9326">
      <c r="A9326" s="6"/>
      <c r="B9326" s="6"/>
      <c r="C9326" s="8" t="s">
        <v>27</v>
      </c>
      <c r="D9326" s="8" t="s">
        <v>28</v>
      </c>
      <c r="E9326" s="8" t="s">
        <v>27</v>
      </c>
      <c r="F9326" s="8" t="s">
        <v>28</v>
      </c>
      <c r="G9326" s="6"/>
      <c r="H9326" s="6"/>
      <c r="I9326" s="10" t="s">
        <v>29</v>
      </c>
      <c r="J9326" s="6"/>
    </row>
    <row r="9327">
      <c r="A9327" s="11" t="s">
        <v>30</v>
      </c>
      <c r="B9327" s="12">
        <v>951.626</v>
      </c>
      <c r="C9327" s="12">
        <v>0</v>
      </c>
      <c r="D9327" s="13">
        <v>0</v>
      </c>
      <c r="E9327" s="12">
        <v>0</v>
      </c>
      <c r="F9327" s="14">
        <v>0</v>
      </c>
      <c r="G9327" s="13">
        <v>36221233.7778</v>
      </c>
      <c r="H9327" s="14">
        <v>34469067815.032707</v>
      </c>
      <c r="I9327" s="14" t="e">
        <f>=Round(518820.38410000,0)</f>
        <v>#VALUE!</v>
      </c>
      <c r="J9327" s="14" t="e">
        <f>=Round(0.00000000,0)</f>
        <v>#VALUE!</v>
      </c>
    </row>
    <row r="9328">
      <c r="A9328" s="11" t="s">
        <v>31</v>
      </c>
      <c r="B9328" s="12">
        <v>955.9</v>
      </c>
      <c r="C9328" s="12">
        <v>0</v>
      </c>
      <c r="D9328" s="13">
        <v>0</v>
      </c>
      <c r="E9328" s="12">
        <v>0</v>
      </c>
      <c r="F9328" s="14">
        <v>0</v>
      </c>
      <c r="G9328" s="13">
        <v>36221233.7778</v>
      </c>
      <c r="H9328" s="14">
        <v>34623877368.19902</v>
      </c>
      <c r="I9328" s="14" t="e">
        <f>=Round(517977.79500000,0)</f>
        <v>#VALUE!</v>
      </c>
      <c r="J9328" s="14" t="e">
        <f>=Round(0.00000000,0)</f>
        <v>#VALUE!</v>
      </c>
    </row>
    <row r="9329">
      <c r="A9329" s="11" t="s">
        <v>32</v>
      </c>
      <c r="B9329" s="12">
        <v>956.351</v>
      </c>
      <c r="C9329" s="12">
        <v>0</v>
      </c>
      <c r="D9329" s="13">
        <v>0</v>
      </c>
      <c r="E9329" s="12">
        <v>0</v>
      </c>
      <c r="F9329" s="14">
        <v>0</v>
      </c>
      <c r="G9329" s="13">
        <v>36221233.7778</v>
      </c>
      <c r="H9329" s="14">
        <v>34640213144.632805</v>
      </c>
      <c r="I9329" s="14" t="e">
        <f>=Round(520304.16810000,0)</f>
        <v>#VALUE!</v>
      </c>
      <c r="J9329" s="14" t="e">
        <f>=Round(0.00000000,0)</f>
        <v>#VALUE!</v>
      </c>
    </row>
    <row r="9330">
      <c r="A9330" s="11" t="s">
        <v>33</v>
      </c>
      <c r="B9330" s="12">
        <v>958.785</v>
      </c>
      <c r="C9330" s="12">
        <v>0</v>
      </c>
      <c r="D9330" s="13">
        <v>0</v>
      </c>
      <c r="E9330" s="12">
        <v>0</v>
      </c>
      <c r="F9330" s="14">
        <v>0</v>
      </c>
      <c r="G9330" s="13">
        <v>36221233.7778</v>
      </c>
      <c r="H9330" s="14">
        <v>34728375627.647972</v>
      </c>
      <c r="I9330" s="14" t="e">
        <f>=Round(520549.65110000,0)</f>
        <v>#VALUE!</v>
      </c>
      <c r="J9330" s="14" t="e">
        <f>=Round(0.00000000,0)</f>
        <v>#VALUE!</v>
      </c>
    </row>
    <row r="9331">
      <c r="A9331" s="11" t="s">
        <v>34</v>
      </c>
      <c r="B9331" s="12">
        <v>959.499</v>
      </c>
      <c r="C9331" s="12">
        <v>0</v>
      </c>
      <c r="D9331" s="13">
        <v>0</v>
      </c>
      <c r="E9331" s="12">
        <v>0</v>
      </c>
      <c r="F9331" s="14">
        <v>0</v>
      </c>
      <c r="G9331" s="13">
        <v>36221233.7778</v>
      </c>
      <c r="H9331" s="14">
        <v>34754237588.565323</v>
      </c>
      <c r="I9331" s="14" t="e">
        <f>=Round(521874.49710000,0)</f>
        <v>#VALUE!</v>
      </c>
      <c r="J9331" s="14" t="e">
        <f>=Round(0.00000000,0)</f>
        <v>#VALUE!</v>
      </c>
    </row>
    <row r="9332">
      <c r="A9332" s="11" t="s">
        <v>35</v>
      </c>
      <c r="B9332" s="12">
        <v>959.499</v>
      </c>
      <c r="C9332" s="12">
        <v>0</v>
      </c>
      <c r="D9332" s="13">
        <v>0</v>
      </c>
      <c r="E9332" s="12">
        <v>0</v>
      </c>
      <c r="F9332" s="14">
        <v>0</v>
      </c>
      <c r="G9332" s="13">
        <v>36221233.7778</v>
      </c>
      <c r="H9332" s="14">
        <v>34754237588.565323</v>
      </c>
      <c r="I9332" s="14" t="e">
        <f>=Round(522263.13320000,0)</f>
        <v>#VALUE!</v>
      </c>
      <c r="J9332" s="14" t="e">
        <f>=Round(0.00000000,0)</f>
        <v>#VALUE!</v>
      </c>
    </row>
    <row r="9333">
      <c r="A9333" s="11" t="s">
        <v>36</v>
      </c>
      <c r="B9333" s="12">
        <v>959.499</v>
      </c>
      <c r="C9333" s="12">
        <v>0</v>
      </c>
      <c r="D9333" s="13">
        <v>0</v>
      </c>
      <c r="E9333" s="12">
        <v>0</v>
      </c>
      <c r="F9333" s="14">
        <v>0</v>
      </c>
      <c r="G9333" s="13">
        <v>36221233.7778</v>
      </c>
      <c r="H9333" s="14">
        <v>34754237588.565323</v>
      </c>
      <c r="I9333" s="14" t="e">
        <f>=Round(522263.13320000,0)</f>
        <v>#VALUE!</v>
      </c>
      <c r="J9333" s="14" t="e">
        <f>=Round(0.00000000,0)</f>
        <v>#VALUE!</v>
      </c>
    </row>
    <row r="9334">
      <c r="A9334" s="11" t="s">
        <v>37</v>
      </c>
      <c r="B9334" s="12">
        <v>957.807</v>
      </c>
      <c r="C9334" s="12">
        <v>0</v>
      </c>
      <c r="D9334" s="13">
        <v>0</v>
      </c>
      <c r="E9334" s="12">
        <v>0</v>
      </c>
      <c r="F9334" s="14">
        <v>0</v>
      </c>
      <c r="G9334" s="13">
        <v>36221233.7778</v>
      </c>
      <c r="H9334" s="14">
        <v>34692951261.013283</v>
      </c>
      <c r="I9334" s="14" t="e">
        <f>=Round(522263.13320000,0)</f>
        <v>#VALUE!</v>
      </c>
      <c r="J9334" s="14" t="e">
        <f>=Round(0.00000000,0)</f>
        <v>#VALUE!</v>
      </c>
    </row>
    <row r="9335">
      <c r="A9335" s="11" t="s">
        <v>38</v>
      </c>
      <c r="B9335" s="12">
        <v>957.93</v>
      </c>
      <c r="C9335" s="12">
        <v>0</v>
      </c>
      <c r="D9335" s="13">
        <v>0</v>
      </c>
      <c r="E9335" s="12">
        <v>0</v>
      </c>
      <c r="F9335" s="14">
        <v>0</v>
      </c>
      <c r="G9335" s="13">
        <v>36221233.7778</v>
      </c>
      <c r="H9335" s="14">
        <v>34697406472.767952</v>
      </c>
      <c r="I9335" s="14" t="e">
        <f>=Round(521342.16380000,0)</f>
        <v>#VALUE!</v>
      </c>
      <c r="J9335" s="14" t="e">
        <f>=Round(0.00000000,0)</f>
        <v>#VALUE!</v>
      </c>
    </row>
    <row r="9336">
      <c r="A9336" s="11" t="s">
        <v>39</v>
      </c>
      <c r="B9336" s="12">
        <v>958.719</v>
      </c>
      <c r="C9336" s="12">
        <v>0</v>
      </c>
      <c r="D9336" s="13">
        <v>0</v>
      </c>
      <c r="E9336" s="12">
        <v>0</v>
      </c>
      <c r="F9336" s="14">
        <v>0</v>
      </c>
      <c r="G9336" s="13">
        <v>36221233.7778</v>
      </c>
      <c r="H9336" s="14">
        <v>34725985026.218643</v>
      </c>
      <c r="I9336" s="14" t="e">
        <f>=Round(521409.11370000,0)</f>
        <v>#VALUE!</v>
      </c>
      <c r="J9336" s="14" t="e">
        <f>=Round(0.00000000,0)</f>
        <v>#VALUE!</v>
      </c>
    </row>
    <row r="9337">
      <c r="A9337" s="11" t="s">
        <v>40</v>
      </c>
      <c r="B9337" s="12">
        <v>957.843</v>
      </c>
      <c r="C9337" s="12">
        <v>0</v>
      </c>
      <c r="D9337" s="13">
        <v>0</v>
      </c>
      <c r="E9337" s="12">
        <v>0</v>
      </c>
      <c r="F9337" s="14">
        <v>0</v>
      </c>
      <c r="G9337" s="13">
        <v>36221233.7778</v>
      </c>
      <c r="H9337" s="14">
        <v>34694255225.429283</v>
      </c>
      <c r="I9337" s="14" t="e">
        <f>=Round(521838.57280000,0)</f>
        <v>#VALUE!</v>
      </c>
      <c r="J9337" s="14" t="e">
        <f>=Round(0.00000000,0)</f>
        <v>#VALUE!</v>
      </c>
    </row>
    <row r="9338">
      <c r="A9338" s="11" t="s">
        <v>41</v>
      </c>
      <c r="B9338" s="12">
        <v>957.84</v>
      </c>
      <c r="C9338" s="12">
        <v>0</v>
      </c>
      <c r="D9338" s="13">
        <v>0</v>
      </c>
      <c r="E9338" s="12">
        <v>0</v>
      </c>
      <c r="F9338" s="14">
        <v>0</v>
      </c>
      <c r="G9338" s="13">
        <v>36221233.7778</v>
      </c>
      <c r="H9338" s="14">
        <v>34694146561.727951</v>
      </c>
      <c r="I9338" s="14" t="e">
        <f>=Round(521361.75890000,0)</f>
        <v>#VALUE!</v>
      </c>
      <c r="J9338" s="14" t="e">
        <f>=Round(0.00000000,0)</f>
        <v>#VALUE!</v>
      </c>
    </row>
    <row r="9339">
      <c r="A9339" s="11" t="s">
        <v>42</v>
      </c>
      <c r="B9339" s="12">
        <v>957.84</v>
      </c>
      <c r="C9339" s="12">
        <v>0</v>
      </c>
      <c r="D9339" s="13">
        <v>0</v>
      </c>
      <c r="E9339" s="12">
        <v>0</v>
      </c>
      <c r="F9339" s="14">
        <v>0</v>
      </c>
      <c r="G9339" s="13">
        <v>36221233.7778</v>
      </c>
      <c r="H9339" s="14">
        <v>34694146561.727951</v>
      </c>
      <c r="I9339" s="14" t="e">
        <f>=Round(521360.12590000,0)</f>
        <v>#VALUE!</v>
      </c>
      <c r="J9339" s="14" t="e">
        <f>=Round(0.00000000,0)</f>
        <v>#VALUE!</v>
      </c>
    </row>
    <row r="9340">
      <c r="A9340" s="11" t="s">
        <v>43</v>
      </c>
      <c r="B9340" s="12">
        <v>957.84</v>
      </c>
      <c r="C9340" s="12">
        <v>0</v>
      </c>
      <c r="D9340" s="13">
        <v>0</v>
      </c>
      <c r="E9340" s="12">
        <v>0</v>
      </c>
      <c r="F9340" s="14">
        <v>0</v>
      </c>
      <c r="G9340" s="13">
        <v>36221233.7778</v>
      </c>
      <c r="H9340" s="14">
        <v>34694146561.727951</v>
      </c>
      <c r="I9340" s="14" t="e">
        <f>=Round(521360.12590000,0)</f>
        <v>#VALUE!</v>
      </c>
      <c r="J9340" s="14" t="e">
        <f>=Round(0.00000000,0)</f>
        <v>#VALUE!</v>
      </c>
    </row>
    <row r="9341">
      <c r="A9341" s="11" t="s">
        <v>44</v>
      </c>
      <c r="B9341" s="12">
        <v>958.687</v>
      </c>
      <c r="C9341" s="12">
        <v>0</v>
      </c>
      <c r="D9341" s="13">
        <v>0</v>
      </c>
      <c r="E9341" s="12">
        <v>0</v>
      </c>
      <c r="F9341" s="14">
        <v>0</v>
      </c>
      <c r="G9341" s="13">
        <v>36221233.7778</v>
      </c>
      <c r="H9341" s="14">
        <v>34724825946.737747</v>
      </c>
      <c r="I9341" s="14" t="e">
        <f>=Round(521360.12590000,0)</f>
        <v>#VALUE!</v>
      </c>
      <c r="J9341" s="14" t="e">
        <f>=Round(0.00000000,0)</f>
        <v>#VALUE!</v>
      </c>
    </row>
    <row r="9342">
      <c r="A9342" s="11" t="s">
        <v>45</v>
      </c>
      <c r="B9342" s="12">
        <v>960.048</v>
      </c>
      <c r="C9342" s="12">
        <v>0</v>
      </c>
      <c r="D9342" s="13">
        <v>0</v>
      </c>
      <c r="E9342" s="12">
        <v>0</v>
      </c>
      <c r="F9342" s="14">
        <v>0</v>
      </c>
      <c r="G9342" s="13">
        <v>36221233.7778</v>
      </c>
      <c r="H9342" s="14">
        <v>34774123045.909332</v>
      </c>
      <c r="I9342" s="14" t="e">
        <f>=Round(521821.15490000,0)</f>
        <v>#VALUE!</v>
      </c>
      <c r="J9342" s="14" t="e">
        <f>=Round(0.00000000,0)</f>
        <v>#VALUE!</v>
      </c>
    </row>
    <row r="9343">
      <c r="A9343" s="11" t="s">
        <v>46</v>
      </c>
      <c r="B9343" s="12">
        <v>961.798</v>
      </c>
      <c r="C9343" s="12">
        <v>0</v>
      </c>
      <c r="D9343" s="13">
        <v>0</v>
      </c>
      <c r="E9343" s="12">
        <v>0</v>
      </c>
      <c r="F9343" s="14">
        <v>0</v>
      </c>
      <c r="G9343" s="13">
        <v>36221233.7778</v>
      </c>
      <c r="H9343" s="14">
        <v>34837510205.020485</v>
      </c>
      <c r="I9343" s="14" t="e">
        <f>=Round(522561.95830000,0)</f>
        <v>#VALUE!</v>
      </c>
      <c r="J9343" s="14" t="e">
        <f>=Round(0.00000000,0)</f>
        <v>#VALUE!</v>
      </c>
    </row>
    <row r="9344">
      <c r="A9344" s="11" t="s">
        <v>47</v>
      </c>
      <c r="B9344" s="12">
        <v>962.409</v>
      </c>
      <c r="C9344" s="12">
        <v>0</v>
      </c>
      <c r="D9344" s="13">
        <v>0</v>
      </c>
      <c r="E9344" s="12">
        <v>0</v>
      </c>
      <c r="F9344" s="14">
        <v>0</v>
      </c>
      <c r="G9344" s="13">
        <v>36221233.7778</v>
      </c>
      <c r="H9344" s="14">
        <v>34859641378.858719</v>
      </c>
      <c r="I9344" s="14" t="e">
        <f>=Round(523514.49760000,0)</f>
        <v>#VALUE!</v>
      </c>
      <c r="J9344" s="14" t="e">
        <f>=Round(0.00000000,0)</f>
        <v>#VALUE!</v>
      </c>
    </row>
    <row r="9345">
      <c r="A9345" s="11" t="s">
        <v>48</v>
      </c>
      <c r="B9345" s="12">
        <v>961.048</v>
      </c>
      <c r="C9345" s="12">
        <v>0</v>
      </c>
      <c r="D9345" s="13">
        <v>0</v>
      </c>
      <c r="E9345" s="12">
        <v>0</v>
      </c>
      <c r="F9345" s="14">
        <v>0</v>
      </c>
      <c r="G9345" s="13">
        <v>36221233.7778</v>
      </c>
      <c r="H9345" s="14">
        <v>34810344279.687134</v>
      </c>
      <c r="I9345" s="14" t="e">
        <f>=Round(523847.06990000,0)</f>
        <v>#VALUE!</v>
      </c>
      <c r="J9345" s="14" t="e">
        <f>=Round(0.00000000,0)</f>
        <v>#VALUE!</v>
      </c>
    </row>
    <row r="9346">
      <c r="A9346" s="11" t="s">
        <v>49</v>
      </c>
      <c r="B9346" s="12">
        <v>961.048</v>
      </c>
      <c r="C9346" s="12">
        <v>0</v>
      </c>
      <c r="D9346" s="13">
        <v>0</v>
      </c>
      <c r="E9346" s="12">
        <v>0</v>
      </c>
      <c r="F9346" s="14">
        <v>0</v>
      </c>
      <c r="G9346" s="13">
        <v>36221233.7778</v>
      </c>
      <c r="H9346" s="14">
        <v>34810344279.687134</v>
      </c>
      <c r="I9346" s="14" t="e">
        <f>=Round(523106.26650000,0)</f>
        <v>#VALUE!</v>
      </c>
      <c r="J9346" s="14" t="e">
        <f>=Round(0.00000000,0)</f>
        <v>#VALUE!</v>
      </c>
    </row>
    <row r="9347">
      <c r="A9347" s="11" t="s">
        <v>50</v>
      </c>
      <c r="B9347" s="12">
        <v>961.048</v>
      </c>
      <c r="C9347" s="12">
        <v>0</v>
      </c>
      <c r="D9347" s="13">
        <v>0</v>
      </c>
      <c r="E9347" s="12">
        <v>0</v>
      </c>
      <c r="F9347" s="14">
        <v>0</v>
      </c>
      <c r="G9347" s="13">
        <v>36221233.7778</v>
      </c>
      <c r="H9347" s="14">
        <v>34810344279.687134</v>
      </c>
      <c r="I9347" s="14" t="e">
        <f>=Round(523106.26650000,0)</f>
        <v>#VALUE!</v>
      </c>
      <c r="J9347" s="14" t="e">
        <f>=Round(0.00000000,0)</f>
        <v>#VALUE!</v>
      </c>
    </row>
    <row r="9348">
      <c r="A9348" s="11" t="s">
        <v>51</v>
      </c>
      <c r="B9348" s="12">
        <v>958.75</v>
      </c>
      <c r="C9348" s="12">
        <v>0</v>
      </c>
      <c r="D9348" s="13">
        <v>0</v>
      </c>
      <c r="E9348" s="12">
        <v>0</v>
      </c>
      <c r="F9348" s="14">
        <v>0</v>
      </c>
      <c r="G9348" s="13">
        <v>36221233.7778</v>
      </c>
      <c r="H9348" s="14">
        <v>34727107884.465752</v>
      </c>
      <c r="I9348" s="14" t="e">
        <f>=Round(523106.26650000,0)</f>
        <v>#VALUE!</v>
      </c>
      <c r="J9348" s="14" t="e">
        <f>=Round(0.00000000,0)</f>
        <v>#VALUE!</v>
      </c>
    </row>
    <row r="9349">
      <c r="A9349" s="11" t="s">
        <v>52</v>
      </c>
      <c r="B9349" s="12">
        <v>958.467</v>
      </c>
      <c r="C9349" s="12">
        <v>0</v>
      </c>
      <c r="D9349" s="13">
        <v>0</v>
      </c>
      <c r="E9349" s="12">
        <v>0</v>
      </c>
      <c r="F9349" s="14">
        <v>0</v>
      </c>
      <c r="G9349" s="13">
        <v>36221233.7778</v>
      </c>
      <c r="H9349" s="14">
        <v>34716857275.306633</v>
      </c>
      <c r="I9349" s="14" t="e">
        <f>=Round(521855.44640000,0)</f>
        <v>#VALUE!</v>
      </c>
      <c r="J9349" s="14" t="e">
        <f>=Round(0.00000000,0)</f>
        <v>#VALUE!</v>
      </c>
    </row>
    <row r="9350">
      <c r="A9350" s="11" t="s">
        <v>53</v>
      </c>
      <c r="B9350" s="12">
        <v>954.96</v>
      </c>
      <c r="C9350" s="12">
        <v>0</v>
      </c>
      <c r="D9350" s="13">
        <v>0</v>
      </c>
      <c r="E9350" s="12">
        <v>0</v>
      </c>
      <c r="F9350" s="14">
        <v>0</v>
      </c>
      <c r="G9350" s="13">
        <v>36221233.7778</v>
      </c>
      <c r="H9350" s="14">
        <v>34589829408.447891</v>
      </c>
      <c r="I9350" s="14" t="e">
        <f>=Round(521701.40710000,0)</f>
        <v>#VALUE!</v>
      </c>
      <c r="J9350" s="14" t="e">
        <f>=Round(0.00000000,0)</f>
        <v>#VALUE!</v>
      </c>
    </row>
    <row r="9351">
      <c r="A9351" s="11" t="s">
        <v>54</v>
      </c>
      <c r="B9351" s="12">
        <v>949.117</v>
      </c>
      <c r="C9351" s="12">
        <v>0</v>
      </c>
      <c r="D9351" s="13">
        <v>0</v>
      </c>
      <c r="E9351" s="12">
        <v>0</v>
      </c>
      <c r="F9351" s="14">
        <v>0</v>
      </c>
      <c r="G9351" s="13">
        <v>36221233.7778</v>
      </c>
      <c r="H9351" s="14">
        <v>34378188739.484207</v>
      </c>
      <c r="I9351" s="14" t="e">
        <f>=Round(519792.51840000,0)</f>
        <v>#VALUE!</v>
      </c>
      <c r="J9351" s="14" t="e">
        <f>=Round(0.00000000,0)</f>
        <v>#VALUE!</v>
      </c>
    </row>
    <row r="9352">
      <c r="A9352" s="11" t="s">
        <v>55</v>
      </c>
      <c r="B9352" s="12">
        <v>942.51</v>
      </c>
      <c r="C9352" s="12">
        <v>0</v>
      </c>
      <c r="D9352" s="13">
        <v>0</v>
      </c>
      <c r="E9352" s="12">
        <v>0</v>
      </c>
      <c r="F9352" s="14">
        <v>0</v>
      </c>
      <c r="G9352" s="13">
        <v>36221233.7778</v>
      </c>
      <c r="H9352" s="14">
        <v>34138875047.91428</v>
      </c>
      <c r="I9352" s="14" t="e">
        <f>=Round(516612.12590000,0)</f>
        <v>#VALUE!</v>
      </c>
      <c r="J9352" s="14" t="e">
        <f>=Round(0.00000000,0)</f>
        <v>#VALUE!</v>
      </c>
    </row>
    <row r="9353" ht="-1">
      <c r="A9353" s="15"/>
      <c r="B9353" s="16" t="s">
        <v>56</v>
      </c>
      <c r="C9353" s="15"/>
      <c r="D9353" s="15"/>
      <c r="E9353" s="15"/>
      <c r="F9353" s="15"/>
      <c r="G9353" s="15"/>
      <c r="H9353" s="15"/>
      <c r="I9353" s="17" t="e">
        <f>=Round(SUM(I9327:I9352),0)</f>
        <v>#VALUE!</v>
      </c>
      <c r="J9353" s="17" t="e">
        <f>=Round(SUM(J9327:J9352),0)</f>
        <v>#VALUE!</v>
      </c>
    </row>
    <row r="9354">
      <c r="A9354" s="1" t="s">
        <v>0</v>
      </c>
      <c r="B9354" s="1"/>
      <c r="C9354" s="1"/>
      <c r="D9354" s="1"/>
    </row>
    <row r="9355">
      <c r="A9355" s="0" t="s">
        <v>1</v>
      </c>
      <c r="C9355" s="0" t="s">
        <v>318</v>
      </c>
      <c r="H9355" s="2" t="s">
        <v>3</v>
      </c>
    </row>
    <row r="9356">
      <c r="A9356" s="0" t="s">
        <v>4</v>
      </c>
      <c r="C9356" s="0" t="s">
        <v>319</v>
      </c>
      <c r="H9356" s="3" t="s">
        <v>6</v>
      </c>
    </row>
    <row r="9357">
      <c r="A9357" s="0" t="s">
        <v>7</v>
      </c>
      <c r="C9357" s="4" t="s">
        <v>320</v>
      </c>
      <c r="H9357" s="2" t="s">
        <v>9</v>
      </c>
    </row>
    <row r="9358">
      <c r="A9358" s="0" t="s">
        <v>10</v>
      </c>
      <c r="C9358" s="4" t="s">
        <v>11</v>
      </c>
      <c r="H9358" s="2" t="s">
        <v>12</v>
      </c>
    </row>
    <row r="9359">
      <c r="A9359" s="0" t="s">
        <v>13</v>
      </c>
      <c r="C9359" s="0" t="s">
        <v>14</v>
      </c>
    </row>
    <row r="9360">
      <c r="A9360" s="0" t="s">
        <v>15</v>
      </c>
      <c r="C9360" s="0" t="s">
        <v>16</v>
      </c>
    </row>
    <row r="9361">
      <c r="A9361" s="0" t="s">
        <v>17</v>
      </c>
      <c r="C9361" s="0" t="s">
        <v>18</v>
      </c>
    </row>
    <row r="9364">
      <c r="A9364" s="5" t="s">
        <v>19</v>
      </c>
      <c r="B9364" s="5" t="s">
        <v>20</v>
      </c>
      <c r="C9364" s="7" t="s">
        <v>21</v>
      </c>
      <c r="D9364" s="9"/>
      <c r="E9364" s="7" t="s">
        <v>22</v>
      </c>
      <c r="F9364" s="9"/>
      <c r="G9364" s="5" t="s">
        <v>23</v>
      </c>
      <c r="H9364" s="5" t="s">
        <v>24</v>
      </c>
      <c r="I9364" s="5" t="s">
        <v>321</v>
      </c>
      <c r="J9364" s="5" t="s">
        <v>26</v>
      </c>
    </row>
    <row r="9365">
      <c r="A9365" s="6"/>
      <c r="B9365" s="6"/>
      <c r="C9365" s="8" t="s">
        <v>27</v>
      </c>
      <c r="D9365" s="8" t="s">
        <v>28</v>
      </c>
      <c r="E9365" s="8" t="s">
        <v>27</v>
      </c>
      <c r="F9365" s="8" t="s">
        <v>28</v>
      </c>
      <c r="G9365" s="6"/>
      <c r="H9365" s="6"/>
      <c r="I9365" s="10" t="s">
        <v>29</v>
      </c>
      <c r="J9365" s="6"/>
    </row>
    <row r="9366">
      <c r="A9366" s="11" t="s">
        <v>30</v>
      </c>
      <c r="B9366" s="12">
        <v>949.1157</v>
      </c>
      <c r="C9366" s="12">
        <v>0</v>
      </c>
      <c r="D9366" s="13">
        <v>0</v>
      </c>
      <c r="E9366" s="12">
        <v>0</v>
      </c>
      <c r="F9366" s="14">
        <v>0</v>
      </c>
      <c r="G9366" s="13">
        <v>208000000</v>
      </c>
      <c r="H9366" s="14">
        <v>197416065600</v>
      </c>
      <c r="I9366" s="14" t="e">
        <f>=Round(948571.49270000,0)</f>
        <v>#VALUE!</v>
      </c>
      <c r="J9366" s="14" t="e">
        <f>=Round(0.00000000,0)</f>
        <v>#VALUE!</v>
      </c>
    </row>
    <row r="9367">
      <c r="A9367" s="11" t="s">
        <v>31</v>
      </c>
      <c r="B9367" s="12">
        <v>949.3662</v>
      </c>
      <c r="C9367" s="12">
        <v>0</v>
      </c>
      <c r="D9367" s="13">
        <v>0</v>
      </c>
      <c r="E9367" s="12">
        <v>0</v>
      </c>
      <c r="F9367" s="14">
        <v>0</v>
      </c>
      <c r="G9367" s="13">
        <v>208000000</v>
      </c>
      <c r="H9367" s="14">
        <v>197468169600</v>
      </c>
      <c r="I9367" s="14" t="e">
        <f>=Round(949323.15700000,0)</f>
        <v>#VALUE!</v>
      </c>
      <c r="J9367" s="14" t="e">
        <f>=Round(0.00000000,0)</f>
        <v>#VALUE!</v>
      </c>
    </row>
    <row r="9368">
      <c r="A9368" s="11" t="s">
        <v>32</v>
      </c>
      <c r="B9368" s="12">
        <v>949.6166</v>
      </c>
      <c r="C9368" s="12">
        <v>0</v>
      </c>
      <c r="D9368" s="13">
        <v>0</v>
      </c>
      <c r="E9368" s="12">
        <v>0</v>
      </c>
      <c r="F9368" s="14">
        <v>0</v>
      </c>
      <c r="G9368" s="13">
        <v>208000000</v>
      </c>
      <c r="H9368" s="14">
        <v>197520252800</v>
      </c>
      <c r="I9368" s="14" t="e">
        <f>=Round(949573.71170000,0)</f>
        <v>#VALUE!</v>
      </c>
      <c r="J9368" s="14" t="e">
        <f>=Round(0.00000000,0)</f>
        <v>#VALUE!</v>
      </c>
    </row>
    <row r="9369">
      <c r="A9369" s="11" t="s">
        <v>33</v>
      </c>
      <c r="B9369" s="12">
        <v>949.8671</v>
      </c>
      <c r="C9369" s="12">
        <v>0</v>
      </c>
      <c r="D9369" s="13">
        <v>0</v>
      </c>
      <c r="E9369" s="12">
        <v>0</v>
      </c>
      <c r="F9369" s="14">
        <v>0</v>
      </c>
      <c r="G9369" s="13">
        <v>208000000</v>
      </c>
      <c r="H9369" s="14">
        <v>197572356800</v>
      </c>
      <c r="I9369" s="14" t="e">
        <f>=Round(949824.16650000,0)</f>
        <v>#VALUE!</v>
      </c>
      <c r="J9369" s="14" t="e">
        <f>=Round(0.00000000,0)</f>
        <v>#VALUE!</v>
      </c>
    </row>
    <row r="9370">
      <c r="A9370" s="11" t="s">
        <v>34</v>
      </c>
      <c r="B9370" s="12">
        <v>950.1176</v>
      </c>
      <c r="C9370" s="12">
        <v>0</v>
      </c>
      <c r="D9370" s="13">
        <v>0</v>
      </c>
      <c r="E9370" s="12">
        <v>0</v>
      </c>
      <c r="F9370" s="14">
        <v>0</v>
      </c>
      <c r="G9370" s="13">
        <v>208000000</v>
      </c>
      <c r="H9370" s="14">
        <v>197624460800</v>
      </c>
      <c r="I9370" s="14" t="e">
        <f>=Round(950074.72120000,0)</f>
        <v>#VALUE!</v>
      </c>
      <c r="J9370" s="14" t="e">
        <f>=Round(0.00000000,0)</f>
        <v>#VALUE!</v>
      </c>
    </row>
    <row r="9371">
      <c r="A9371" s="11" t="s">
        <v>35</v>
      </c>
      <c r="B9371" s="12">
        <v>950.1176</v>
      </c>
      <c r="C9371" s="12">
        <v>0</v>
      </c>
      <c r="D9371" s="13">
        <v>0</v>
      </c>
      <c r="E9371" s="12">
        <v>0</v>
      </c>
      <c r="F9371" s="14">
        <v>0</v>
      </c>
      <c r="G9371" s="13">
        <v>208000000</v>
      </c>
      <c r="H9371" s="14">
        <v>197624460800</v>
      </c>
      <c r="I9371" s="14" t="e">
        <f>=Round(950325.27600000,0)</f>
        <v>#VALUE!</v>
      </c>
      <c r="J9371" s="14" t="e">
        <f>=Round(0.00000000,0)</f>
        <v>#VALUE!</v>
      </c>
    </row>
    <row r="9372">
      <c r="A9372" s="11" t="s">
        <v>36</v>
      </c>
      <c r="B9372" s="12">
        <v>950.1176</v>
      </c>
      <c r="C9372" s="12">
        <v>0</v>
      </c>
      <c r="D9372" s="13">
        <v>0</v>
      </c>
      <c r="E9372" s="12">
        <v>0</v>
      </c>
      <c r="F9372" s="14">
        <v>0</v>
      </c>
      <c r="G9372" s="13">
        <v>208000000</v>
      </c>
      <c r="H9372" s="14">
        <v>197624460800</v>
      </c>
      <c r="I9372" s="14" t="e">
        <f>=Round(950325.27600000,0)</f>
        <v>#VALUE!</v>
      </c>
      <c r="J9372" s="14" t="e">
        <f>=Round(0.00000000,0)</f>
        <v>#VALUE!</v>
      </c>
    </row>
    <row r="9373">
      <c r="A9373" s="11" t="s">
        <v>37</v>
      </c>
      <c r="B9373" s="12">
        <v>950.86</v>
      </c>
      <c r="C9373" s="12">
        <v>0</v>
      </c>
      <c r="D9373" s="13">
        <v>0</v>
      </c>
      <c r="E9373" s="12">
        <v>0</v>
      </c>
      <c r="F9373" s="14">
        <v>0</v>
      </c>
      <c r="G9373" s="13">
        <v>208000000</v>
      </c>
      <c r="H9373" s="14">
        <v>197778880000</v>
      </c>
      <c r="I9373" s="14" t="e">
        <f>=Round(950325.27600000,0)</f>
        <v>#VALUE!</v>
      </c>
      <c r="J9373" s="14" t="e">
        <f>=Round(0.00000000,0)</f>
        <v>#VALUE!</v>
      </c>
    </row>
    <row r="9374">
      <c r="A9374" s="11" t="s">
        <v>38</v>
      </c>
      <c r="B9374" s="12">
        <v>951.1194</v>
      </c>
      <c r="C9374" s="12">
        <v>0</v>
      </c>
      <c r="D9374" s="13">
        <v>0</v>
      </c>
      <c r="E9374" s="12">
        <v>0</v>
      </c>
      <c r="F9374" s="14">
        <v>0</v>
      </c>
      <c r="G9374" s="13">
        <v>208000000</v>
      </c>
      <c r="H9374" s="14">
        <v>197832835200</v>
      </c>
      <c r="I9374" s="14" t="e">
        <f>=Round(951067.83830000,0)</f>
        <v>#VALUE!</v>
      </c>
      <c r="J9374" s="14" t="e">
        <f>=Round(0.00000000,0)</f>
        <v>#VALUE!</v>
      </c>
    </row>
    <row r="9375">
      <c r="A9375" s="11" t="s">
        <v>39</v>
      </c>
      <c r="B9375" s="12">
        <v>951.3699</v>
      </c>
      <c r="C9375" s="12">
        <v>0</v>
      </c>
      <c r="D9375" s="13">
        <v>0</v>
      </c>
      <c r="E9375" s="12">
        <v>0</v>
      </c>
      <c r="F9375" s="14">
        <v>0</v>
      </c>
      <c r="G9375" s="13">
        <v>208000000</v>
      </c>
      <c r="H9375" s="14">
        <v>197884939200</v>
      </c>
      <c r="I9375" s="14" t="e">
        <f>=Round(951327.29500000,0)</f>
        <v>#VALUE!</v>
      </c>
      <c r="J9375" s="14" t="e">
        <f>=Round(0.00000000,0)</f>
        <v>#VALUE!</v>
      </c>
    </row>
    <row r="9376">
      <c r="A9376" s="11" t="s">
        <v>40</v>
      </c>
      <c r="B9376" s="12">
        <v>951.6204</v>
      </c>
      <c r="C9376" s="12">
        <v>0</v>
      </c>
      <c r="D9376" s="13">
        <v>0</v>
      </c>
      <c r="E9376" s="12">
        <v>0</v>
      </c>
      <c r="F9376" s="14">
        <v>0</v>
      </c>
      <c r="G9376" s="13">
        <v>208000000</v>
      </c>
      <c r="H9376" s="14">
        <v>197937043200</v>
      </c>
      <c r="I9376" s="14" t="e">
        <f>=Round(951577.84970000,0)</f>
        <v>#VALUE!</v>
      </c>
      <c r="J9376" s="14" t="e">
        <f>=Round(0.00000000,0)</f>
        <v>#VALUE!</v>
      </c>
    </row>
    <row r="9377">
      <c r="A9377" s="11" t="s">
        <v>41</v>
      </c>
      <c r="B9377" s="12">
        <v>951.8708</v>
      </c>
      <c r="C9377" s="12">
        <v>0</v>
      </c>
      <c r="D9377" s="13">
        <v>0</v>
      </c>
      <c r="E9377" s="12">
        <v>0</v>
      </c>
      <c r="F9377" s="14">
        <v>0</v>
      </c>
      <c r="G9377" s="13">
        <v>208000000</v>
      </c>
      <c r="H9377" s="14">
        <v>197989126400</v>
      </c>
      <c r="I9377" s="14" t="e">
        <f>=Round(951828.40450000,0)</f>
        <v>#VALUE!</v>
      </c>
      <c r="J9377" s="14" t="e">
        <f>=Round(0.00000000,0)</f>
        <v>#VALUE!</v>
      </c>
    </row>
    <row r="9378">
      <c r="A9378" s="11" t="s">
        <v>42</v>
      </c>
      <c r="B9378" s="12">
        <v>951.8708</v>
      </c>
      <c r="C9378" s="12">
        <v>0</v>
      </c>
      <c r="D9378" s="13">
        <v>0</v>
      </c>
      <c r="E9378" s="12">
        <v>0</v>
      </c>
      <c r="F9378" s="14">
        <v>0</v>
      </c>
      <c r="G9378" s="13">
        <v>208000000</v>
      </c>
      <c r="H9378" s="14">
        <v>197989126400</v>
      </c>
      <c r="I9378" s="14" t="e">
        <f>=Round(952078.85920000,0)</f>
        <v>#VALUE!</v>
      </c>
      <c r="J9378" s="14" t="e">
        <f>=Round(0.00000000,0)</f>
        <v>#VALUE!</v>
      </c>
    </row>
    <row r="9379">
      <c r="A9379" s="11" t="s">
        <v>43</v>
      </c>
      <c r="B9379" s="12">
        <v>951.8708</v>
      </c>
      <c r="C9379" s="12">
        <v>0</v>
      </c>
      <c r="D9379" s="13">
        <v>0</v>
      </c>
      <c r="E9379" s="12">
        <v>0</v>
      </c>
      <c r="F9379" s="14">
        <v>0</v>
      </c>
      <c r="G9379" s="13">
        <v>208000000</v>
      </c>
      <c r="H9379" s="14">
        <v>197989126400</v>
      </c>
      <c r="I9379" s="14" t="e">
        <f>=Round(952078.85920000,0)</f>
        <v>#VALUE!</v>
      </c>
      <c r="J9379" s="14" t="e">
        <f>=Round(0.00000000,0)</f>
        <v>#VALUE!</v>
      </c>
    </row>
    <row r="9380">
      <c r="A9380" s="11" t="s">
        <v>44</v>
      </c>
      <c r="B9380" s="12">
        <v>930.0127</v>
      </c>
      <c r="C9380" s="12">
        <v>0</v>
      </c>
      <c r="D9380" s="13">
        <v>0</v>
      </c>
      <c r="E9380" s="12">
        <v>0</v>
      </c>
      <c r="F9380" s="14">
        <v>0</v>
      </c>
      <c r="G9380" s="13">
        <v>208000000</v>
      </c>
      <c r="H9380" s="14">
        <v>193442641600</v>
      </c>
      <c r="I9380" s="14" t="e">
        <f>=Round(952078.85920000,0)</f>
        <v>#VALUE!</v>
      </c>
      <c r="J9380" s="14" t="e">
        <f>=Round(0.00000000,0)</f>
        <v>#VALUE!</v>
      </c>
    </row>
    <row r="9381">
      <c r="A9381" s="11" t="s">
        <v>45</v>
      </c>
      <c r="B9381" s="12">
        <v>930.2633</v>
      </c>
      <c r="C9381" s="12">
        <v>0</v>
      </c>
      <c r="D9381" s="13">
        <v>0</v>
      </c>
      <c r="E9381" s="12">
        <v>0</v>
      </c>
      <c r="F9381" s="14">
        <v>0</v>
      </c>
      <c r="G9381" s="13">
        <v>208000000</v>
      </c>
      <c r="H9381" s="14">
        <v>193494766400</v>
      </c>
      <c r="I9381" s="14" t="e">
        <f>=Round(930215.98150000,0)</f>
        <v>#VALUE!</v>
      </c>
      <c r="J9381" s="14" t="e">
        <f>=Round(0.00000000,0)</f>
        <v>#VALUE!</v>
      </c>
    </row>
    <row r="9382">
      <c r="A9382" s="11" t="s">
        <v>46</v>
      </c>
      <c r="B9382" s="12">
        <v>930.5139</v>
      </c>
      <c r="C9382" s="12">
        <v>0</v>
      </c>
      <c r="D9382" s="13">
        <v>0</v>
      </c>
      <c r="E9382" s="12">
        <v>0</v>
      </c>
      <c r="F9382" s="14">
        <v>0</v>
      </c>
      <c r="G9382" s="13">
        <v>208000000</v>
      </c>
      <c r="H9382" s="14">
        <v>193546891200</v>
      </c>
      <c r="I9382" s="14" t="e">
        <f>=Round(930466.63620000,0)</f>
        <v>#VALUE!</v>
      </c>
      <c r="J9382" s="14" t="e">
        <f>=Round(0.00000000,0)</f>
        <v>#VALUE!</v>
      </c>
    </row>
    <row r="9383">
      <c r="A9383" s="11" t="s">
        <v>47</v>
      </c>
      <c r="B9383" s="12">
        <v>930.7645</v>
      </c>
      <c r="C9383" s="12">
        <v>0</v>
      </c>
      <c r="D9383" s="13">
        <v>0</v>
      </c>
      <c r="E9383" s="12">
        <v>0</v>
      </c>
      <c r="F9383" s="14">
        <v>0</v>
      </c>
      <c r="G9383" s="13">
        <v>208000000</v>
      </c>
      <c r="H9383" s="14">
        <v>193599016000</v>
      </c>
      <c r="I9383" s="14" t="e">
        <f>=Round(930717.29100000,0)</f>
        <v>#VALUE!</v>
      </c>
      <c r="J9383" s="14" t="e">
        <f>=Round(0.00000000,0)</f>
        <v>#VALUE!</v>
      </c>
    </row>
    <row r="9384">
      <c r="A9384" s="11" t="s">
        <v>48</v>
      </c>
      <c r="B9384" s="12">
        <v>931.0151</v>
      </c>
      <c r="C9384" s="12">
        <v>0</v>
      </c>
      <c r="D9384" s="13">
        <v>0</v>
      </c>
      <c r="E9384" s="12">
        <v>0</v>
      </c>
      <c r="F9384" s="14">
        <v>0</v>
      </c>
      <c r="G9384" s="13">
        <v>208000000</v>
      </c>
      <c r="H9384" s="14">
        <v>193651140800</v>
      </c>
      <c r="I9384" s="14" t="e">
        <f>=Round(930967.94580000,0)</f>
        <v>#VALUE!</v>
      </c>
      <c r="J9384" s="14" t="e">
        <f>=Round(0.00000000,0)</f>
        <v>#VALUE!</v>
      </c>
    </row>
    <row r="9385">
      <c r="A9385" s="11" t="s">
        <v>49</v>
      </c>
      <c r="B9385" s="12">
        <v>931.0151</v>
      </c>
      <c r="C9385" s="12">
        <v>0</v>
      </c>
      <c r="D9385" s="13">
        <v>0</v>
      </c>
      <c r="E9385" s="12">
        <v>0</v>
      </c>
      <c r="F9385" s="14">
        <v>0</v>
      </c>
      <c r="G9385" s="13">
        <v>208000000</v>
      </c>
      <c r="H9385" s="14">
        <v>193651140800</v>
      </c>
      <c r="I9385" s="14" t="e">
        <f>=Round(931218.60060000,0)</f>
        <v>#VALUE!</v>
      </c>
      <c r="J9385" s="14" t="e">
        <f>=Round(0.00000000,0)</f>
        <v>#VALUE!</v>
      </c>
    </row>
    <row r="9386">
      <c r="A9386" s="11" t="s">
        <v>50</v>
      </c>
      <c r="B9386" s="12">
        <v>931.0151</v>
      </c>
      <c r="C9386" s="12">
        <v>0</v>
      </c>
      <c r="D9386" s="13">
        <v>0</v>
      </c>
      <c r="E9386" s="12">
        <v>0</v>
      </c>
      <c r="F9386" s="14">
        <v>0</v>
      </c>
      <c r="G9386" s="13">
        <v>208000000</v>
      </c>
      <c r="H9386" s="14">
        <v>193651140800</v>
      </c>
      <c r="I9386" s="14" t="e">
        <f>=Round(931218.60060000,0)</f>
        <v>#VALUE!</v>
      </c>
      <c r="J9386" s="14" t="e">
        <f>=Round(0.00000000,0)</f>
        <v>#VALUE!</v>
      </c>
    </row>
    <row r="9387">
      <c r="A9387" s="11" t="s">
        <v>51</v>
      </c>
      <c r="B9387" s="12">
        <v>931.7669</v>
      </c>
      <c r="C9387" s="12">
        <v>0</v>
      </c>
      <c r="D9387" s="13">
        <v>0</v>
      </c>
      <c r="E9387" s="12">
        <v>0</v>
      </c>
      <c r="F9387" s="14">
        <v>0</v>
      </c>
      <c r="G9387" s="13">
        <v>208000000</v>
      </c>
      <c r="H9387" s="14">
        <v>193807515200</v>
      </c>
      <c r="I9387" s="14" t="e">
        <f>=Round(931218.60060000,0)</f>
        <v>#VALUE!</v>
      </c>
      <c r="J9387" s="14" t="e">
        <f>=Round(0.00000000,0)</f>
        <v>#VALUE!</v>
      </c>
    </row>
    <row r="9388">
      <c r="A9388" s="11" t="s">
        <v>52</v>
      </c>
      <c r="B9388" s="12">
        <v>932.0128</v>
      </c>
      <c r="C9388" s="12">
        <v>0</v>
      </c>
      <c r="D9388" s="13">
        <v>0</v>
      </c>
      <c r="E9388" s="12">
        <v>0</v>
      </c>
      <c r="F9388" s="14">
        <v>0</v>
      </c>
      <c r="G9388" s="13">
        <v>208000000</v>
      </c>
      <c r="H9388" s="14">
        <v>193858662400</v>
      </c>
      <c r="I9388" s="14" t="e">
        <f>=Round(931970.56490000,0)</f>
        <v>#VALUE!</v>
      </c>
      <c r="J9388" s="14" t="e">
        <f>=Round(0.00000000,0)</f>
        <v>#VALUE!</v>
      </c>
    </row>
    <row r="9389">
      <c r="A9389" s="11" t="s">
        <v>53</v>
      </c>
      <c r="B9389" s="12">
        <v>932.2634</v>
      </c>
      <c r="C9389" s="12">
        <v>0</v>
      </c>
      <c r="D9389" s="13">
        <v>0</v>
      </c>
      <c r="E9389" s="12">
        <v>0</v>
      </c>
      <c r="F9389" s="14">
        <v>0</v>
      </c>
      <c r="G9389" s="13">
        <v>208000000</v>
      </c>
      <c r="H9389" s="14">
        <v>193910787200</v>
      </c>
      <c r="I9389" s="14" t="e">
        <f>=Round(932216.51860000,0)</f>
        <v>#VALUE!</v>
      </c>
      <c r="J9389" s="14" t="e">
        <f>=Round(0.00000000,0)</f>
        <v>#VALUE!</v>
      </c>
    </row>
    <row r="9390">
      <c r="A9390" s="11" t="s">
        <v>54</v>
      </c>
      <c r="B9390" s="12">
        <v>932.514</v>
      </c>
      <c r="C9390" s="12">
        <v>0</v>
      </c>
      <c r="D9390" s="13">
        <v>0</v>
      </c>
      <c r="E9390" s="12">
        <v>0</v>
      </c>
      <c r="F9390" s="14">
        <v>0</v>
      </c>
      <c r="G9390" s="13">
        <v>208000000</v>
      </c>
      <c r="H9390" s="14">
        <v>193962912000</v>
      </c>
      <c r="I9390" s="14" t="e">
        <f>=Round(932467.17340000,0)</f>
        <v>#VALUE!</v>
      </c>
      <c r="J9390" s="14" t="e">
        <f>=Round(0.00000000,0)</f>
        <v>#VALUE!</v>
      </c>
    </row>
    <row r="9391">
      <c r="A9391" s="11" t="s">
        <v>55</v>
      </c>
      <c r="B9391" s="12">
        <v>932.7646</v>
      </c>
      <c r="C9391" s="12">
        <v>0</v>
      </c>
      <c r="D9391" s="13">
        <v>0</v>
      </c>
      <c r="E9391" s="12">
        <v>0</v>
      </c>
      <c r="F9391" s="14">
        <v>0</v>
      </c>
      <c r="G9391" s="13">
        <v>208000000</v>
      </c>
      <c r="H9391" s="14">
        <v>194015036800</v>
      </c>
      <c r="I9391" s="14" t="e">
        <f>=Round(932717.82820000,0)</f>
        <v>#VALUE!</v>
      </c>
      <c r="J9391" s="14" t="e">
        <f>=Round(0.00000000,0)</f>
        <v>#VALUE!</v>
      </c>
    </row>
    <row r="9392" ht="-1">
      <c r="A9392" s="15"/>
      <c r="B9392" s="16" t="s">
        <v>56</v>
      </c>
      <c r="C9392" s="15"/>
      <c r="D9392" s="15"/>
      <c r="E9392" s="15"/>
      <c r="F9392" s="15"/>
      <c r="G9392" s="15"/>
      <c r="H9392" s="15"/>
      <c r="I9392" s="17" t="e">
        <f>=Round(SUM(I9366:I9391),0)</f>
        <v>#VALUE!</v>
      </c>
      <c r="J9392" s="17" t="e">
        <f>=Round(SUM(J9366:J9391),0)</f>
        <v>#VALUE!</v>
      </c>
    </row>
    <row r="9393">
      <c r="A9393" s="1" t="s">
        <v>0</v>
      </c>
      <c r="B9393" s="1"/>
      <c r="C9393" s="1"/>
      <c r="D9393" s="1"/>
    </row>
    <row r="9394">
      <c r="A9394" s="0" t="s">
        <v>1</v>
      </c>
      <c r="C9394" s="0" t="s">
        <v>322</v>
      </c>
      <c r="H9394" s="2" t="s">
        <v>3</v>
      </c>
    </row>
    <row r="9395">
      <c r="A9395" s="0" t="s">
        <v>4</v>
      </c>
      <c r="C9395" s="0" t="s">
        <v>222</v>
      </c>
      <c r="H9395" s="3" t="s">
        <v>6</v>
      </c>
    </row>
    <row r="9396">
      <c r="A9396" s="0" t="s">
        <v>7</v>
      </c>
      <c r="C9396" s="4" t="s">
        <v>226</v>
      </c>
      <c r="H9396" s="2" t="s">
        <v>9</v>
      </c>
    </row>
    <row r="9397">
      <c r="A9397" s="0" t="s">
        <v>10</v>
      </c>
      <c r="C9397" s="4" t="s">
        <v>11</v>
      </c>
      <c r="H9397" s="2" t="s">
        <v>12</v>
      </c>
    </row>
    <row r="9398">
      <c r="A9398" s="0" t="s">
        <v>13</v>
      </c>
      <c r="C9398" s="0" t="s">
        <v>14</v>
      </c>
    </row>
    <row r="9399">
      <c r="A9399" s="0" t="s">
        <v>15</v>
      </c>
      <c r="C9399" s="0" t="s">
        <v>16</v>
      </c>
    </row>
    <row r="9400">
      <c r="A9400" s="0" t="s">
        <v>17</v>
      </c>
      <c r="C9400" s="0" t="s">
        <v>18</v>
      </c>
    </row>
    <row r="9403">
      <c r="A9403" s="5" t="s">
        <v>19</v>
      </c>
      <c r="B9403" s="5" t="s">
        <v>20</v>
      </c>
      <c r="C9403" s="7" t="s">
        <v>21</v>
      </c>
      <c r="D9403" s="9"/>
      <c r="E9403" s="7" t="s">
        <v>22</v>
      </c>
      <c r="F9403" s="9"/>
      <c r="G9403" s="5" t="s">
        <v>23</v>
      </c>
      <c r="H9403" s="5" t="s">
        <v>24</v>
      </c>
      <c r="I9403" s="5" t="s">
        <v>227</v>
      </c>
      <c r="J9403" s="5" t="s">
        <v>26</v>
      </c>
    </row>
    <row r="9404">
      <c r="A9404" s="6"/>
      <c r="B9404" s="6"/>
      <c r="C9404" s="8" t="s">
        <v>27</v>
      </c>
      <c r="D9404" s="8" t="s">
        <v>28</v>
      </c>
      <c r="E9404" s="8" t="s">
        <v>27</v>
      </c>
      <c r="F9404" s="8" t="s">
        <v>28</v>
      </c>
      <c r="G9404" s="6"/>
      <c r="H9404" s="6"/>
      <c r="I9404" s="10" t="s">
        <v>29</v>
      </c>
      <c r="J9404" s="6"/>
    </row>
    <row r="9405">
      <c r="A9405" s="11" t="s">
        <v>30</v>
      </c>
      <c r="B9405" s="12">
        <v>1013.2091</v>
      </c>
      <c r="C9405" s="12">
        <v>0</v>
      </c>
      <c r="D9405" s="13">
        <v>0</v>
      </c>
      <c r="E9405" s="12">
        <v>0</v>
      </c>
      <c r="F9405" s="14">
        <v>0</v>
      </c>
      <c r="G9405" s="13">
        <v>103000000</v>
      </c>
      <c r="H9405" s="14">
        <v>104360537300</v>
      </c>
      <c r="I9405" s="14" t="e">
        <f>=Round(626925.05690000,0)</f>
        <v>#VALUE!</v>
      </c>
      <c r="J9405" s="14" t="e">
        <f>=Round(0.00000000,0)</f>
        <v>#VALUE!</v>
      </c>
    </row>
    <row r="9406">
      <c r="A9406" s="11" t="s">
        <v>31</v>
      </c>
      <c r="B9406" s="12">
        <v>1013.4024</v>
      </c>
      <c r="C9406" s="12">
        <v>0</v>
      </c>
      <c r="D9406" s="13">
        <v>0</v>
      </c>
      <c r="E9406" s="12">
        <v>0</v>
      </c>
      <c r="F9406" s="14">
        <v>0</v>
      </c>
      <c r="G9406" s="13">
        <v>103000000</v>
      </c>
      <c r="H9406" s="14">
        <v>104380447200</v>
      </c>
      <c r="I9406" s="14" t="e">
        <f>=Round(627303.77610000,0)</f>
        <v>#VALUE!</v>
      </c>
      <c r="J9406" s="14" t="e">
        <f>=Round(0.00000000,0)</f>
        <v>#VALUE!</v>
      </c>
    </row>
    <row r="9407">
      <c r="A9407" s="11" t="s">
        <v>32</v>
      </c>
      <c r="B9407" s="12">
        <v>1013.614</v>
      </c>
      <c r="C9407" s="12">
        <v>0</v>
      </c>
      <c r="D9407" s="13">
        <v>0</v>
      </c>
      <c r="E9407" s="12">
        <v>0</v>
      </c>
      <c r="F9407" s="14">
        <v>0</v>
      </c>
      <c r="G9407" s="13">
        <v>103000000</v>
      </c>
      <c r="H9407" s="14">
        <v>104402242000</v>
      </c>
      <c r="I9407" s="14" t="e">
        <f>=Round(627423.45310000,0)</f>
        <v>#VALUE!</v>
      </c>
      <c r="J9407" s="14" t="e">
        <f>=Round(0.00000000,0)</f>
        <v>#VALUE!</v>
      </c>
    </row>
    <row r="9408">
      <c r="A9408" s="11" t="s">
        <v>33</v>
      </c>
      <c r="B9408" s="12">
        <v>1013.8323</v>
      </c>
      <c r="C9408" s="12">
        <v>0</v>
      </c>
      <c r="D9408" s="13">
        <v>0</v>
      </c>
      <c r="E9408" s="12">
        <v>0</v>
      </c>
      <c r="F9408" s="14">
        <v>0</v>
      </c>
      <c r="G9408" s="13">
        <v>103000000</v>
      </c>
      <c r="H9408" s="14">
        <v>104424726900</v>
      </c>
      <c r="I9408" s="14" t="e">
        <f>=Round(627554.46010000,0)</f>
        <v>#VALUE!</v>
      </c>
      <c r="J9408" s="14" t="e">
        <f>=Round(0.00000000,0)</f>
        <v>#VALUE!</v>
      </c>
    </row>
    <row r="9409">
      <c r="A9409" s="11" t="s">
        <v>34</v>
      </c>
      <c r="B9409" s="12">
        <v>1014.0092</v>
      </c>
      <c r="C9409" s="12">
        <v>0</v>
      </c>
      <c r="D9409" s="13">
        <v>0</v>
      </c>
      <c r="E9409" s="12">
        <v>0</v>
      </c>
      <c r="F9409" s="14">
        <v>0</v>
      </c>
      <c r="G9409" s="13">
        <v>103000000</v>
      </c>
      <c r="H9409" s="14">
        <v>104442947600</v>
      </c>
      <c r="I9409" s="14" t="e">
        <f>=Round(627689.61520000,0)</f>
        <v>#VALUE!</v>
      </c>
      <c r="J9409" s="14" t="e">
        <f>=Round(0.00000000,0)</f>
        <v>#VALUE!</v>
      </c>
    </row>
    <row r="9410">
      <c r="A9410" s="11" t="s">
        <v>35</v>
      </c>
      <c r="B9410" s="12">
        <v>1014.0092</v>
      </c>
      <c r="C9410" s="12">
        <v>0</v>
      </c>
      <c r="D9410" s="13">
        <v>0</v>
      </c>
      <c r="E9410" s="12">
        <v>0</v>
      </c>
      <c r="F9410" s="14">
        <v>0</v>
      </c>
      <c r="G9410" s="13">
        <v>103000000</v>
      </c>
      <c r="H9410" s="14">
        <v>104442947600</v>
      </c>
      <c r="I9410" s="14" t="e">
        <f>=Round(627799.13860000,0)</f>
        <v>#VALUE!</v>
      </c>
      <c r="J9410" s="14" t="e">
        <f>=Round(0.00000000,0)</f>
        <v>#VALUE!</v>
      </c>
    </row>
    <row r="9411">
      <c r="A9411" s="11" t="s">
        <v>36</v>
      </c>
      <c r="B9411" s="12">
        <v>1014.0092</v>
      </c>
      <c r="C9411" s="12">
        <v>0</v>
      </c>
      <c r="D9411" s="13">
        <v>0</v>
      </c>
      <c r="E9411" s="12">
        <v>0</v>
      </c>
      <c r="F9411" s="14">
        <v>0</v>
      </c>
      <c r="G9411" s="13">
        <v>103000000</v>
      </c>
      <c r="H9411" s="14">
        <v>104442947600</v>
      </c>
      <c r="I9411" s="14" t="e">
        <f>=Round(627799.13860000,0)</f>
        <v>#VALUE!</v>
      </c>
      <c r="J9411" s="14" t="e">
        <f>=Round(0.00000000,0)</f>
        <v>#VALUE!</v>
      </c>
    </row>
    <row r="9412">
      <c r="A9412" s="11" t="s">
        <v>37</v>
      </c>
      <c r="B9412" s="12">
        <v>1014.5596</v>
      </c>
      <c r="C9412" s="12">
        <v>0</v>
      </c>
      <c r="D9412" s="13">
        <v>0</v>
      </c>
      <c r="E9412" s="12">
        <v>0</v>
      </c>
      <c r="F9412" s="14">
        <v>0</v>
      </c>
      <c r="G9412" s="13">
        <v>103000000</v>
      </c>
      <c r="H9412" s="14">
        <v>104499638800</v>
      </c>
      <c r="I9412" s="14" t="e">
        <f>=Round(627799.13860000,0)</f>
        <v>#VALUE!</v>
      </c>
      <c r="J9412" s="14" t="e">
        <f>=Round(0.00000000,0)</f>
        <v>#VALUE!</v>
      </c>
    </row>
    <row r="9413">
      <c r="A9413" s="11" t="s">
        <v>38</v>
      </c>
      <c r="B9413" s="12">
        <v>1014.7508</v>
      </c>
      <c r="C9413" s="12">
        <v>0</v>
      </c>
      <c r="D9413" s="13">
        <v>0</v>
      </c>
      <c r="E9413" s="12">
        <v>0</v>
      </c>
      <c r="F9413" s="14">
        <v>0</v>
      </c>
      <c r="G9413" s="13">
        <v>103000000</v>
      </c>
      <c r="H9413" s="14">
        <v>104519332400</v>
      </c>
      <c r="I9413" s="14" t="e">
        <f>=Round(628139.90540000,0)</f>
        <v>#VALUE!</v>
      </c>
      <c r="J9413" s="14" t="e">
        <f>=Round(0.00000000,0)</f>
        <v>#VALUE!</v>
      </c>
    </row>
    <row r="9414">
      <c r="A9414" s="11" t="s">
        <v>39</v>
      </c>
      <c r="B9414" s="12">
        <v>1014.9638</v>
      </c>
      <c r="C9414" s="12">
        <v>0</v>
      </c>
      <c r="D9414" s="13">
        <v>0</v>
      </c>
      <c r="E9414" s="12">
        <v>0</v>
      </c>
      <c r="F9414" s="14">
        <v>0</v>
      </c>
      <c r="G9414" s="13">
        <v>103000000</v>
      </c>
      <c r="H9414" s="14">
        <v>104541271400</v>
      </c>
      <c r="I9414" s="14" t="e">
        <f>=Round(628258.28220000,0)</f>
        <v>#VALUE!</v>
      </c>
      <c r="J9414" s="14" t="e">
        <f>=Round(0.00000000,0)</f>
        <v>#VALUE!</v>
      </c>
    </row>
    <row r="9415">
      <c r="A9415" s="11" t="s">
        <v>40</v>
      </c>
      <c r="B9415" s="12">
        <v>1015.1416</v>
      </c>
      <c r="C9415" s="12">
        <v>0</v>
      </c>
      <c r="D9415" s="13">
        <v>0</v>
      </c>
      <c r="E9415" s="12">
        <v>0</v>
      </c>
      <c r="F9415" s="14">
        <v>0</v>
      </c>
      <c r="G9415" s="13">
        <v>103000000</v>
      </c>
      <c r="H9415" s="14">
        <v>104559584800</v>
      </c>
      <c r="I9415" s="14" t="e">
        <f>=Round(628390.15600000,0)</f>
        <v>#VALUE!</v>
      </c>
      <c r="J9415" s="14" t="e">
        <f>=Round(0.00000000,0)</f>
        <v>#VALUE!</v>
      </c>
    </row>
    <row r="9416">
      <c r="A9416" s="11" t="s">
        <v>41</v>
      </c>
      <c r="B9416" s="12">
        <v>1015.3355</v>
      </c>
      <c r="C9416" s="12">
        <v>0</v>
      </c>
      <c r="D9416" s="13">
        <v>0</v>
      </c>
      <c r="E9416" s="12">
        <v>0</v>
      </c>
      <c r="F9416" s="14">
        <v>0</v>
      </c>
      <c r="G9416" s="13">
        <v>103000000</v>
      </c>
      <c r="H9416" s="14">
        <v>104579556500</v>
      </c>
      <c r="I9416" s="14" t="e">
        <f>=Round(628500.23650000,0)</f>
        <v>#VALUE!</v>
      </c>
      <c r="J9416" s="14" t="e">
        <f>=Round(0.00000000,0)</f>
        <v>#VALUE!</v>
      </c>
    </row>
    <row r="9417">
      <c r="A9417" s="11" t="s">
        <v>42</v>
      </c>
      <c r="B9417" s="12">
        <v>1015.3355</v>
      </c>
      <c r="C9417" s="12">
        <v>0</v>
      </c>
      <c r="D9417" s="13">
        <v>0</v>
      </c>
      <c r="E9417" s="12">
        <v>0</v>
      </c>
      <c r="F9417" s="14">
        <v>0</v>
      </c>
      <c r="G9417" s="13">
        <v>103000000</v>
      </c>
      <c r="H9417" s="14">
        <v>104579556500</v>
      </c>
      <c r="I9417" s="14" t="e">
        <f>=Round(628620.28500000,0)</f>
        <v>#VALUE!</v>
      </c>
      <c r="J9417" s="14" t="e">
        <f>=Round(0.00000000,0)</f>
        <v>#VALUE!</v>
      </c>
    </row>
    <row r="9418">
      <c r="A9418" s="11" t="s">
        <v>43</v>
      </c>
      <c r="B9418" s="12">
        <v>1015.3355</v>
      </c>
      <c r="C9418" s="12">
        <v>0</v>
      </c>
      <c r="D9418" s="13">
        <v>0</v>
      </c>
      <c r="E9418" s="12">
        <v>0</v>
      </c>
      <c r="F9418" s="14">
        <v>0</v>
      </c>
      <c r="G9418" s="13">
        <v>103000000</v>
      </c>
      <c r="H9418" s="14">
        <v>104579556500</v>
      </c>
      <c r="I9418" s="14" t="e">
        <f>=Round(628620.28500000,0)</f>
        <v>#VALUE!</v>
      </c>
      <c r="J9418" s="14" t="e">
        <f>=Round(0.00000000,0)</f>
        <v>#VALUE!</v>
      </c>
    </row>
    <row r="9419">
      <c r="A9419" s="11" t="s">
        <v>44</v>
      </c>
      <c r="B9419" s="12">
        <v>1015.8735</v>
      </c>
      <c r="C9419" s="12">
        <v>0</v>
      </c>
      <c r="D9419" s="13">
        <v>0</v>
      </c>
      <c r="E9419" s="12">
        <v>0</v>
      </c>
      <c r="F9419" s="14">
        <v>0</v>
      </c>
      <c r="G9419" s="13">
        <v>103000000</v>
      </c>
      <c r="H9419" s="14">
        <v>104634970500</v>
      </c>
      <c r="I9419" s="14" t="e">
        <f>=Round(628620.28500000,0)</f>
        <v>#VALUE!</v>
      </c>
      <c r="J9419" s="14" t="e">
        <f>=Round(0.00000000,0)</f>
        <v>#VALUE!</v>
      </c>
    </row>
    <row r="9420">
      <c r="A9420" s="11" t="s">
        <v>45</v>
      </c>
      <c r="B9420" s="12">
        <v>1016.0949</v>
      </c>
      <c r="C9420" s="12">
        <v>0</v>
      </c>
      <c r="D9420" s="13">
        <v>0</v>
      </c>
      <c r="E9420" s="12">
        <v>0</v>
      </c>
      <c r="F9420" s="14">
        <v>0</v>
      </c>
      <c r="G9420" s="13">
        <v>103000000</v>
      </c>
      <c r="H9420" s="14">
        <v>104657774700</v>
      </c>
      <c r="I9420" s="14" t="e">
        <f>=Round(628953.37460000,0)</f>
        <v>#VALUE!</v>
      </c>
      <c r="J9420" s="14" t="e">
        <f>=Round(0.00000000,0)</f>
        <v>#VALUE!</v>
      </c>
    </row>
    <row r="9421">
      <c r="A9421" s="11" t="s">
        <v>46</v>
      </c>
      <c r="B9421" s="12">
        <v>1016.3815</v>
      </c>
      <c r="C9421" s="12">
        <v>0</v>
      </c>
      <c r="D9421" s="13">
        <v>0</v>
      </c>
      <c r="E9421" s="12">
        <v>0</v>
      </c>
      <c r="F9421" s="14">
        <v>0</v>
      </c>
      <c r="G9421" s="13">
        <v>103000000</v>
      </c>
      <c r="H9421" s="14">
        <v>104687294500</v>
      </c>
      <c r="I9421" s="14" t="e">
        <f>=Round(629090.44900000,0)</f>
        <v>#VALUE!</v>
      </c>
      <c r="J9421" s="14" t="e">
        <f>=Round(0.00000000,0)</f>
        <v>#VALUE!</v>
      </c>
    </row>
    <row r="9422">
      <c r="A9422" s="11" t="s">
        <v>47</v>
      </c>
      <c r="B9422" s="12">
        <v>1016.534</v>
      </c>
      <c r="C9422" s="12">
        <v>0</v>
      </c>
      <c r="D9422" s="13">
        <v>0</v>
      </c>
      <c r="E9422" s="12">
        <v>0</v>
      </c>
      <c r="F9422" s="14">
        <v>0</v>
      </c>
      <c r="G9422" s="13">
        <v>103000000</v>
      </c>
      <c r="H9422" s="14">
        <v>104703002000</v>
      </c>
      <c r="I9422" s="14" t="e">
        <f>=Round(629267.89040000,0)</f>
        <v>#VALUE!</v>
      </c>
      <c r="J9422" s="14" t="e">
        <f>=Round(0.00000000,0)</f>
        <v>#VALUE!</v>
      </c>
    </row>
    <row r="9423">
      <c r="A9423" s="11" t="s">
        <v>48</v>
      </c>
      <c r="B9423" s="12">
        <v>1016.7772</v>
      </c>
      <c r="C9423" s="12">
        <v>0</v>
      </c>
      <c r="D9423" s="13">
        <v>0</v>
      </c>
      <c r="E9423" s="12">
        <v>9834996.3001</v>
      </c>
      <c r="F9423" s="14">
        <v>10000000000</v>
      </c>
      <c r="G9423" s="13">
        <v>103000000</v>
      </c>
      <c r="H9423" s="14">
        <v>104728051600</v>
      </c>
      <c r="I9423" s="14" t="e">
        <f>=Round(629362.30710000,0)</f>
        <v>#VALUE!</v>
      </c>
      <c r="J9423" s="14" t="e">
        <f>=Round(0.00000000,0)</f>
        <v>#VALUE!</v>
      </c>
    </row>
    <row r="9424">
      <c r="A9424" s="11" t="s">
        <v>49</v>
      </c>
      <c r="B9424" s="12">
        <v>1016.7772</v>
      </c>
      <c r="C9424" s="12">
        <v>0</v>
      </c>
      <c r="D9424" s="13">
        <v>0</v>
      </c>
      <c r="E9424" s="12">
        <v>0</v>
      </c>
      <c r="F9424" s="14">
        <v>0</v>
      </c>
      <c r="G9424" s="13">
        <v>103000000</v>
      </c>
      <c r="H9424" s="14">
        <v>104728051600</v>
      </c>
      <c r="I9424" s="14" t="e">
        <f>=Round(629512.87850000,0)</f>
        <v>#VALUE!</v>
      </c>
      <c r="J9424" s="14" t="e">
        <f>=Round(0.00000000,0)</f>
        <v>#VALUE!</v>
      </c>
    </row>
    <row r="9425">
      <c r="A9425" s="11" t="s">
        <v>50</v>
      </c>
      <c r="B9425" s="12">
        <v>1016.7772</v>
      </c>
      <c r="C9425" s="12">
        <v>0</v>
      </c>
      <c r="D9425" s="13">
        <v>0</v>
      </c>
      <c r="E9425" s="12">
        <v>0</v>
      </c>
      <c r="F9425" s="14">
        <v>0</v>
      </c>
      <c r="G9425" s="13">
        <v>103000000</v>
      </c>
      <c r="H9425" s="14">
        <v>104728051600</v>
      </c>
      <c r="I9425" s="14" t="e">
        <f>=Round(629512.87850000,0)</f>
        <v>#VALUE!</v>
      </c>
      <c r="J9425" s="14" t="e">
        <f>=Round(0.00000000,0)</f>
        <v>#VALUE!</v>
      </c>
    </row>
    <row r="9426">
      <c r="A9426" s="11" t="s">
        <v>51</v>
      </c>
      <c r="B9426" s="12">
        <v>1017.351</v>
      </c>
      <c r="C9426" s="12">
        <v>0</v>
      </c>
      <c r="D9426" s="13">
        <v>0</v>
      </c>
      <c r="E9426" s="12">
        <v>0</v>
      </c>
      <c r="F9426" s="14">
        <v>0</v>
      </c>
      <c r="G9426" s="13">
        <v>93165003.6999</v>
      </c>
      <c r="H9426" s="14">
        <v>94781509679.096954</v>
      </c>
      <c r="I9426" s="14" t="e">
        <f>=Round(629512.87850000,0)</f>
        <v>#VALUE!</v>
      </c>
      <c r="J9426" s="14" t="e">
        <f>=Round(0.00000000,0)</f>
        <v>#VALUE!</v>
      </c>
    </row>
    <row r="9427">
      <c r="A9427" s="11" t="s">
        <v>52</v>
      </c>
      <c r="B9427" s="12">
        <v>1017.3868</v>
      </c>
      <c r="C9427" s="12">
        <v>0</v>
      </c>
      <c r="D9427" s="13">
        <v>0</v>
      </c>
      <c r="E9427" s="12">
        <v>0</v>
      </c>
      <c r="F9427" s="14">
        <v>0</v>
      </c>
      <c r="G9427" s="13">
        <v>93165003.6999</v>
      </c>
      <c r="H9427" s="14">
        <v>94784844986.229431</v>
      </c>
      <c r="I9427" s="14" t="e">
        <f>=Round(569724.92160000,0)</f>
        <v>#VALUE!</v>
      </c>
      <c r="J9427" s="14" t="e">
        <f>=Round(0.00000000,0)</f>
        <v>#VALUE!</v>
      </c>
    </row>
    <row r="9428">
      <c r="A9428" s="11" t="s">
        <v>53</v>
      </c>
      <c r="B9428" s="12">
        <v>1017.554</v>
      </c>
      <c r="C9428" s="12">
        <v>0</v>
      </c>
      <c r="D9428" s="13">
        <v>0</v>
      </c>
      <c r="E9428" s="12">
        <v>0</v>
      </c>
      <c r="F9428" s="14">
        <v>0</v>
      </c>
      <c r="G9428" s="13">
        <v>93165003.6999</v>
      </c>
      <c r="H9428" s="14">
        <v>94800422174.848053</v>
      </c>
      <c r="I9428" s="14" t="e">
        <f>=Round(569744.96990000,0)</f>
        <v>#VALUE!</v>
      </c>
      <c r="J9428" s="14" t="e">
        <f>=Round(0.00000000,0)</f>
        <v>#VALUE!</v>
      </c>
    </row>
    <row r="9429">
      <c r="A9429" s="11" t="s">
        <v>54</v>
      </c>
      <c r="B9429" s="12">
        <v>1017.7334</v>
      </c>
      <c r="C9429" s="12">
        <v>0</v>
      </c>
      <c r="D9429" s="13">
        <v>0</v>
      </c>
      <c r="E9429" s="12">
        <v>0</v>
      </c>
      <c r="F9429" s="14">
        <v>0</v>
      </c>
      <c r="G9429" s="13">
        <v>93165003.6999</v>
      </c>
      <c r="H9429" s="14">
        <v>94817135976.51181</v>
      </c>
      <c r="I9429" s="14" t="e">
        <f>=Round(569838.60320000,0)</f>
        <v>#VALUE!</v>
      </c>
      <c r="J9429" s="14" t="e">
        <f>=Round(0.00000000,0)</f>
        <v>#VALUE!</v>
      </c>
    </row>
    <row r="9430">
      <c r="A9430" s="11" t="s">
        <v>55</v>
      </c>
      <c r="B9430" s="12">
        <v>1017.8345</v>
      </c>
      <c r="C9430" s="12">
        <v>0</v>
      </c>
      <c r="D9430" s="13">
        <v>0</v>
      </c>
      <c r="E9430" s="12">
        <v>0</v>
      </c>
      <c r="F9430" s="14">
        <v>0</v>
      </c>
      <c r="G9430" s="13">
        <v>93165003.6999</v>
      </c>
      <c r="H9430" s="14">
        <v>94826554958.38588</v>
      </c>
      <c r="I9430" s="14" t="e">
        <f>=Round(569939.06870000,0)</f>
        <v>#VALUE!</v>
      </c>
      <c r="J9430" s="14" t="e">
        <f>=Round(0.00000000,0)</f>
        <v>#VALUE!</v>
      </c>
    </row>
    <row r="9431" ht="-1">
      <c r="A9431" s="15"/>
      <c r="B9431" s="16" t="s">
        <v>56</v>
      </c>
      <c r="C9431" s="15"/>
      <c r="D9431" s="15"/>
      <c r="E9431" s="15"/>
      <c r="F9431" s="15"/>
      <c r="G9431" s="15"/>
      <c r="H9431" s="15"/>
      <c r="I9431" s="17" t="e">
        <f>=Round(SUM(I9405:I9430),0)</f>
        <v>#VALUE!</v>
      </c>
      <c r="J9431" s="17" t="e">
        <f>=Round(SUM(J9405:J9430),0)</f>
        <v>#VALUE!</v>
      </c>
    </row>
    <row r="9432">
      <c r="A9432" s="1" t="s">
        <v>0</v>
      </c>
      <c r="B9432" s="1"/>
      <c r="C9432" s="1"/>
      <c r="D9432" s="1"/>
    </row>
    <row r="9433">
      <c r="A9433" s="0" t="s">
        <v>1</v>
      </c>
      <c r="C9433" s="0" t="s">
        <v>323</v>
      </c>
      <c r="H9433" s="2" t="s">
        <v>3</v>
      </c>
    </row>
    <row r="9434">
      <c r="A9434" s="0" t="s">
        <v>4</v>
      </c>
      <c r="C9434" s="0" t="s">
        <v>275</v>
      </c>
      <c r="H9434" s="3" t="s">
        <v>6</v>
      </c>
    </row>
    <row r="9435">
      <c r="A9435" s="0" t="s">
        <v>7</v>
      </c>
      <c r="C9435" s="4" t="s">
        <v>324</v>
      </c>
      <c r="H9435" s="2" t="s">
        <v>9</v>
      </c>
    </row>
    <row r="9436">
      <c r="A9436" s="0" t="s">
        <v>10</v>
      </c>
      <c r="C9436" s="4" t="s">
        <v>11</v>
      </c>
      <c r="H9436" s="2" t="s">
        <v>12</v>
      </c>
    </row>
    <row r="9437">
      <c r="A9437" s="0" t="s">
        <v>13</v>
      </c>
      <c r="C9437" s="0" t="s">
        <v>14</v>
      </c>
    </row>
    <row r="9438">
      <c r="A9438" s="0" t="s">
        <v>15</v>
      </c>
      <c r="C9438" s="0" t="s">
        <v>16</v>
      </c>
    </row>
    <row r="9439">
      <c r="A9439" s="0" t="s">
        <v>17</v>
      </c>
      <c r="C9439" s="0" t="s">
        <v>18</v>
      </c>
    </row>
    <row r="9442">
      <c r="A9442" s="5" t="s">
        <v>19</v>
      </c>
      <c r="B9442" s="5" t="s">
        <v>20</v>
      </c>
      <c r="C9442" s="7" t="s">
        <v>21</v>
      </c>
      <c r="D9442" s="9"/>
      <c r="E9442" s="7" t="s">
        <v>22</v>
      </c>
      <c r="F9442" s="9"/>
      <c r="G9442" s="5" t="s">
        <v>23</v>
      </c>
      <c r="H9442" s="5" t="s">
        <v>24</v>
      </c>
      <c r="I9442" s="5" t="s">
        <v>325</v>
      </c>
      <c r="J9442" s="5" t="s">
        <v>26</v>
      </c>
    </row>
    <row r="9443">
      <c r="A9443" s="6"/>
      <c r="B9443" s="6"/>
      <c r="C9443" s="8" t="s">
        <v>27</v>
      </c>
      <c r="D9443" s="8" t="s">
        <v>28</v>
      </c>
      <c r="E9443" s="8" t="s">
        <v>27</v>
      </c>
      <c r="F9443" s="8" t="s">
        <v>28</v>
      </c>
      <c r="G9443" s="6"/>
      <c r="H9443" s="6"/>
      <c r="I9443" s="10" t="s">
        <v>29</v>
      </c>
      <c r="J9443" s="6"/>
    </row>
    <row r="9444">
      <c r="A9444" s="11" t="s">
        <v>30</v>
      </c>
      <c r="B9444" s="12">
        <v>1012.93</v>
      </c>
      <c r="C9444" s="12">
        <v>0</v>
      </c>
      <c r="D9444" s="13">
        <v>0</v>
      </c>
      <c r="E9444" s="12">
        <v>0</v>
      </c>
      <c r="F9444" s="14">
        <v>0</v>
      </c>
      <c r="G9444" s="13">
        <v>149764375.2758</v>
      </c>
      <c r="H9444" s="14">
        <v>151700828648.11609</v>
      </c>
      <c r="I9444" s="14" t="e">
        <f>=Round(1346684.53600000,0)</f>
        <v>#VALUE!</v>
      </c>
      <c r="J9444" s="14" t="e">
        <f>=Round(0.00000000,0)</f>
        <v>#VALUE!</v>
      </c>
    </row>
    <row r="9445">
      <c r="A9445" s="11" t="s">
        <v>31</v>
      </c>
      <c r="B9445" s="12">
        <v>1014.202</v>
      </c>
      <c r="C9445" s="12">
        <v>0</v>
      </c>
      <c r="D9445" s="13">
        <v>0</v>
      </c>
      <c r="E9445" s="12">
        <v>0</v>
      </c>
      <c r="F9445" s="14">
        <v>0</v>
      </c>
      <c r="G9445" s="13">
        <v>149764375.2758</v>
      </c>
      <c r="H9445" s="14">
        <v>151891328933.46692</v>
      </c>
      <c r="I9445" s="14" t="e">
        <f>=Round(1347070.19970000,0)</f>
        <v>#VALUE!</v>
      </c>
      <c r="J9445" s="14" t="e">
        <f>=Round(0.00000000,0)</f>
        <v>#VALUE!</v>
      </c>
    </row>
    <row r="9446">
      <c r="A9446" s="11" t="s">
        <v>32</v>
      </c>
      <c r="B9446" s="12">
        <v>1014.176</v>
      </c>
      <c r="C9446" s="12">
        <v>0</v>
      </c>
      <c r="D9446" s="13">
        <v>0</v>
      </c>
      <c r="E9446" s="12">
        <v>0</v>
      </c>
      <c r="F9446" s="14">
        <v>0</v>
      </c>
      <c r="G9446" s="13">
        <v>149764375.2758</v>
      </c>
      <c r="H9446" s="14">
        <v>151887435059.70972</v>
      </c>
      <c r="I9446" s="14" t="e">
        <f>=Round(1348761.80060000,0)</f>
        <v>#VALUE!</v>
      </c>
      <c r="J9446" s="14" t="e">
        <f>=Round(0.00000000,0)</f>
        <v>#VALUE!</v>
      </c>
    </row>
    <row r="9447">
      <c r="A9447" s="11" t="s">
        <v>33</v>
      </c>
      <c r="B9447" s="12">
        <v>1015.008</v>
      </c>
      <c r="C9447" s="12">
        <v>0</v>
      </c>
      <c r="D9447" s="13">
        <v>0</v>
      </c>
      <c r="E9447" s="12">
        <v>0</v>
      </c>
      <c r="F9447" s="14">
        <v>0</v>
      </c>
      <c r="G9447" s="13">
        <v>149764375.2758</v>
      </c>
      <c r="H9447" s="14">
        <v>152012039019.93921</v>
      </c>
      <c r="I9447" s="14" t="e">
        <f>=Round(1348727.22390000,0)</f>
        <v>#VALUE!</v>
      </c>
      <c r="J9447" s="14" t="e">
        <f>=Round(0.00000000,0)</f>
        <v>#VALUE!</v>
      </c>
    </row>
    <row r="9448">
      <c r="A9448" s="11" t="s">
        <v>34</v>
      </c>
      <c r="B9448" s="12">
        <v>1015.158</v>
      </c>
      <c r="C9448" s="12">
        <v>0</v>
      </c>
      <c r="D9448" s="13">
        <v>0</v>
      </c>
      <c r="E9448" s="12">
        <v>0</v>
      </c>
      <c r="F9448" s="14">
        <v>0</v>
      </c>
      <c r="G9448" s="13">
        <v>149764375.2758</v>
      </c>
      <c r="H9448" s="14">
        <v>152034503676.23059</v>
      </c>
      <c r="I9448" s="14" t="e">
        <f>=Round(1349833.67980000,0)</f>
        <v>#VALUE!</v>
      </c>
      <c r="J9448" s="14" t="e">
        <f>=Round(0.00000000,0)</f>
        <v>#VALUE!</v>
      </c>
    </row>
    <row r="9449">
      <c r="A9449" s="11" t="s">
        <v>35</v>
      </c>
      <c r="B9449" s="12">
        <v>1015.158</v>
      </c>
      <c r="C9449" s="12">
        <v>0</v>
      </c>
      <c r="D9449" s="13">
        <v>0</v>
      </c>
      <c r="E9449" s="12">
        <v>0</v>
      </c>
      <c r="F9449" s="14">
        <v>0</v>
      </c>
      <c r="G9449" s="13">
        <v>149764375.2758</v>
      </c>
      <c r="H9449" s="14">
        <v>152034503676.23059</v>
      </c>
      <c r="I9449" s="14" t="e">
        <f>=Round(1350033.16110000,0)</f>
        <v>#VALUE!</v>
      </c>
      <c r="J9449" s="14" t="e">
        <f>=Round(0.00000000,0)</f>
        <v>#VALUE!</v>
      </c>
    </row>
    <row r="9450">
      <c r="A9450" s="11" t="s">
        <v>36</v>
      </c>
      <c r="B9450" s="12">
        <v>1015.158</v>
      </c>
      <c r="C9450" s="12">
        <v>0</v>
      </c>
      <c r="D9450" s="13">
        <v>0</v>
      </c>
      <c r="E9450" s="12">
        <v>0</v>
      </c>
      <c r="F9450" s="14">
        <v>0</v>
      </c>
      <c r="G9450" s="13">
        <v>149764375.2758</v>
      </c>
      <c r="H9450" s="14">
        <v>152034503676.23059</v>
      </c>
      <c r="I9450" s="14" t="e">
        <f>=Round(1350033.16110000,0)</f>
        <v>#VALUE!</v>
      </c>
      <c r="J9450" s="14" t="e">
        <f>=Round(0.00000000,0)</f>
        <v>#VALUE!</v>
      </c>
    </row>
    <row r="9451">
      <c r="A9451" s="11" t="s">
        <v>37</v>
      </c>
      <c r="B9451" s="12">
        <v>1015.484</v>
      </c>
      <c r="C9451" s="12">
        <v>0</v>
      </c>
      <c r="D9451" s="13">
        <v>0</v>
      </c>
      <c r="E9451" s="12">
        <v>0</v>
      </c>
      <c r="F9451" s="14">
        <v>0</v>
      </c>
      <c r="G9451" s="13">
        <v>149764375.2758</v>
      </c>
      <c r="H9451" s="14">
        <v>152083326862.5705</v>
      </c>
      <c r="I9451" s="14" t="e">
        <f>=Round(1350033.16110000,0)</f>
        <v>#VALUE!</v>
      </c>
      <c r="J9451" s="14" t="e">
        <f>=Round(0.00000000,0)</f>
        <v>#VALUE!</v>
      </c>
    </row>
    <row r="9452">
      <c r="A9452" s="11" t="s">
        <v>38</v>
      </c>
      <c r="B9452" s="12">
        <v>1015.699</v>
      </c>
      <c r="C9452" s="12">
        <v>0</v>
      </c>
      <c r="D9452" s="13">
        <v>0</v>
      </c>
      <c r="E9452" s="12">
        <v>0</v>
      </c>
      <c r="F9452" s="14">
        <v>0</v>
      </c>
      <c r="G9452" s="13">
        <v>149764375.2758</v>
      </c>
      <c r="H9452" s="14">
        <v>152115526203.25479</v>
      </c>
      <c r="I9452" s="14" t="e">
        <f>=Round(1350466.70030000,0)</f>
        <v>#VALUE!</v>
      </c>
      <c r="J9452" s="14" t="e">
        <f>=Round(0.00000000,0)</f>
        <v>#VALUE!</v>
      </c>
    </row>
    <row r="9453">
      <c r="A9453" s="11" t="s">
        <v>39</v>
      </c>
      <c r="B9453" s="12">
        <v>1016.877</v>
      </c>
      <c r="C9453" s="12">
        <v>0</v>
      </c>
      <c r="D9453" s="13">
        <v>0</v>
      </c>
      <c r="E9453" s="12">
        <v>0</v>
      </c>
      <c r="F9453" s="14">
        <v>0</v>
      </c>
      <c r="G9453" s="13">
        <v>149764375.2758</v>
      </c>
      <c r="H9453" s="14">
        <v>152291948637.32965</v>
      </c>
      <c r="I9453" s="14" t="e">
        <f>=Round(1350752.62340000,0)</f>
        <v>#VALUE!</v>
      </c>
      <c r="J9453" s="14" t="e">
        <f>=Round(0.00000000,0)</f>
        <v>#VALUE!</v>
      </c>
    </row>
    <row r="9454">
      <c r="A9454" s="11" t="s">
        <v>40</v>
      </c>
      <c r="B9454" s="12">
        <v>1017.084</v>
      </c>
      <c r="C9454" s="12">
        <v>0</v>
      </c>
      <c r="D9454" s="13">
        <v>0</v>
      </c>
      <c r="E9454" s="12">
        <v>0</v>
      </c>
      <c r="F9454" s="14">
        <v>0</v>
      </c>
      <c r="G9454" s="13">
        <v>149764375.2758</v>
      </c>
      <c r="H9454" s="14">
        <v>152322949863.01178</v>
      </c>
      <c r="I9454" s="14" t="e">
        <f>=Round(1352319.21600000,0)</f>
        <v>#VALUE!</v>
      </c>
      <c r="J9454" s="14" t="e">
        <f>=Round(0.00000000,0)</f>
        <v>#VALUE!</v>
      </c>
    </row>
    <row r="9455">
      <c r="A9455" s="11" t="s">
        <v>41</v>
      </c>
      <c r="B9455" s="12">
        <v>1017.254</v>
      </c>
      <c r="C9455" s="12">
        <v>0</v>
      </c>
      <c r="D9455" s="13">
        <v>0</v>
      </c>
      <c r="E9455" s="12">
        <v>0</v>
      </c>
      <c r="F9455" s="14">
        <v>0</v>
      </c>
      <c r="G9455" s="13">
        <v>149764375.2758</v>
      </c>
      <c r="H9455" s="14">
        <v>152348409806.80866</v>
      </c>
      <c r="I9455" s="14" t="e">
        <f>=Round(1352594.50010000,0)</f>
        <v>#VALUE!</v>
      </c>
      <c r="J9455" s="14" t="e">
        <f>=Round(0.00000000,0)</f>
        <v>#VALUE!</v>
      </c>
    </row>
    <row r="9456">
      <c r="A9456" s="11" t="s">
        <v>42</v>
      </c>
      <c r="B9456" s="12">
        <v>1017.254</v>
      </c>
      <c r="C9456" s="12">
        <v>0</v>
      </c>
      <c r="D9456" s="13">
        <v>0</v>
      </c>
      <c r="E9456" s="12">
        <v>0</v>
      </c>
      <c r="F9456" s="14">
        <v>0</v>
      </c>
      <c r="G9456" s="13">
        <v>149764375.2758</v>
      </c>
      <c r="H9456" s="14">
        <v>152348409806.80866</v>
      </c>
      <c r="I9456" s="14" t="e">
        <f>=Round(1352820.57890000,0)</f>
        <v>#VALUE!</v>
      </c>
      <c r="J9456" s="14" t="e">
        <f>=Round(0.00000000,0)</f>
        <v>#VALUE!</v>
      </c>
    </row>
    <row r="9457">
      <c r="A9457" s="11" t="s">
        <v>43</v>
      </c>
      <c r="B9457" s="12">
        <v>1017.254</v>
      </c>
      <c r="C9457" s="12">
        <v>0</v>
      </c>
      <c r="D9457" s="13">
        <v>0</v>
      </c>
      <c r="E9457" s="12">
        <v>0</v>
      </c>
      <c r="F9457" s="14">
        <v>0</v>
      </c>
      <c r="G9457" s="13">
        <v>149764375.2758</v>
      </c>
      <c r="H9457" s="14">
        <v>152348409806.80866</v>
      </c>
      <c r="I9457" s="14" t="e">
        <f>=Round(1352820.57890000,0)</f>
        <v>#VALUE!</v>
      </c>
      <c r="J9457" s="14" t="e">
        <f>=Round(0.00000000,0)</f>
        <v>#VALUE!</v>
      </c>
    </row>
    <row r="9458">
      <c r="A9458" s="11" t="s">
        <v>44</v>
      </c>
      <c r="B9458" s="12">
        <v>1018.3</v>
      </c>
      <c r="C9458" s="12">
        <v>0</v>
      </c>
      <c r="D9458" s="13">
        <v>0</v>
      </c>
      <c r="E9458" s="12">
        <v>0</v>
      </c>
      <c r="F9458" s="14">
        <v>0</v>
      </c>
      <c r="G9458" s="13">
        <v>149764375.2758</v>
      </c>
      <c r="H9458" s="14">
        <v>152505063343.34714</v>
      </c>
      <c r="I9458" s="14" t="e">
        <f>=Round(1352820.57890000,0)</f>
        <v>#VALUE!</v>
      </c>
      <c r="J9458" s="14" t="e">
        <f>=Round(0.00000000,0)</f>
        <v>#VALUE!</v>
      </c>
    </row>
    <row r="9459">
      <c r="A9459" s="11" t="s">
        <v>45</v>
      </c>
      <c r="B9459" s="12">
        <v>1019.074</v>
      </c>
      <c r="C9459" s="12">
        <v>0</v>
      </c>
      <c r="D9459" s="13">
        <v>0</v>
      </c>
      <c r="E9459" s="12">
        <v>0</v>
      </c>
      <c r="F9459" s="14">
        <v>0</v>
      </c>
      <c r="G9459" s="13">
        <v>149764375.2758</v>
      </c>
      <c r="H9459" s="14">
        <v>152620980969.81064</v>
      </c>
      <c r="I9459" s="14" t="e">
        <f>=Round(1354211.62800000,0)</f>
        <v>#VALUE!</v>
      </c>
      <c r="J9459" s="14" t="e">
        <f>=Round(0.00000000,0)</f>
        <v>#VALUE!</v>
      </c>
    </row>
    <row r="9460">
      <c r="A9460" s="11" t="s">
        <v>46</v>
      </c>
      <c r="B9460" s="12">
        <v>1019.083</v>
      </c>
      <c r="C9460" s="12">
        <v>0</v>
      </c>
      <c r="D9460" s="13">
        <v>0</v>
      </c>
      <c r="E9460" s="12">
        <v>0</v>
      </c>
      <c r="F9460" s="14">
        <v>0</v>
      </c>
      <c r="G9460" s="13">
        <v>149764375.2758</v>
      </c>
      <c r="H9460" s="14">
        <v>152622328849.18811</v>
      </c>
      <c r="I9460" s="14" t="e">
        <f>=Round(1355240.95120000,0)</f>
        <v>#VALUE!</v>
      </c>
      <c r="J9460" s="14" t="e">
        <f>=Round(0.00000000,0)</f>
        <v>#VALUE!</v>
      </c>
    </row>
    <row r="9461">
      <c r="A9461" s="11" t="s">
        <v>47</v>
      </c>
      <c r="B9461" s="12">
        <v>1019.649</v>
      </c>
      <c r="C9461" s="12">
        <v>0</v>
      </c>
      <c r="D9461" s="13">
        <v>0</v>
      </c>
      <c r="E9461" s="12">
        <v>0</v>
      </c>
      <c r="F9461" s="14">
        <v>0</v>
      </c>
      <c r="G9461" s="13">
        <v>149764375.2758</v>
      </c>
      <c r="H9461" s="14">
        <v>152707095485.59421</v>
      </c>
      <c r="I9461" s="14" t="e">
        <f>=Round(1355252.92010000,0)</f>
        <v>#VALUE!</v>
      </c>
      <c r="J9461" s="14" t="e">
        <f>=Round(0.00000000,0)</f>
        <v>#VALUE!</v>
      </c>
    </row>
    <row r="9462">
      <c r="A9462" s="11" t="s">
        <v>48</v>
      </c>
      <c r="B9462" s="12">
        <v>1020.035</v>
      </c>
      <c r="C9462" s="12">
        <v>0</v>
      </c>
      <c r="D9462" s="13">
        <v>0</v>
      </c>
      <c r="E9462" s="12">
        <v>0</v>
      </c>
      <c r="F9462" s="14">
        <v>0</v>
      </c>
      <c r="G9462" s="13">
        <v>149764375.2758</v>
      </c>
      <c r="H9462" s="14">
        <v>152764904534.45065</v>
      </c>
      <c r="I9462" s="14" t="e">
        <f>=Round(1356005.62930000,0)</f>
        <v>#VALUE!</v>
      </c>
      <c r="J9462" s="14" t="e">
        <f>=Round(0.00000000,0)</f>
        <v>#VALUE!</v>
      </c>
    </row>
    <row r="9463">
      <c r="A9463" s="11" t="s">
        <v>49</v>
      </c>
      <c r="B9463" s="12">
        <v>1020.035</v>
      </c>
      <c r="C9463" s="12">
        <v>0</v>
      </c>
      <c r="D9463" s="13">
        <v>0</v>
      </c>
      <c r="E9463" s="12">
        <v>0</v>
      </c>
      <c r="F9463" s="14">
        <v>0</v>
      </c>
      <c r="G9463" s="13">
        <v>149764375.2758</v>
      </c>
      <c r="H9463" s="14">
        <v>152764904534.45065</v>
      </c>
      <c r="I9463" s="14" t="e">
        <f>=Round(1356518.96100000,0)</f>
        <v>#VALUE!</v>
      </c>
      <c r="J9463" s="14" t="e">
        <f>=Round(0.00000000,0)</f>
        <v>#VALUE!</v>
      </c>
    </row>
    <row r="9464">
      <c r="A9464" s="11" t="s">
        <v>50</v>
      </c>
      <c r="B9464" s="12">
        <v>1020.035</v>
      </c>
      <c r="C9464" s="12">
        <v>0</v>
      </c>
      <c r="D9464" s="13">
        <v>0</v>
      </c>
      <c r="E9464" s="12">
        <v>0</v>
      </c>
      <c r="F9464" s="14">
        <v>0</v>
      </c>
      <c r="G9464" s="13">
        <v>149764375.2758</v>
      </c>
      <c r="H9464" s="14">
        <v>152764904534.45065</v>
      </c>
      <c r="I9464" s="14" t="e">
        <f>=Round(1356518.96100000,0)</f>
        <v>#VALUE!</v>
      </c>
      <c r="J9464" s="14" t="e">
        <f>=Round(0.00000000,0)</f>
        <v>#VALUE!</v>
      </c>
    </row>
    <row r="9465">
      <c r="A9465" s="11" t="s">
        <v>51</v>
      </c>
      <c r="B9465" s="12">
        <v>1020.426</v>
      </c>
      <c r="C9465" s="12">
        <v>0</v>
      </c>
      <c r="D9465" s="13">
        <v>0</v>
      </c>
      <c r="E9465" s="12">
        <v>0</v>
      </c>
      <c r="F9465" s="14">
        <v>0</v>
      </c>
      <c r="G9465" s="13">
        <v>149764375.2758</v>
      </c>
      <c r="H9465" s="14">
        <v>152823462405.1835</v>
      </c>
      <c r="I9465" s="14" t="e">
        <f>=Round(1356518.96100000,0)</f>
        <v>#VALUE!</v>
      </c>
      <c r="J9465" s="14" t="e">
        <f>=Round(0.00000000,0)</f>
        <v>#VALUE!</v>
      </c>
    </row>
    <row r="9466">
      <c r="A9466" s="11" t="s">
        <v>52</v>
      </c>
      <c r="B9466" s="12">
        <v>1020.702</v>
      </c>
      <c r="C9466" s="12">
        <v>0</v>
      </c>
      <c r="D9466" s="13">
        <v>0</v>
      </c>
      <c r="E9466" s="12">
        <v>0</v>
      </c>
      <c r="F9466" s="14">
        <v>0</v>
      </c>
      <c r="G9466" s="13">
        <v>149764375.2758</v>
      </c>
      <c r="H9466" s="14">
        <v>152864797372.75961</v>
      </c>
      <c r="I9466" s="14" t="e">
        <f>=Round(1357038.94210000,0)</f>
        <v>#VALUE!</v>
      </c>
      <c r="J9466" s="14" t="e">
        <f>=Round(0.00000000,0)</f>
        <v>#VALUE!</v>
      </c>
    </row>
    <row r="9467">
      <c r="A9467" s="11" t="s">
        <v>53</v>
      </c>
      <c r="B9467" s="12">
        <v>1021.347</v>
      </c>
      <c r="C9467" s="12">
        <v>0</v>
      </c>
      <c r="D9467" s="13">
        <v>0</v>
      </c>
      <c r="E9467" s="12">
        <v>0</v>
      </c>
      <c r="F9467" s="14">
        <v>0</v>
      </c>
      <c r="G9467" s="13">
        <v>149764375.2758</v>
      </c>
      <c r="H9467" s="14">
        <v>152961395394.8125</v>
      </c>
      <c r="I9467" s="14" t="e">
        <f>=Round(1357405.98760000,0)</f>
        <v>#VALUE!</v>
      </c>
      <c r="J9467" s="14" t="e">
        <f>=Round(0.00000000,0)</f>
        <v>#VALUE!</v>
      </c>
    </row>
    <row r="9468">
      <c r="A9468" s="11" t="s">
        <v>54</v>
      </c>
      <c r="B9468" s="12">
        <v>1020.489</v>
      </c>
      <c r="C9468" s="12">
        <v>0</v>
      </c>
      <c r="D9468" s="13">
        <v>0</v>
      </c>
      <c r="E9468" s="12">
        <v>0</v>
      </c>
      <c r="F9468" s="14">
        <v>0</v>
      </c>
      <c r="G9468" s="13">
        <v>149764375.2758</v>
      </c>
      <c r="H9468" s="14">
        <v>152832897560.82587</v>
      </c>
      <c r="I9468" s="14" t="e">
        <f>=Round(1358263.75690000,0)</f>
        <v>#VALUE!</v>
      </c>
      <c r="J9468" s="14" t="e">
        <f>=Round(0.00000000,0)</f>
        <v>#VALUE!</v>
      </c>
    </row>
    <row r="9469">
      <c r="A9469" s="11" t="s">
        <v>55</v>
      </c>
      <c r="B9469" s="12">
        <v>1019.228</v>
      </c>
      <c r="C9469" s="12">
        <v>0</v>
      </c>
      <c r="D9469" s="13">
        <v>0</v>
      </c>
      <c r="E9469" s="12">
        <v>0</v>
      </c>
      <c r="F9469" s="14">
        <v>0</v>
      </c>
      <c r="G9469" s="13">
        <v>149764375.2758</v>
      </c>
      <c r="H9469" s="14">
        <v>152644044683.60306</v>
      </c>
      <c r="I9469" s="14" t="e">
        <f>=Round(1357122.72420000,0)</f>
        <v>#VALUE!</v>
      </c>
      <c r="J9469" s="14" t="e">
        <f>=Round(0.00000000,0)</f>
        <v>#VALUE!</v>
      </c>
    </row>
    <row r="9470" ht="-1">
      <c r="A9470" s="15"/>
      <c r="B9470" s="16" t="s">
        <v>56</v>
      </c>
      <c r="C9470" s="15"/>
      <c r="D9470" s="15"/>
      <c r="E9470" s="15"/>
      <c r="F9470" s="15"/>
      <c r="G9470" s="15"/>
      <c r="H9470" s="15"/>
      <c r="I9470" s="17" t="e">
        <f>=Round(SUM(I9444:I9469),0)</f>
        <v>#VALUE!</v>
      </c>
      <c r="J9470" s="17" t="e">
        <f>=Round(SUM(J9444:J9469),0)</f>
        <v>#VALUE!</v>
      </c>
    </row>
    <row r="9471">
      <c r="A9471" s="1" t="s">
        <v>0</v>
      </c>
      <c r="B9471" s="1"/>
      <c r="C9471" s="1"/>
      <c r="D9471" s="1"/>
    </row>
    <row r="9472">
      <c r="A9472" s="0" t="s">
        <v>1</v>
      </c>
      <c r="C9472" s="0" t="s">
        <v>326</v>
      </c>
      <c r="H9472" s="2" t="s">
        <v>3</v>
      </c>
    </row>
    <row r="9473">
      <c r="A9473" s="0" t="s">
        <v>4</v>
      </c>
      <c r="C9473" s="0" t="s">
        <v>327</v>
      </c>
      <c r="H9473" s="3" t="s">
        <v>6</v>
      </c>
    </row>
    <row r="9474">
      <c r="A9474" s="0" t="s">
        <v>7</v>
      </c>
      <c r="C9474" s="4" t="s">
        <v>328</v>
      </c>
      <c r="H9474" s="2" t="s">
        <v>9</v>
      </c>
    </row>
    <row r="9475">
      <c r="A9475" s="0" t="s">
        <v>10</v>
      </c>
      <c r="C9475" s="4" t="s">
        <v>11</v>
      </c>
      <c r="H9475" s="2" t="s">
        <v>12</v>
      </c>
    </row>
    <row r="9476">
      <c r="A9476" s="0" t="s">
        <v>13</v>
      </c>
      <c r="C9476" s="0" t="s">
        <v>14</v>
      </c>
    </row>
    <row r="9477">
      <c r="A9477" s="0" t="s">
        <v>15</v>
      </c>
      <c r="C9477" s="0" t="s">
        <v>16</v>
      </c>
    </row>
    <row r="9478">
      <c r="A9478" s="0" t="s">
        <v>17</v>
      </c>
      <c r="C9478" s="0" t="s">
        <v>18</v>
      </c>
    </row>
    <row r="9481">
      <c r="A9481" s="5" t="s">
        <v>19</v>
      </c>
      <c r="B9481" s="5" t="s">
        <v>20</v>
      </c>
      <c r="C9481" s="7" t="s">
        <v>21</v>
      </c>
      <c r="D9481" s="9"/>
      <c r="E9481" s="7" t="s">
        <v>22</v>
      </c>
      <c r="F9481" s="9"/>
      <c r="G9481" s="5" t="s">
        <v>23</v>
      </c>
      <c r="H9481" s="5" t="s">
        <v>24</v>
      </c>
      <c r="I9481" s="5" t="s">
        <v>329</v>
      </c>
      <c r="J9481" s="5" t="s">
        <v>26</v>
      </c>
    </row>
    <row r="9482">
      <c r="A9482" s="6"/>
      <c r="B9482" s="6"/>
      <c r="C9482" s="8" t="s">
        <v>27</v>
      </c>
      <c r="D9482" s="8" t="s">
        <v>28</v>
      </c>
      <c r="E9482" s="8" t="s">
        <v>27</v>
      </c>
      <c r="F9482" s="8" t="s">
        <v>28</v>
      </c>
      <c r="G9482" s="6"/>
      <c r="H9482" s="6"/>
      <c r="I9482" s="10" t="s">
        <v>29</v>
      </c>
      <c r="J9482" s="6"/>
    </row>
    <row r="9483">
      <c r="A9483" s="11" t="s">
        <v>30</v>
      </c>
      <c r="B9483" s="12">
        <v>1083.2339</v>
      </c>
      <c r="C9483" s="12">
        <v>0</v>
      </c>
      <c r="D9483" s="13">
        <v>0</v>
      </c>
      <c r="E9483" s="12">
        <v>0</v>
      </c>
      <c r="F9483" s="14">
        <v>0</v>
      </c>
      <c r="G9483" s="13">
        <v>13879680.155599998</v>
      </c>
      <c r="H9483" s="14">
        <v>15034940065.703196</v>
      </c>
      <c r="I9483" s="14" t="e">
        <f>=Round(406569.27380000,0)</f>
        <v>#VALUE!</v>
      </c>
      <c r="J9483" s="14" t="e">
        <f>=Round(0.00000000,0)</f>
        <v>#VALUE!</v>
      </c>
    </row>
    <row r="9484">
      <c r="A9484" s="11" t="s">
        <v>31</v>
      </c>
      <c r="B9484" s="12">
        <v>1082.741</v>
      </c>
      <c r="C9484" s="12">
        <v>0</v>
      </c>
      <c r="D9484" s="13">
        <v>0</v>
      </c>
      <c r="E9484" s="12">
        <v>0</v>
      </c>
      <c r="F9484" s="14">
        <v>0</v>
      </c>
      <c r="G9484" s="13">
        <v>13879680.155599998</v>
      </c>
      <c r="H9484" s="14">
        <v>15028098771.3545</v>
      </c>
      <c r="I9484" s="14" t="e">
        <f>=Round(406682.80510000,0)</f>
        <v>#VALUE!</v>
      </c>
      <c r="J9484" s="14" t="e">
        <f>=Round(0.00000000,0)</f>
        <v>#VALUE!</v>
      </c>
    </row>
    <row r="9485">
      <c r="A9485" s="11" t="s">
        <v>32</v>
      </c>
      <c r="B9485" s="12">
        <v>1082.9311</v>
      </c>
      <c r="C9485" s="12">
        <v>0</v>
      </c>
      <c r="D9485" s="13">
        <v>0</v>
      </c>
      <c r="E9485" s="12">
        <v>0</v>
      </c>
      <c r="F9485" s="14">
        <v>0</v>
      </c>
      <c r="G9485" s="13">
        <v>13879680.155599998</v>
      </c>
      <c r="H9485" s="14">
        <v>15030737298.55208</v>
      </c>
      <c r="I9485" s="14" t="e">
        <f>=Round(406497.75370000,0)</f>
        <v>#VALUE!</v>
      </c>
      <c r="J9485" s="14" t="e">
        <f>=Round(0.00000000,0)</f>
        <v>#VALUE!</v>
      </c>
    </row>
    <row r="9486">
      <c r="A9486" s="11" t="s">
        <v>33</v>
      </c>
      <c r="B9486" s="12">
        <v>1082.8778</v>
      </c>
      <c r="C9486" s="12">
        <v>0</v>
      </c>
      <c r="D9486" s="13">
        <v>0</v>
      </c>
      <c r="E9486" s="12">
        <v>0</v>
      </c>
      <c r="F9486" s="14">
        <v>0</v>
      </c>
      <c r="G9486" s="13">
        <v>13879680.155599998</v>
      </c>
      <c r="H9486" s="14">
        <v>15029997511.599787</v>
      </c>
      <c r="I9486" s="14" t="e">
        <f>=Round(406569.12360000,0)</f>
        <v>#VALUE!</v>
      </c>
      <c r="J9486" s="14" t="e">
        <f>=Round(0.00000000,0)</f>
        <v>#VALUE!</v>
      </c>
    </row>
    <row r="9487">
      <c r="A9487" s="11" t="s">
        <v>34</v>
      </c>
      <c r="B9487" s="12">
        <v>1083.1339</v>
      </c>
      <c r="C9487" s="12">
        <v>0</v>
      </c>
      <c r="D9487" s="13">
        <v>0</v>
      </c>
      <c r="E9487" s="12">
        <v>0</v>
      </c>
      <c r="F9487" s="14">
        <v>0</v>
      </c>
      <c r="G9487" s="13">
        <v>13879680.155599998</v>
      </c>
      <c r="H9487" s="14">
        <v>15033552097.687635</v>
      </c>
      <c r="I9487" s="14" t="e">
        <f>=Round(406549.11300000,0)</f>
        <v>#VALUE!</v>
      </c>
      <c r="J9487" s="14" t="e">
        <f>=Round(0.00000000,0)</f>
        <v>#VALUE!</v>
      </c>
    </row>
    <row r="9488">
      <c r="A9488" s="11" t="s">
        <v>35</v>
      </c>
      <c r="B9488" s="12">
        <v>1083.1339</v>
      </c>
      <c r="C9488" s="12">
        <v>0</v>
      </c>
      <c r="D9488" s="13">
        <v>0</v>
      </c>
      <c r="E9488" s="12">
        <v>0</v>
      </c>
      <c r="F9488" s="14">
        <v>0</v>
      </c>
      <c r="G9488" s="13">
        <v>13879680.155599998</v>
      </c>
      <c r="H9488" s="14">
        <v>15033552097.687635</v>
      </c>
      <c r="I9488" s="14" t="e">
        <f>=Round(406645.26170000,0)</f>
        <v>#VALUE!</v>
      </c>
      <c r="J9488" s="14" t="e">
        <f>=Round(0.00000000,0)</f>
        <v>#VALUE!</v>
      </c>
    </row>
    <row r="9489">
      <c r="A9489" s="11" t="s">
        <v>36</v>
      </c>
      <c r="B9489" s="12">
        <v>1083.1339</v>
      </c>
      <c r="C9489" s="12">
        <v>0</v>
      </c>
      <c r="D9489" s="13">
        <v>0</v>
      </c>
      <c r="E9489" s="12">
        <v>0</v>
      </c>
      <c r="F9489" s="14">
        <v>0</v>
      </c>
      <c r="G9489" s="13">
        <v>13879680.155599998</v>
      </c>
      <c r="H9489" s="14">
        <v>15033552097.687635</v>
      </c>
      <c r="I9489" s="14" t="e">
        <f>=Round(406645.26170000,0)</f>
        <v>#VALUE!</v>
      </c>
      <c r="J9489" s="14" t="e">
        <f>=Round(0.00000000,0)</f>
        <v>#VALUE!</v>
      </c>
    </row>
    <row r="9490">
      <c r="A9490" s="11" t="s">
        <v>37</v>
      </c>
      <c r="B9490" s="12">
        <v>1083.7331</v>
      </c>
      <c r="C9490" s="12">
        <v>0</v>
      </c>
      <c r="D9490" s="13">
        <v>0</v>
      </c>
      <c r="E9490" s="12">
        <v>0</v>
      </c>
      <c r="F9490" s="14">
        <v>0</v>
      </c>
      <c r="G9490" s="13">
        <v>13879680.155599998</v>
      </c>
      <c r="H9490" s="14">
        <v>15041868802.036869</v>
      </c>
      <c r="I9490" s="14" t="e">
        <f>=Round(406645.26170000,0)</f>
        <v>#VALUE!</v>
      </c>
      <c r="J9490" s="14" t="e">
        <f>=Round(0.00000000,0)</f>
        <v>#VALUE!</v>
      </c>
    </row>
    <row r="9491">
      <c r="A9491" s="11" t="s">
        <v>38</v>
      </c>
      <c r="B9491" s="12">
        <v>1083.6669</v>
      </c>
      <c r="C9491" s="12">
        <v>0</v>
      </c>
      <c r="D9491" s="13">
        <v>0</v>
      </c>
      <c r="E9491" s="12">
        <v>0</v>
      </c>
      <c r="F9491" s="14">
        <v>0</v>
      </c>
      <c r="G9491" s="13">
        <v>13879680.155599998</v>
      </c>
      <c r="H9491" s="14">
        <v>15040949967.210569</v>
      </c>
      <c r="I9491" s="14" t="e">
        <f>=Round(406870.22170000,0)</f>
        <v>#VALUE!</v>
      </c>
      <c r="J9491" s="14" t="e">
        <f>=Round(0.00000000,0)</f>
        <v>#VALUE!</v>
      </c>
    </row>
    <row r="9492">
      <c r="A9492" s="11" t="s">
        <v>39</v>
      </c>
      <c r="B9492" s="12">
        <v>1083.7933</v>
      </c>
      <c r="C9492" s="12">
        <v>0</v>
      </c>
      <c r="D9492" s="13">
        <v>0</v>
      </c>
      <c r="E9492" s="12">
        <v>0</v>
      </c>
      <c r="F9492" s="14">
        <v>0</v>
      </c>
      <c r="G9492" s="13">
        <v>13879680.155599998</v>
      </c>
      <c r="H9492" s="14">
        <v>15042704358.782236</v>
      </c>
      <c r="I9492" s="14" t="e">
        <f>=Round(406845.36800000,0)</f>
        <v>#VALUE!</v>
      </c>
      <c r="J9492" s="14" t="e">
        <f>=Round(0.00000000,0)</f>
        <v>#VALUE!</v>
      </c>
    </row>
    <row r="9493">
      <c r="A9493" s="11" t="s">
        <v>40</v>
      </c>
      <c r="B9493" s="12">
        <v>1084.1299</v>
      </c>
      <c r="C9493" s="12">
        <v>0</v>
      </c>
      <c r="D9493" s="13">
        <v>0</v>
      </c>
      <c r="E9493" s="12">
        <v>0</v>
      </c>
      <c r="F9493" s="14">
        <v>0</v>
      </c>
      <c r="G9493" s="13">
        <v>13879680.155599998</v>
      </c>
      <c r="H9493" s="14">
        <v>15047376259.122612</v>
      </c>
      <c r="I9493" s="14" t="e">
        <f>=Round(406892.82280000,0)</f>
        <v>#VALUE!</v>
      </c>
      <c r="J9493" s="14" t="e">
        <f>=Round(0.00000000,0)</f>
        <v>#VALUE!</v>
      </c>
    </row>
    <row r="9494">
      <c r="A9494" s="11" t="s">
        <v>41</v>
      </c>
      <c r="B9494" s="12">
        <v>1084.2654</v>
      </c>
      <c r="C9494" s="12">
        <v>0</v>
      </c>
      <c r="D9494" s="13">
        <v>0</v>
      </c>
      <c r="E9494" s="12">
        <v>0</v>
      </c>
      <c r="F9494" s="14">
        <v>0</v>
      </c>
      <c r="G9494" s="13">
        <v>13879680.155599998</v>
      </c>
      <c r="H9494" s="14">
        <v>15049256955.783695</v>
      </c>
      <c r="I9494" s="14" t="e">
        <f>=Round(407019.19390000,0)</f>
        <v>#VALUE!</v>
      </c>
      <c r="J9494" s="14" t="e">
        <f>=Round(0.00000000,0)</f>
        <v>#VALUE!</v>
      </c>
    </row>
    <row r="9495">
      <c r="A9495" s="11" t="s">
        <v>42</v>
      </c>
      <c r="B9495" s="12">
        <v>1084.2654</v>
      </c>
      <c r="C9495" s="12">
        <v>0</v>
      </c>
      <c r="D9495" s="13">
        <v>0</v>
      </c>
      <c r="E9495" s="12">
        <v>0</v>
      </c>
      <c r="F9495" s="14">
        <v>0</v>
      </c>
      <c r="G9495" s="13">
        <v>13879680.155599998</v>
      </c>
      <c r="H9495" s="14">
        <v>15049256955.783695</v>
      </c>
      <c r="I9495" s="14" t="e">
        <f>=Round(407070.06520000,0)</f>
        <v>#VALUE!</v>
      </c>
      <c r="J9495" s="14" t="e">
        <f>=Round(0.00000000,0)</f>
        <v>#VALUE!</v>
      </c>
    </row>
    <row r="9496">
      <c r="A9496" s="11" t="s">
        <v>43</v>
      </c>
      <c r="B9496" s="12">
        <v>1084.2654</v>
      </c>
      <c r="C9496" s="12">
        <v>0</v>
      </c>
      <c r="D9496" s="13">
        <v>0</v>
      </c>
      <c r="E9496" s="12">
        <v>0</v>
      </c>
      <c r="F9496" s="14">
        <v>0</v>
      </c>
      <c r="G9496" s="13">
        <v>13879680.155599998</v>
      </c>
      <c r="H9496" s="14">
        <v>15049256955.783695</v>
      </c>
      <c r="I9496" s="14" t="e">
        <f>=Round(407070.06520000,0)</f>
        <v>#VALUE!</v>
      </c>
      <c r="J9496" s="14" t="e">
        <f>=Round(0.00000000,0)</f>
        <v>#VALUE!</v>
      </c>
    </row>
    <row r="9497">
      <c r="A9497" s="11" t="s">
        <v>44</v>
      </c>
      <c r="B9497" s="12">
        <v>1084.5018</v>
      </c>
      <c r="C9497" s="12">
        <v>0</v>
      </c>
      <c r="D9497" s="13">
        <v>0</v>
      </c>
      <c r="E9497" s="12">
        <v>0</v>
      </c>
      <c r="F9497" s="14">
        <v>0</v>
      </c>
      <c r="G9497" s="13">
        <v>13879680.155599998</v>
      </c>
      <c r="H9497" s="14">
        <v>15052538112.17248</v>
      </c>
      <c r="I9497" s="14" t="e">
        <f>=Round(407070.06520000,0)</f>
        <v>#VALUE!</v>
      </c>
      <c r="J9497" s="14" t="e">
        <f>=Round(0.00000000,0)</f>
        <v>#VALUE!</v>
      </c>
    </row>
    <row r="9498">
      <c r="A9498" s="11" t="s">
        <v>45</v>
      </c>
      <c r="B9498" s="12">
        <v>1084.4387</v>
      </c>
      <c r="C9498" s="12">
        <v>0</v>
      </c>
      <c r="D9498" s="13">
        <v>0</v>
      </c>
      <c r="E9498" s="12">
        <v>0</v>
      </c>
      <c r="F9498" s="14">
        <v>0</v>
      </c>
      <c r="G9498" s="13">
        <v>13879680.155599998</v>
      </c>
      <c r="H9498" s="14">
        <v>15051662304.354662</v>
      </c>
      <c r="I9498" s="14" t="e">
        <f>=Round(407158.81780000,0)</f>
        <v>#VALUE!</v>
      </c>
      <c r="J9498" s="14" t="e">
        <f>=Round(0.00000000,0)</f>
        <v>#VALUE!</v>
      </c>
    </row>
    <row r="9499">
      <c r="A9499" s="11" t="s">
        <v>46</v>
      </c>
      <c r="B9499" s="12">
        <v>1084.8629</v>
      </c>
      <c r="C9499" s="12">
        <v>0</v>
      </c>
      <c r="D9499" s="13">
        <v>0</v>
      </c>
      <c r="E9499" s="12">
        <v>0</v>
      </c>
      <c r="F9499" s="14">
        <v>0</v>
      </c>
      <c r="G9499" s="13">
        <v>13879680.155599998</v>
      </c>
      <c r="H9499" s="14">
        <v>15057550064.676668</v>
      </c>
      <c r="I9499" s="14" t="e">
        <f>=Round(407135.12790000,0)</f>
        <v>#VALUE!</v>
      </c>
      <c r="J9499" s="14" t="e">
        <f>=Round(0.00000000,0)</f>
        <v>#VALUE!</v>
      </c>
    </row>
    <row r="9500">
      <c r="A9500" s="11" t="s">
        <v>47</v>
      </c>
      <c r="B9500" s="12">
        <v>1084.9386</v>
      </c>
      <c r="C9500" s="12">
        <v>0</v>
      </c>
      <c r="D9500" s="13">
        <v>0</v>
      </c>
      <c r="E9500" s="12">
        <v>0</v>
      </c>
      <c r="F9500" s="14">
        <v>0</v>
      </c>
      <c r="G9500" s="13">
        <v>13879680.155599998</v>
      </c>
      <c r="H9500" s="14">
        <v>15058600756.464445</v>
      </c>
      <c r="I9500" s="14" t="e">
        <f>=Round(407294.38700000,0)</f>
        <v>#VALUE!</v>
      </c>
      <c r="J9500" s="14" t="e">
        <f>=Round(0.00000000,0)</f>
        <v>#VALUE!</v>
      </c>
    </row>
    <row r="9501">
      <c r="A9501" s="11" t="s">
        <v>48</v>
      </c>
      <c r="B9501" s="12">
        <v>1084.7599</v>
      </c>
      <c r="C9501" s="12">
        <v>0</v>
      </c>
      <c r="D9501" s="13">
        <v>0</v>
      </c>
      <c r="E9501" s="12">
        <v>0</v>
      </c>
      <c r="F9501" s="14">
        <v>0</v>
      </c>
      <c r="G9501" s="13">
        <v>13879680.155599998</v>
      </c>
      <c r="H9501" s="14">
        <v>15056120457.62064</v>
      </c>
      <c r="I9501" s="14" t="e">
        <f>=Round(407322.80730000,0)</f>
        <v>#VALUE!</v>
      </c>
      <c r="J9501" s="14" t="e">
        <f>=Round(0.00000000,0)</f>
        <v>#VALUE!</v>
      </c>
    </row>
    <row r="9502">
      <c r="A9502" s="11" t="s">
        <v>49</v>
      </c>
      <c r="B9502" s="12">
        <v>1084.7599</v>
      </c>
      <c r="C9502" s="12">
        <v>0</v>
      </c>
      <c r="D9502" s="13">
        <v>0</v>
      </c>
      <c r="E9502" s="12">
        <v>0</v>
      </c>
      <c r="F9502" s="14">
        <v>0</v>
      </c>
      <c r="G9502" s="13">
        <v>13879680.155599998</v>
      </c>
      <c r="H9502" s="14">
        <v>15056120457.62064</v>
      </c>
      <c r="I9502" s="14" t="e">
        <f>=Round(407255.71730000,0)</f>
        <v>#VALUE!</v>
      </c>
      <c r="J9502" s="14" t="e">
        <f>=Round(0.00000000,0)</f>
        <v>#VALUE!</v>
      </c>
    </row>
    <row r="9503">
      <c r="A9503" s="11" t="s">
        <v>50</v>
      </c>
      <c r="B9503" s="12">
        <v>1084.7599</v>
      </c>
      <c r="C9503" s="12">
        <v>0</v>
      </c>
      <c r="D9503" s="13">
        <v>0</v>
      </c>
      <c r="E9503" s="12">
        <v>0</v>
      </c>
      <c r="F9503" s="14">
        <v>0</v>
      </c>
      <c r="G9503" s="13">
        <v>13879680.155599998</v>
      </c>
      <c r="H9503" s="14">
        <v>15056120457.62064</v>
      </c>
      <c r="I9503" s="14" t="e">
        <f>=Round(407255.71730000,0)</f>
        <v>#VALUE!</v>
      </c>
      <c r="J9503" s="14" t="e">
        <f>=Round(0.00000000,0)</f>
        <v>#VALUE!</v>
      </c>
    </row>
    <row r="9504">
      <c r="A9504" s="11" t="s">
        <v>51</v>
      </c>
      <c r="B9504" s="12">
        <v>1084.9768</v>
      </c>
      <c r="C9504" s="12">
        <v>0</v>
      </c>
      <c r="D9504" s="13">
        <v>0</v>
      </c>
      <c r="E9504" s="12">
        <v>0</v>
      </c>
      <c r="F9504" s="14">
        <v>0</v>
      </c>
      <c r="G9504" s="13">
        <v>13879680.155599998</v>
      </c>
      <c r="H9504" s="14">
        <v>15059130960.246389</v>
      </c>
      <c r="I9504" s="14" t="e">
        <f>=Round(407255.71730000,0)</f>
        <v>#VALUE!</v>
      </c>
      <c r="J9504" s="14" t="e">
        <f>=Round(0.00000000,0)</f>
        <v>#VALUE!</v>
      </c>
    </row>
    <row r="9505">
      <c r="A9505" s="11" t="s">
        <v>52</v>
      </c>
      <c r="B9505" s="12">
        <v>1084.454</v>
      </c>
      <c r="C9505" s="12">
        <v>0</v>
      </c>
      <c r="D9505" s="13">
        <v>0</v>
      </c>
      <c r="E9505" s="12">
        <v>0</v>
      </c>
      <c r="F9505" s="14">
        <v>0</v>
      </c>
      <c r="G9505" s="13">
        <v>13879680.155599998</v>
      </c>
      <c r="H9505" s="14">
        <v>15051874663.461042</v>
      </c>
      <c r="I9505" s="14" t="e">
        <f>=Round(407337.14890000,0)</f>
        <v>#VALUE!</v>
      </c>
      <c r="J9505" s="14" t="e">
        <f>=Round(0.00000000,0)</f>
        <v>#VALUE!</v>
      </c>
    </row>
    <row r="9506">
      <c r="A9506" s="11" t="s">
        <v>53</v>
      </c>
      <c r="B9506" s="12">
        <v>1084.284</v>
      </c>
      <c r="C9506" s="12">
        <v>0</v>
      </c>
      <c r="D9506" s="13">
        <v>0</v>
      </c>
      <c r="E9506" s="12">
        <v>0</v>
      </c>
      <c r="F9506" s="14">
        <v>0</v>
      </c>
      <c r="G9506" s="13">
        <v>13879680.155599998</v>
      </c>
      <c r="H9506" s="14">
        <v>15049515117.834591</v>
      </c>
      <c r="I9506" s="14" t="e">
        <f>=Round(407140.87200000,0)</f>
        <v>#VALUE!</v>
      </c>
      <c r="J9506" s="14" t="e">
        <f>=Round(0.00000000,0)</f>
        <v>#VALUE!</v>
      </c>
    </row>
    <row r="9507">
      <c r="A9507" s="11" t="s">
        <v>54</v>
      </c>
      <c r="B9507" s="12">
        <v>1083.0114</v>
      </c>
      <c r="C9507" s="12">
        <v>0</v>
      </c>
      <c r="D9507" s="13">
        <v>0</v>
      </c>
      <c r="E9507" s="12">
        <v>0</v>
      </c>
      <c r="F9507" s="14">
        <v>0</v>
      </c>
      <c r="G9507" s="13">
        <v>13879680.155599998</v>
      </c>
      <c r="H9507" s="14">
        <v>15031851836.868574</v>
      </c>
      <c r="I9507" s="14" t="e">
        <f>=Round(407077.04830000,0)</f>
        <v>#VALUE!</v>
      </c>
      <c r="J9507" s="14" t="e">
        <f>=Round(0.00000000,0)</f>
        <v>#VALUE!</v>
      </c>
    </row>
    <row r="9508">
      <c r="A9508" s="11" t="s">
        <v>55</v>
      </c>
      <c r="B9508" s="12">
        <v>1083.4464</v>
      </c>
      <c r="C9508" s="12">
        <v>0</v>
      </c>
      <c r="D9508" s="13">
        <v>0</v>
      </c>
      <c r="E9508" s="12">
        <v>0</v>
      </c>
      <c r="F9508" s="14">
        <v>0</v>
      </c>
      <c r="G9508" s="13">
        <v>13879680.155599998</v>
      </c>
      <c r="H9508" s="14">
        <v>15037889497.73626</v>
      </c>
      <c r="I9508" s="14" t="e">
        <f>=Round(406599.27100000,0)</f>
        <v>#VALUE!</v>
      </c>
      <c r="J9508" s="14" t="e">
        <f>=Round(0.00000000,0)</f>
        <v>#VALUE!</v>
      </c>
    </row>
    <row r="9509" ht="-1">
      <c r="A9509" s="15"/>
      <c r="B9509" s="16" t="s">
        <v>56</v>
      </c>
      <c r="C9509" s="15"/>
      <c r="D9509" s="15"/>
      <c r="E9509" s="15"/>
      <c r="F9509" s="15"/>
      <c r="G9509" s="15"/>
      <c r="H9509" s="15"/>
      <c r="I9509" s="17" t="e">
        <f>=Round(SUM(I9483:I9508),0)</f>
        <v>#VALUE!</v>
      </c>
      <c r="J9509" s="17" t="e">
        <f>=Round(SUM(J9483:J9508),0)</f>
        <v>#VALUE!</v>
      </c>
    </row>
    <row r="9510">
      <c r="A9510" s="1" t="s">
        <v>0</v>
      </c>
      <c r="B9510" s="1"/>
      <c r="C9510" s="1"/>
      <c r="D9510" s="1"/>
    </row>
    <row r="9511">
      <c r="A9511" s="0" t="s">
        <v>1</v>
      </c>
      <c r="C9511" s="0" t="s">
        <v>330</v>
      </c>
      <c r="H9511" s="2" t="s">
        <v>3</v>
      </c>
    </row>
    <row r="9512">
      <c r="A9512" s="0" t="s">
        <v>4</v>
      </c>
      <c r="C9512" s="0" t="s">
        <v>126</v>
      </c>
      <c r="H9512" s="3" t="s">
        <v>6</v>
      </c>
    </row>
    <row r="9513">
      <c r="A9513" s="0" t="s">
        <v>7</v>
      </c>
      <c r="C9513" s="4" t="s">
        <v>11</v>
      </c>
      <c r="H9513" s="2" t="s">
        <v>9</v>
      </c>
    </row>
    <row r="9514">
      <c r="A9514" s="0" t="s">
        <v>10</v>
      </c>
      <c r="C9514" s="4" t="s">
        <v>124</v>
      </c>
      <c r="H9514" s="2" t="s">
        <v>12</v>
      </c>
    </row>
    <row r="9515">
      <c r="A9515" s="0" t="s">
        <v>13</v>
      </c>
      <c r="C9515" s="0" t="s">
        <v>14</v>
      </c>
    </row>
    <row r="9516">
      <c r="A9516" s="0" t="s">
        <v>15</v>
      </c>
      <c r="C9516" s="0" t="s">
        <v>16</v>
      </c>
    </row>
    <row r="9517">
      <c r="A9517" s="0" t="s">
        <v>17</v>
      </c>
      <c r="C9517" s="0" t="s">
        <v>18</v>
      </c>
    </row>
    <row r="9520">
      <c r="A9520" s="5" t="s">
        <v>19</v>
      </c>
      <c r="B9520" s="5" t="s">
        <v>20</v>
      </c>
      <c r="C9520" s="7" t="s">
        <v>21</v>
      </c>
      <c r="D9520" s="9"/>
      <c r="E9520" s="7" t="s">
        <v>22</v>
      </c>
      <c r="F9520" s="9"/>
      <c r="G9520" s="5" t="s">
        <v>23</v>
      </c>
      <c r="H9520" s="5" t="s">
        <v>24</v>
      </c>
      <c r="I9520" s="5" t="s">
        <v>331</v>
      </c>
      <c r="J9520" s="5" t="s">
        <v>125</v>
      </c>
    </row>
    <row r="9521">
      <c r="A9521" s="6"/>
      <c r="B9521" s="6"/>
      <c r="C9521" s="8" t="s">
        <v>27</v>
      </c>
      <c r="D9521" s="8" t="s">
        <v>28</v>
      </c>
      <c r="E9521" s="8" t="s">
        <v>27</v>
      </c>
      <c r="F9521" s="8" t="s">
        <v>28</v>
      </c>
      <c r="G9521" s="6"/>
      <c r="H9521" s="6"/>
      <c r="I9521" s="10" t="s">
        <v>29</v>
      </c>
      <c r="J9521" s="6"/>
    </row>
    <row r="9522">
      <c r="A9522" s="11" t="s">
        <v>30</v>
      </c>
      <c r="B9522" s="12">
        <v>874.863</v>
      </c>
      <c r="C9522" s="12">
        <v>0</v>
      </c>
      <c r="D9522" s="13">
        <v>0</v>
      </c>
      <c r="E9522" s="12">
        <v>0</v>
      </c>
      <c r="F9522" s="14">
        <v>0</v>
      </c>
      <c r="G9522" s="13">
        <v>315098097.5567</v>
      </c>
      <c r="H9522" s="14">
        <v>275667666922.74725</v>
      </c>
      <c r="I9522" s="14" t="e">
        <f>=Round(0.00000000,0)</f>
        <v>#VALUE!</v>
      </c>
      <c r="J9522" s="14" t="e">
        <f>=Round(0.00000000,0)</f>
        <v>#VALUE!</v>
      </c>
    </row>
    <row r="9523">
      <c r="A9523" s="11" t="s">
        <v>31</v>
      </c>
      <c r="B9523" s="12">
        <v>855.7</v>
      </c>
      <c r="C9523" s="12">
        <v>0</v>
      </c>
      <c r="D9523" s="13">
        <v>0</v>
      </c>
      <c r="E9523" s="12">
        <v>0</v>
      </c>
      <c r="F9523" s="14">
        <v>0</v>
      </c>
      <c r="G9523" s="13">
        <v>315098097.5567</v>
      </c>
      <c r="H9523" s="14">
        <v>269629442079.26819</v>
      </c>
      <c r="I9523" s="14" t="e">
        <f>=Round(0.00000000,0)</f>
        <v>#VALUE!</v>
      </c>
      <c r="J9523" s="14" t="e">
        <f>=Round(0.00000000,0)</f>
        <v>#VALUE!</v>
      </c>
    </row>
    <row r="9524">
      <c r="A9524" s="11" t="s">
        <v>32</v>
      </c>
      <c r="B9524" s="12">
        <v>855.95</v>
      </c>
      <c r="C9524" s="12">
        <v>0</v>
      </c>
      <c r="D9524" s="13">
        <v>0</v>
      </c>
      <c r="E9524" s="12">
        <v>0</v>
      </c>
      <c r="F9524" s="14">
        <v>0</v>
      </c>
      <c r="G9524" s="13">
        <v>315098097.5567</v>
      </c>
      <c r="H9524" s="14">
        <v>269708216603.65738</v>
      </c>
      <c r="I9524" s="14" t="e">
        <f>=Round(0.00000000,0)</f>
        <v>#VALUE!</v>
      </c>
      <c r="J9524" s="14" t="e">
        <f>=Round(0.00000000,0)</f>
        <v>#VALUE!</v>
      </c>
    </row>
    <row r="9525">
      <c r="A9525" s="11" t="s">
        <v>33</v>
      </c>
      <c r="B9525" s="12">
        <v>856.2</v>
      </c>
      <c r="C9525" s="12">
        <v>0</v>
      </c>
      <c r="D9525" s="13">
        <v>0</v>
      </c>
      <c r="E9525" s="12">
        <v>0</v>
      </c>
      <c r="F9525" s="14">
        <v>0</v>
      </c>
      <c r="G9525" s="13">
        <v>315098097.5567</v>
      </c>
      <c r="H9525" s="14">
        <v>269786991128.04654</v>
      </c>
      <c r="I9525" s="14" t="e">
        <f>=Round(0.00000000,0)</f>
        <v>#VALUE!</v>
      </c>
      <c r="J9525" s="14" t="e">
        <f>=Round(0.00000000,0)</f>
        <v>#VALUE!</v>
      </c>
    </row>
    <row r="9526">
      <c r="A9526" s="11" t="s">
        <v>34</v>
      </c>
      <c r="B9526" s="12">
        <v>856.451</v>
      </c>
      <c r="C9526" s="12">
        <v>0</v>
      </c>
      <c r="D9526" s="13">
        <v>0</v>
      </c>
      <c r="E9526" s="12">
        <v>0</v>
      </c>
      <c r="F9526" s="14">
        <v>0</v>
      </c>
      <c r="G9526" s="13">
        <v>315098097.5567</v>
      </c>
      <c r="H9526" s="14">
        <v>269866080750.5333</v>
      </c>
      <c r="I9526" s="14" t="e">
        <f>=Round(0.00000000,0)</f>
        <v>#VALUE!</v>
      </c>
      <c r="J9526" s="14" t="e">
        <f>=Round(0.00000000,0)</f>
        <v>#VALUE!</v>
      </c>
    </row>
    <row r="9527">
      <c r="A9527" s="11" t="s">
        <v>35</v>
      </c>
      <c r="B9527" s="12">
        <v>856.451</v>
      </c>
      <c r="C9527" s="12">
        <v>0</v>
      </c>
      <c r="D9527" s="13">
        <v>0</v>
      </c>
      <c r="E9527" s="12">
        <v>0</v>
      </c>
      <c r="F9527" s="14">
        <v>0</v>
      </c>
      <c r="G9527" s="13">
        <v>315098097.5567</v>
      </c>
      <c r="H9527" s="14">
        <v>269866080750.5333</v>
      </c>
      <c r="I9527" s="14" t="e">
        <f>=Round(0.00000000,0)</f>
        <v>#VALUE!</v>
      </c>
      <c r="J9527" s="14" t="e">
        <f>=Round(0.00000000,0)</f>
        <v>#VALUE!</v>
      </c>
    </row>
    <row r="9528">
      <c r="A9528" s="11" t="s">
        <v>36</v>
      </c>
      <c r="B9528" s="12">
        <v>856.451</v>
      </c>
      <c r="C9528" s="12">
        <v>0</v>
      </c>
      <c r="D9528" s="13">
        <v>0</v>
      </c>
      <c r="E9528" s="12">
        <v>0</v>
      </c>
      <c r="F9528" s="14">
        <v>0</v>
      </c>
      <c r="G9528" s="13">
        <v>315098097.5567</v>
      </c>
      <c r="H9528" s="14">
        <v>269866080750.5333</v>
      </c>
      <c r="I9528" s="14" t="e">
        <f>=Round(0.00000000,0)</f>
        <v>#VALUE!</v>
      </c>
      <c r="J9528" s="14" t="e">
        <f>=Round(0.00000000,0)</f>
        <v>#VALUE!</v>
      </c>
    </row>
    <row r="9529">
      <c r="A9529" s="11" t="s">
        <v>37</v>
      </c>
      <c r="B9529" s="12">
        <v>857.201</v>
      </c>
      <c r="C9529" s="12">
        <v>0</v>
      </c>
      <c r="D9529" s="13">
        <v>0</v>
      </c>
      <c r="E9529" s="12">
        <v>0</v>
      </c>
      <c r="F9529" s="14">
        <v>0</v>
      </c>
      <c r="G9529" s="13">
        <v>315098097.5567</v>
      </c>
      <c r="H9529" s="14">
        <v>270102404323.70081</v>
      </c>
      <c r="I9529" s="14" t="e">
        <f>=Round(0.00000000,0)</f>
        <v>#VALUE!</v>
      </c>
      <c r="J9529" s="14" t="e">
        <f>=Round(0.00000000,0)</f>
        <v>#VALUE!</v>
      </c>
    </row>
    <row r="9530">
      <c r="A9530" s="11" t="s">
        <v>38</v>
      </c>
      <c r="B9530" s="12">
        <v>857.451</v>
      </c>
      <c r="C9530" s="12">
        <v>0</v>
      </c>
      <c r="D9530" s="13">
        <v>0</v>
      </c>
      <c r="E9530" s="12">
        <v>0</v>
      </c>
      <c r="F9530" s="14">
        <v>0</v>
      </c>
      <c r="G9530" s="13">
        <v>315098097.5567</v>
      </c>
      <c r="H9530" s="14">
        <v>270181178848.09</v>
      </c>
      <c r="I9530" s="14" t="e">
        <f>=Round(0.00000000,0)</f>
        <v>#VALUE!</v>
      </c>
      <c r="J9530" s="14" t="e">
        <f>=Round(0.00000000,0)</f>
        <v>#VALUE!</v>
      </c>
    </row>
    <row r="9531">
      <c r="A9531" s="11" t="s">
        <v>39</v>
      </c>
      <c r="B9531" s="12">
        <v>857.697</v>
      </c>
      <c r="C9531" s="12">
        <v>0</v>
      </c>
      <c r="D9531" s="13">
        <v>0</v>
      </c>
      <c r="E9531" s="12">
        <v>0</v>
      </c>
      <c r="F9531" s="14">
        <v>0</v>
      </c>
      <c r="G9531" s="13">
        <v>315098097.5567</v>
      </c>
      <c r="H9531" s="14">
        <v>270258692980.08893</v>
      </c>
      <c r="I9531" s="14" t="e">
        <f>=Round(0.00000000,0)</f>
        <v>#VALUE!</v>
      </c>
      <c r="J9531" s="14" t="e">
        <f>=Round(0.00000000,0)</f>
        <v>#VALUE!</v>
      </c>
    </row>
    <row r="9532">
      <c r="A9532" s="11" t="s">
        <v>40</v>
      </c>
      <c r="B9532" s="12">
        <v>857.947</v>
      </c>
      <c r="C9532" s="12">
        <v>0</v>
      </c>
      <c r="D9532" s="13">
        <v>0</v>
      </c>
      <c r="E9532" s="12">
        <v>0</v>
      </c>
      <c r="F9532" s="14">
        <v>0</v>
      </c>
      <c r="G9532" s="13">
        <v>315098097.5567</v>
      </c>
      <c r="H9532" s="14">
        <v>270337467504.47809</v>
      </c>
      <c r="I9532" s="14" t="e">
        <f>=Round(0.00000000,0)</f>
        <v>#VALUE!</v>
      </c>
      <c r="J9532" s="14" t="e">
        <f>=Round(0.00000000,0)</f>
        <v>#VALUE!</v>
      </c>
    </row>
    <row r="9533">
      <c r="A9533" s="11" t="s">
        <v>41</v>
      </c>
      <c r="B9533" s="12">
        <v>858.197</v>
      </c>
      <c r="C9533" s="12">
        <v>0</v>
      </c>
      <c r="D9533" s="13">
        <v>0</v>
      </c>
      <c r="E9533" s="12">
        <v>0</v>
      </c>
      <c r="F9533" s="14">
        <v>0</v>
      </c>
      <c r="G9533" s="13">
        <v>315098097.5567</v>
      </c>
      <c r="H9533" s="14">
        <v>270416242028.86728</v>
      </c>
      <c r="I9533" s="14" t="e">
        <f>=Round(0.00000000,0)</f>
        <v>#VALUE!</v>
      </c>
      <c r="J9533" s="14" t="e">
        <f>=Round(0.00000000,0)</f>
        <v>#VALUE!</v>
      </c>
    </row>
    <row r="9534">
      <c r="A9534" s="11" t="s">
        <v>42</v>
      </c>
      <c r="B9534" s="12">
        <v>858.197</v>
      </c>
      <c r="C9534" s="12">
        <v>0</v>
      </c>
      <c r="D9534" s="13">
        <v>0</v>
      </c>
      <c r="E9534" s="12">
        <v>0</v>
      </c>
      <c r="F9534" s="14">
        <v>0</v>
      </c>
      <c r="G9534" s="13">
        <v>315098097.5567</v>
      </c>
      <c r="H9534" s="14">
        <v>270416242028.86728</v>
      </c>
      <c r="I9534" s="14" t="e">
        <f>=Round(0.00000000,0)</f>
        <v>#VALUE!</v>
      </c>
      <c r="J9534" s="14" t="e">
        <f>=Round(0.00000000,0)</f>
        <v>#VALUE!</v>
      </c>
    </row>
    <row r="9535">
      <c r="A9535" s="11" t="s">
        <v>43</v>
      </c>
      <c r="B9535" s="12">
        <v>858.197</v>
      </c>
      <c r="C9535" s="12">
        <v>0</v>
      </c>
      <c r="D9535" s="13">
        <v>0</v>
      </c>
      <c r="E9535" s="12">
        <v>0</v>
      </c>
      <c r="F9535" s="14">
        <v>0</v>
      </c>
      <c r="G9535" s="13">
        <v>315098097.5567</v>
      </c>
      <c r="H9535" s="14">
        <v>270416242028.86728</v>
      </c>
      <c r="I9535" s="14" t="e">
        <f>=Round(0.00000000,0)</f>
        <v>#VALUE!</v>
      </c>
      <c r="J9535" s="14" t="e">
        <f>=Round(0.00000000,0)</f>
        <v>#VALUE!</v>
      </c>
    </row>
    <row r="9536">
      <c r="A9536" s="11" t="s">
        <v>44</v>
      </c>
      <c r="B9536" s="12">
        <v>858.931</v>
      </c>
      <c r="C9536" s="12">
        <v>0</v>
      </c>
      <c r="D9536" s="13">
        <v>0</v>
      </c>
      <c r="E9536" s="12">
        <v>0</v>
      </c>
      <c r="F9536" s="14">
        <v>0</v>
      </c>
      <c r="G9536" s="13">
        <v>315098097.5567</v>
      </c>
      <c r="H9536" s="14">
        <v>270647524032.47388</v>
      </c>
      <c r="I9536" s="14" t="e">
        <f>=Round(0.00000000,0)</f>
        <v>#VALUE!</v>
      </c>
      <c r="J9536" s="14" t="e">
        <f>=Round(0.00000000,0)</f>
        <v>#VALUE!</v>
      </c>
    </row>
    <row r="9537">
      <c r="A9537" s="11" t="s">
        <v>45</v>
      </c>
      <c r="B9537" s="12">
        <v>859.181</v>
      </c>
      <c r="C9537" s="12">
        <v>0</v>
      </c>
      <c r="D9537" s="13">
        <v>0</v>
      </c>
      <c r="E9537" s="12">
        <v>0</v>
      </c>
      <c r="F9537" s="14">
        <v>0</v>
      </c>
      <c r="G9537" s="13">
        <v>315098097.5567</v>
      </c>
      <c r="H9537" s="14">
        <v>270726298556.86307</v>
      </c>
      <c r="I9537" s="14" t="e">
        <f>=Round(0.00000000,0)</f>
        <v>#VALUE!</v>
      </c>
      <c r="J9537" s="14" t="e">
        <f>=Round(0.00000000,0)</f>
        <v>#VALUE!</v>
      </c>
    </row>
    <row r="9538">
      <c r="A9538" s="11" t="s">
        <v>46</v>
      </c>
      <c r="B9538" s="12">
        <v>859.432</v>
      </c>
      <c r="C9538" s="12">
        <v>0</v>
      </c>
      <c r="D9538" s="13">
        <v>0</v>
      </c>
      <c r="E9538" s="12">
        <v>0</v>
      </c>
      <c r="F9538" s="14">
        <v>0</v>
      </c>
      <c r="G9538" s="13">
        <v>315098097.5567</v>
      </c>
      <c r="H9538" s="14">
        <v>270805388179.34979</v>
      </c>
      <c r="I9538" s="14" t="e">
        <f>=Round(0.00000000,0)</f>
        <v>#VALUE!</v>
      </c>
      <c r="J9538" s="14" t="e">
        <f>=Round(0.00000000,0)</f>
        <v>#VALUE!</v>
      </c>
    </row>
    <row r="9539">
      <c r="A9539" s="11" t="s">
        <v>47</v>
      </c>
      <c r="B9539" s="12">
        <v>859.682</v>
      </c>
      <c r="C9539" s="12">
        <v>0</v>
      </c>
      <c r="D9539" s="13">
        <v>0</v>
      </c>
      <c r="E9539" s="12">
        <v>0</v>
      </c>
      <c r="F9539" s="14">
        <v>0</v>
      </c>
      <c r="G9539" s="13">
        <v>315098097.5567</v>
      </c>
      <c r="H9539" s="14">
        <v>270884162703.73898</v>
      </c>
      <c r="I9539" s="14" t="e">
        <f>=Round(0.00000000,0)</f>
        <v>#VALUE!</v>
      </c>
      <c r="J9539" s="14" t="e">
        <f>=Round(0.00000000,0)</f>
        <v>#VALUE!</v>
      </c>
    </row>
    <row r="9540">
      <c r="A9540" s="11" t="s">
        <v>48</v>
      </c>
      <c r="B9540" s="12">
        <v>859.932</v>
      </c>
      <c r="C9540" s="12">
        <v>0</v>
      </c>
      <c r="D9540" s="13">
        <v>0</v>
      </c>
      <c r="E9540" s="12">
        <v>0</v>
      </c>
      <c r="F9540" s="14">
        <v>0</v>
      </c>
      <c r="G9540" s="13">
        <v>315098097.5567</v>
      </c>
      <c r="H9540" s="14">
        <v>270962937228.12811</v>
      </c>
      <c r="I9540" s="14" t="e">
        <f>=Round(0.00000000,0)</f>
        <v>#VALUE!</v>
      </c>
      <c r="J9540" s="14" t="e">
        <f>=Round(0.00000000,0)</f>
        <v>#VALUE!</v>
      </c>
    </row>
    <row r="9541">
      <c r="A9541" s="11" t="s">
        <v>49</v>
      </c>
      <c r="B9541" s="12">
        <v>859.932</v>
      </c>
      <c r="C9541" s="12">
        <v>0</v>
      </c>
      <c r="D9541" s="13">
        <v>0</v>
      </c>
      <c r="E9541" s="12">
        <v>0</v>
      </c>
      <c r="F9541" s="14">
        <v>0</v>
      </c>
      <c r="G9541" s="13">
        <v>315098097.5567</v>
      </c>
      <c r="H9541" s="14">
        <v>270962937228.12811</v>
      </c>
      <c r="I9541" s="14" t="e">
        <f>=Round(0.00000000,0)</f>
        <v>#VALUE!</v>
      </c>
      <c r="J9541" s="14" t="e">
        <f>=Round(0.00000000,0)</f>
        <v>#VALUE!</v>
      </c>
    </row>
    <row r="9542">
      <c r="A9542" s="11" t="s">
        <v>50</v>
      </c>
      <c r="B9542" s="12">
        <v>859.932</v>
      </c>
      <c r="C9542" s="12">
        <v>0</v>
      </c>
      <c r="D9542" s="13">
        <v>0</v>
      </c>
      <c r="E9542" s="12">
        <v>0</v>
      </c>
      <c r="F9542" s="14">
        <v>0</v>
      </c>
      <c r="G9542" s="13">
        <v>315098097.5567</v>
      </c>
      <c r="H9542" s="14">
        <v>270962937228.12811</v>
      </c>
      <c r="I9542" s="14" t="e">
        <f>=Round(0.00000000,0)</f>
        <v>#VALUE!</v>
      </c>
      <c r="J9542" s="14" t="e">
        <f>=Round(0.00000000,0)</f>
        <v>#VALUE!</v>
      </c>
    </row>
    <row r="9543">
      <c r="A9543" s="11" t="s">
        <v>51</v>
      </c>
      <c r="B9543" s="12">
        <v>860.682</v>
      </c>
      <c r="C9543" s="12">
        <v>0</v>
      </c>
      <c r="D9543" s="13">
        <v>0</v>
      </c>
      <c r="E9543" s="12">
        <v>0</v>
      </c>
      <c r="F9543" s="14">
        <v>0</v>
      </c>
      <c r="G9543" s="13">
        <v>315098097.5567</v>
      </c>
      <c r="H9543" s="14">
        <v>271199260801.29569</v>
      </c>
      <c r="I9543" s="14" t="e">
        <f>=Round(0.00000000,0)</f>
        <v>#VALUE!</v>
      </c>
      <c r="J9543" s="14" t="e">
        <f>=Round(0.00000000,0)</f>
        <v>#VALUE!</v>
      </c>
    </row>
    <row r="9544">
      <c r="A9544" s="11" t="s">
        <v>52</v>
      </c>
      <c r="B9544" s="12">
        <v>860.933</v>
      </c>
      <c r="C9544" s="12">
        <v>0</v>
      </c>
      <c r="D9544" s="13">
        <v>0</v>
      </c>
      <c r="E9544" s="12">
        <v>0</v>
      </c>
      <c r="F9544" s="14">
        <v>0</v>
      </c>
      <c r="G9544" s="13">
        <v>315098097.5567</v>
      </c>
      <c r="H9544" s="14">
        <v>271278350423.78241</v>
      </c>
      <c r="I9544" s="14" t="e">
        <f>=Round(0.00000000,0)</f>
        <v>#VALUE!</v>
      </c>
      <c r="J9544" s="14" t="e">
        <f>=Round(0.00000000,0)</f>
        <v>#VALUE!</v>
      </c>
    </row>
    <row r="9545">
      <c r="A9545" s="11" t="s">
        <v>53</v>
      </c>
      <c r="B9545" s="12">
        <v>861.183</v>
      </c>
      <c r="C9545" s="12">
        <v>0</v>
      </c>
      <c r="D9545" s="13">
        <v>0</v>
      </c>
      <c r="E9545" s="12">
        <v>0</v>
      </c>
      <c r="F9545" s="14">
        <v>0</v>
      </c>
      <c r="G9545" s="13">
        <v>315098097.5567</v>
      </c>
      <c r="H9545" s="14">
        <v>271357124948.17157</v>
      </c>
      <c r="I9545" s="14" t="e">
        <f>=Round(0.00000000,0)</f>
        <v>#VALUE!</v>
      </c>
      <c r="J9545" s="14" t="e">
        <f>=Round(0.00000000,0)</f>
        <v>#VALUE!</v>
      </c>
    </row>
    <row r="9546">
      <c r="A9546" s="11" t="s">
        <v>54</v>
      </c>
      <c r="B9546" s="12">
        <v>861.433</v>
      </c>
      <c r="C9546" s="12">
        <v>0</v>
      </c>
      <c r="D9546" s="13">
        <v>0</v>
      </c>
      <c r="E9546" s="12">
        <v>0</v>
      </c>
      <c r="F9546" s="14">
        <v>0</v>
      </c>
      <c r="G9546" s="13">
        <v>315098097.5567</v>
      </c>
      <c r="H9546" s="14">
        <v>271435899472.56073</v>
      </c>
      <c r="I9546" s="14" t="e">
        <f>=Round(0.00000000,0)</f>
        <v>#VALUE!</v>
      </c>
      <c r="J9546" s="14" t="e">
        <f>=Round(0.00000000,0)</f>
        <v>#VALUE!</v>
      </c>
    </row>
    <row r="9547">
      <c r="A9547" s="11" t="s">
        <v>55</v>
      </c>
      <c r="B9547" s="12">
        <v>861.683</v>
      </c>
      <c r="C9547" s="12">
        <v>0</v>
      </c>
      <c r="D9547" s="13">
        <v>0</v>
      </c>
      <c r="E9547" s="12">
        <v>0</v>
      </c>
      <c r="F9547" s="14">
        <v>0</v>
      </c>
      <c r="G9547" s="13">
        <v>315098097.5567</v>
      </c>
      <c r="H9547" s="14">
        <v>271514673996.94992</v>
      </c>
      <c r="I9547" s="14" t="e">
        <f>=Round(0.00000000,0)</f>
        <v>#VALUE!</v>
      </c>
      <c r="J9547" s="14" t="e">
        <f>=Round(0.00000000,0)</f>
        <v>#VALUE!</v>
      </c>
    </row>
    <row r="9548" ht="-1">
      <c r="A9548" s="15"/>
      <c r="B9548" s="16" t="s">
        <v>56</v>
      </c>
      <c r="C9548" s="15"/>
      <c r="D9548" s="15"/>
      <c r="E9548" s="15"/>
      <c r="F9548" s="15"/>
      <c r="G9548" s="15"/>
      <c r="H9548" s="15"/>
      <c r="I9548" s="17" t="e">
        <f>=Round(SUM(I9522:I9547),0)</f>
        <v>#VALUE!</v>
      </c>
      <c r="J9548" s="17" t="e">
        <f>=Round(SUM(J9522:J9547),0)</f>
        <v>#VALUE!</v>
      </c>
    </row>
    <row r="9549">
      <c r="A9549" s="1" t="s">
        <v>0</v>
      </c>
      <c r="B9549" s="1"/>
      <c r="C9549" s="1"/>
      <c r="D9549" s="1"/>
    </row>
    <row r="9550">
      <c r="A9550" s="0" t="s">
        <v>1</v>
      </c>
      <c r="C9550" s="0" t="s">
        <v>332</v>
      </c>
      <c r="H9550" s="2" t="s">
        <v>3</v>
      </c>
    </row>
    <row r="9551">
      <c r="A9551" s="0" t="s">
        <v>4</v>
      </c>
      <c r="C9551" s="0" t="s">
        <v>126</v>
      </c>
      <c r="H9551" s="3" t="s">
        <v>6</v>
      </c>
    </row>
    <row r="9552">
      <c r="A9552" s="0" t="s">
        <v>7</v>
      </c>
      <c r="C9552" s="4" t="s">
        <v>11</v>
      </c>
      <c r="H9552" s="2" t="s">
        <v>9</v>
      </c>
    </row>
    <row r="9553">
      <c r="A9553" s="0" t="s">
        <v>10</v>
      </c>
      <c r="C9553" s="4" t="s">
        <v>124</v>
      </c>
      <c r="H9553" s="2" t="s">
        <v>12</v>
      </c>
    </row>
    <row r="9554">
      <c r="A9554" s="0" t="s">
        <v>13</v>
      </c>
      <c r="C9554" s="0" t="s">
        <v>14</v>
      </c>
    </row>
    <row r="9555">
      <c r="A9555" s="0" t="s">
        <v>15</v>
      </c>
      <c r="C9555" s="0" t="s">
        <v>16</v>
      </c>
    </row>
    <row r="9556">
      <c r="A9556" s="0" t="s">
        <v>17</v>
      </c>
      <c r="C9556" s="0" t="s">
        <v>18</v>
      </c>
    </row>
    <row r="9559">
      <c r="A9559" s="5" t="s">
        <v>19</v>
      </c>
      <c r="B9559" s="5" t="s">
        <v>20</v>
      </c>
      <c r="C9559" s="7" t="s">
        <v>21</v>
      </c>
      <c r="D9559" s="9"/>
      <c r="E9559" s="7" t="s">
        <v>22</v>
      </c>
      <c r="F9559" s="9"/>
      <c r="G9559" s="5" t="s">
        <v>23</v>
      </c>
      <c r="H9559" s="5" t="s">
        <v>24</v>
      </c>
      <c r="I9559" s="5" t="s">
        <v>331</v>
      </c>
      <c r="J9559" s="5" t="s">
        <v>125</v>
      </c>
    </row>
    <row r="9560">
      <c r="A9560" s="6"/>
      <c r="B9560" s="6"/>
      <c r="C9560" s="8" t="s">
        <v>27</v>
      </c>
      <c r="D9560" s="8" t="s">
        <v>28</v>
      </c>
      <c r="E9560" s="8" t="s">
        <v>27</v>
      </c>
      <c r="F9560" s="8" t="s">
        <v>28</v>
      </c>
      <c r="G9560" s="6"/>
      <c r="H9560" s="6"/>
      <c r="I9560" s="10" t="s">
        <v>29</v>
      </c>
      <c r="J9560" s="6"/>
    </row>
    <row r="9561">
      <c r="A9561" s="11" t="s">
        <v>30</v>
      </c>
      <c r="B9561" s="12">
        <v>1012.522</v>
      </c>
      <c r="C9561" s="12">
        <v>0</v>
      </c>
      <c r="D9561" s="13">
        <v>0</v>
      </c>
      <c r="E9561" s="12">
        <v>0</v>
      </c>
      <c r="F9561" s="14">
        <v>0</v>
      </c>
      <c r="G9561" s="13">
        <v>134850000</v>
      </c>
      <c r="H9561" s="14">
        <v>136538591700</v>
      </c>
      <c r="I9561" s="14" t="e">
        <f>=Round(0.00000000,0)</f>
        <v>#VALUE!</v>
      </c>
      <c r="J9561" s="14" t="e">
        <f>=Round(0.00000000,0)</f>
        <v>#VALUE!</v>
      </c>
    </row>
    <row r="9562">
      <c r="A9562" s="11" t="s">
        <v>31</v>
      </c>
      <c r="B9562" s="12">
        <v>1012.975</v>
      </c>
      <c r="C9562" s="12">
        <v>0</v>
      </c>
      <c r="D9562" s="13">
        <v>0</v>
      </c>
      <c r="E9562" s="12">
        <v>0</v>
      </c>
      <c r="F9562" s="14">
        <v>0</v>
      </c>
      <c r="G9562" s="13">
        <v>134850000</v>
      </c>
      <c r="H9562" s="14">
        <v>136599678750</v>
      </c>
      <c r="I9562" s="14" t="e">
        <f>=Round(0.00000000,0)</f>
        <v>#VALUE!</v>
      </c>
      <c r="J9562" s="14" t="e">
        <f>=Round(0.00000000,0)</f>
        <v>#VALUE!</v>
      </c>
    </row>
    <row r="9563">
      <c r="A9563" s="11" t="s">
        <v>32</v>
      </c>
      <c r="B9563" s="12">
        <v>1013.391</v>
      </c>
      <c r="C9563" s="12">
        <v>0</v>
      </c>
      <c r="D9563" s="13">
        <v>0</v>
      </c>
      <c r="E9563" s="12">
        <v>0</v>
      </c>
      <c r="F9563" s="14">
        <v>0</v>
      </c>
      <c r="G9563" s="13">
        <v>134850000</v>
      </c>
      <c r="H9563" s="14">
        <v>136655776350</v>
      </c>
      <c r="I9563" s="14" t="e">
        <f>=Round(0.00000000,0)</f>
        <v>#VALUE!</v>
      </c>
      <c r="J9563" s="14" t="e">
        <f>=Round(0.00000000,0)</f>
        <v>#VALUE!</v>
      </c>
    </row>
    <row r="9564">
      <c r="A9564" s="11" t="s">
        <v>33</v>
      </c>
      <c r="B9564" s="12">
        <v>1013.895</v>
      </c>
      <c r="C9564" s="12">
        <v>0</v>
      </c>
      <c r="D9564" s="13">
        <v>0</v>
      </c>
      <c r="E9564" s="12">
        <v>0</v>
      </c>
      <c r="F9564" s="14">
        <v>0</v>
      </c>
      <c r="G9564" s="13">
        <v>134850000</v>
      </c>
      <c r="H9564" s="14">
        <v>136723740750</v>
      </c>
      <c r="I9564" s="14" t="e">
        <f>=Round(0.00000000,0)</f>
        <v>#VALUE!</v>
      </c>
      <c r="J9564" s="14" t="e">
        <f>=Round(0.00000000,0)</f>
        <v>#VALUE!</v>
      </c>
    </row>
    <row r="9565">
      <c r="A9565" s="11" t="s">
        <v>34</v>
      </c>
      <c r="B9565" s="12">
        <v>1014.047</v>
      </c>
      <c r="C9565" s="12">
        <v>0</v>
      </c>
      <c r="D9565" s="13">
        <v>0</v>
      </c>
      <c r="E9565" s="12">
        <v>0</v>
      </c>
      <c r="F9565" s="14">
        <v>0</v>
      </c>
      <c r="G9565" s="13">
        <v>134850000</v>
      </c>
      <c r="H9565" s="14">
        <v>136744237950</v>
      </c>
      <c r="I9565" s="14" t="e">
        <f>=Round(0.00000000,0)</f>
        <v>#VALUE!</v>
      </c>
      <c r="J9565" s="14" t="e">
        <f>=Round(0.00000000,0)</f>
        <v>#VALUE!</v>
      </c>
    </row>
    <row r="9566">
      <c r="A9566" s="11" t="s">
        <v>35</v>
      </c>
      <c r="B9566" s="12">
        <v>1014.047</v>
      </c>
      <c r="C9566" s="12">
        <v>0</v>
      </c>
      <c r="D9566" s="13">
        <v>0</v>
      </c>
      <c r="E9566" s="12">
        <v>0</v>
      </c>
      <c r="F9566" s="14">
        <v>0</v>
      </c>
      <c r="G9566" s="13">
        <v>134850000</v>
      </c>
      <c r="H9566" s="14">
        <v>136744237950</v>
      </c>
      <c r="I9566" s="14" t="e">
        <f>=Round(0.00000000,0)</f>
        <v>#VALUE!</v>
      </c>
      <c r="J9566" s="14" t="e">
        <f>=Round(0.00000000,0)</f>
        <v>#VALUE!</v>
      </c>
    </row>
    <row r="9567">
      <c r="A9567" s="11" t="s">
        <v>36</v>
      </c>
      <c r="B9567" s="12">
        <v>1014.047</v>
      </c>
      <c r="C9567" s="12">
        <v>0</v>
      </c>
      <c r="D9567" s="13">
        <v>0</v>
      </c>
      <c r="E9567" s="12">
        <v>0</v>
      </c>
      <c r="F9567" s="14">
        <v>0</v>
      </c>
      <c r="G9567" s="13">
        <v>134850000</v>
      </c>
      <c r="H9567" s="14">
        <v>136744237950</v>
      </c>
      <c r="I9567" s="14" t="e">
        <f>=Round(0.00000000,0)</f>
        <v>#VALUE!</v>
      </c>
      <c r="J9567" s="14" t="e">
        <f>=Round(0.00000000,0)</f>
        <v>#VALUE!</v>
      </c>
    </row>
    <row r="9568">
      <c r="A9568" s="11" t="s">
        <v>37</v>
      </c>
      <c r="B9568" s="12">
        <v>1014.827</v>
      </c>
      <c r="C9568" s="12">
        <v>0</v>
      </c>
      <c r="D9568" s="13">
        <v>0</v>
      </c>
      <c r="E9568" s="12">
        <v>0</v>
      </c>
      <c r="F9568" s="14">
        <v>0</v>
      </c>
      <c r="G9568" s="13">
        <v>134850000</v>
      </c>
      <c r="H9568" s="14">
        <v>136849420950</v>
      </c>
      <c r="I9568" s="14" t="e">
        <f>=Round(0.00000000,0)</f>
        <v>#VALUE!</v>
      </c>
      <c r="J9568" s="14" t="e">
        <f>=Round(0.00000000,0)</f>
        <v>#VALUE!</v>
      </c>
    </row>
    <row r="9569">
      <c r="A9569" s="11" t="s">
        <v>38</v>
      </c>
      <c r="B9569" s="12">
        <v>1015.172</v>
      </c>
      <c r="C9569" s="12">
        <v>0</v>
      </c>
      <c r="D9569" s="13">
        <v>0</v>
      </c>
      <c r="E9569" s="12">
        <v>0</v>
      </c>
      <c r="F9569" s="14">
        <v>0</v>
      </c>
      <c r="G9569" s="13">
        <v>134850000</v>
      </c>
      <c r="H9569" s="14">
        <v>136895944200</v>
      </c>
      <c r="I9569" s="14" t="e">
        <f>=Round(0.00000000,0)</f>
        <v>#VALUE!</v>
      </c>
      <c r="J9569" s="14" t="e">
        <f>=Round(0.00000000,0)</f>
        <v>#VALUE!</v>
      </c>
    </row>
    <row r="9570">
      <c r="A9570" s="11" t="s">
        <v>39</v>
      </c>
      <c r="B9570" s="12">
        <v>1015.696</v>
      </c>
      <c r="C9570" s="12">
        <v>0</v>
      </c>
      <c r="D9570" s="13">
        <v>0</v>
      </c>
      <c r="E9570" s="12">
        <v>0</v>
      </c>
      <c r="F9570" s="14">
        <v>0</v>
      </c>
      <c r="G9570" s="13">
        <v>134850000</v>
      </c>
      <c r="H9570" s="14">
        <v>136966605600</v>
      </c>
      <c r="I9570" s="14" t="e">
        <f>=Round(0.00000000,0)</f>
        <v>#VALUE!</v>
      </c>
      <c r="J9570" s="14" t="e">
        <f>=Round(0.00000000,0)</f>
        <v>#VALUE!</v>
      </c>
    </row>
    <row r="9571">
      <c r="A9571" s="11" t="s">
        <v>40</v>
      </c>
      <c r="B9571" s="12">
        <v>1015.998</v>
      </c>
      <c r="C9571" s="12">
        <v>0</v>
      </c>
      <c r="D9571" s="13">
        <v>0</v>
      </c>
      <c r="E9571" s="12">
        <v>0</v>
      </c>
      <c r="F9571" s="14">
        <v>0</v>
      </c>
      <c r="G9571" s="13">
        <v>134850000</v>
      </c>
      <c r="H9571" s="14">
        <v>137007330300</v>
      </c>
      <c r="I9571" s="14" t="e">
        <f>=Round(0.00000000,0)</f>
        <v>#VALUE!</v>
      </c>
      <c r="J9571" s="14" t="e">
        <f>=Round(0.00000000,0)</f>
        <v>#VALUE!</v>
      </c>
    </row>
    <row r="9572">
      <c r="A9572" s="11" t="s">
        <v>41</v>
      </c>
      <c r="B9572" s="12">
        <v>1016.427</v>
      </c>
      <c r="C9572" s="12">
        <v>0</v>
      </c>
      <c r="D9572" s="13">
        <v>0</v>
      </c>
      <c r="E9572" s="12">
        <v>0</v>
      </c>
      <c r="F9572" s="14">
        <v>0</v>
      </c>
      <c r="G9572" s="13">
        <v>134850000</v>
      </c>
      <c r="H9572" s="14">
        <v>137065180950</v>
      </c>
      <c r="I9572" s="14" t="e">
        <f>=Round(0.00000000,0)</f>
        <v>#VALUE!</v>
      </c>
      <c r="J9572" s="14" t="e">
        <f>=Round(0.00000000,0)</f>
        <v>#VALUE!</v>
      </c>
    </row>
    <row r="9573">
      <c r="A9573" s="11" t="s">
        <v>42</v>
      </c>
      <c r="B9573" s="12">
        <v>1016.427</v>
      </c>
      <c r="C9573" s="12">
        <v>0</v>
      </c>
      <c r="D9573" s="13">
        <v>0</v>
      </c>
      <c r="E9573" s="12">
        <v>0</v>
      </c>
      <c r="F9573" s="14">
        <v>0</v>
      </c>
      <c r="G9573" s="13">
        <v>134850000</v>
      </c>
      <c r="H9573" s="14">
        <v>137065180950</v>
      </c>
      <c r="I9573" s="14" t="e">
        <f>=Round(0.00000000,0)</f>
        <v>#VALUE!</v>
      </c>
      <c r="J9573" s="14" t="e">
        <f>=Round(0.00000000,0)</f>
        <v>#VALUE!</v>
      </c>
    </row>
    <row r="9574">
      <c r="A9574" s="11" t="s">
        <v>43</v>
      </c>
      <c r="B9574" s="12">
        <v>1016.427</v>
      </c>
      <c r="C9574" s="12">
        <v>0</v>
      </c>
      <c r="D9574" s="13">
        <v>0</v>
      </c>
      <c r="E9574" s="12">
        <v>0</v>
      </c>
      <c r="F9574" s="14">
        <v>0</v>
      </c>
      <c r="G9574" s="13">
        <v>134850000</v>
      </c>
      <c r="H9574" s="14">
        <v>137065180950</v>
      </c>
      <c r="I9574" s="14" t="e">
        <f>=Round(0.00000000,0)</f>
        <v>#VALUE!</v>
      </c>
      <c r="J9574" s="14" t="e">
        <f>=Round(0.00000000,0)</f>
        <v>#VALUE!</v>
      </c>
    </row>
    <row r="9575">
      <c r="A9575" s="11" t="s">
        <v>44</v>
      </c>
      <c r="B9575" s="12">
        <v>1017.23</v>
      </c>
      <c r="C9575" s="12">
        <v>0</v>
      </c>
      <c r="D9575" s="13">
        <v>0</v>
      </c>
      <c r="E9575" s="12">
        <v>0</v>
      </c>
      <c r="F9575" s="14">
        <v>0</v>
      </c>
      <c r="G9575" s="13">
        <v>134850000</v>
      </c>
      <c r="H9575" s="14">
        <v>137173465500</v>
      </c>
      <c r="I9575" s="14" t="e">
        <f>=Round(0.00000000,0)</f>
        <v>#VALUE!</v>
      </c>
      <c r="J9575" s="14" t="e">
        <f>=Round(0.00000000,0)</f>
        <v>#VALUE!</v>
      </c>
    </row>
    <row r="9576">
      <c r="A9576" s="11" t="s">
        <v>45</v>
      </c>
      <c r="B9576" s="12">
        <v>1017.576</v>
      </c>
      <c r="C9576" s="12">
        <v>0</v>
      </c>
      <c r="D9576" s="13">
        <v>0</v>
      </c>
      <c r="E9576" s="12">
        <v>0</v>
      </c>
      <c r="F9576" s="14">
        <v>0</v>
      </c>
      <c r="G9576" s="13">
        <v>134850000</v>
      </c>
      <c r="H9576" s="14">
        <v>137220123600</v>
      </c>
      <c r="I9576" s="14" t="e">
        <f>=Round(0.00000000,0)</f>
        <v>#VALUE!</v>
      </c>
      <c r="J9576" s="14" t="e">
        <f>=Round(0.00000000,0)</f>
        <v>#VALUE!</v>
      </c>
    </row>
    <row r="9577">
      <c r="A9577" s="11" t="s">
        <v>46</v>
      </c>
      <c r="B9577" s="12">
        <v>1017.975</v>
      </c>
      <c r="C9577" s="12">
        <v>0</v>
      </c>
      <c r="D9577" s="13">
        <v>0</v>
      </c>
      <c r="E9577" s="12">
        <v>0</v>
      </c>
      <c r="F9577" s="14">
        <v>0</v>
      </c>
      <c r="G9577" s="13">
        <v>134850000</v>
      </c>
      <c r="H9577" s="14">
        <v>137273928750</v>
      </c>
      <c r="I9577" s="14" t="e">
        <f>=Round(0.00000000,0)</f>
        <v>#VALUE!</v>
      </c>
      <c r="J9577" s="14" t="e">
        <f>=Round(0.00000000,0)</f>
        <v>#VALUE!</v>
      </c>
    </row>
    <row r="9578">
      <c r="A9578" s="11" t="s">
        <v>47</v>
      </c>
      <c r="B9578" s="12">
        <v>1018.108</v>
      </c>
      <c r="C9578" s="12">
        <v>0</v>
      </c>
      <c r="D9578" s="13">
        <v>0</v>
      </c>
      <c r="E9578" s="12">
        <v>0</v>
      </c>
      <c r="F9578" s="14">
        <v>0</v>
      </c>
      <c r="G9578" s="13">
        <v>134850000</v>
      </c>
      <c r="H9578" s="14">
        <v>137291863800</v>
      </c>
      <c r="I9578" s="14" t="e">
        <f>=Round(0.00000000,0)</f>
        <v>#VALUE!</v>
      </c>
      <c r="J9578" s="14" t="e">
        <f>=Round(0.00000000,0)</f>
        <v>#VALUE!</v>
      </c>
    </row>
    <row r="9579">
      <c r="A9579" s="11" t="s">
        <v>48</v>
      </c>
      <c r="B9579" s="12">
        <v>1018.561</v>
      </c>
      <c r="C9579" s="12">
        <v>0</v>
      </c>
      <c r="D9579" s="13">
        <v>0</v>
      </c>
      <c r="E9579" s="12">
        <v>0</v>
      </c>
      <c r="F9579" s="14">
        <v>0</v>
      </c>
      <c r="G9579" s="13">
        <v>134850000</v>
      </c>
      <c r="H9579" s="14">
        <v>137352950850</v>
      </c>
      <c r="I9579" s="14" t="e">
        <f>=Round(0.00000000,0)</f>
        <v>#VALUE!</v>
      </c>
      <c r="J9579" s="14" t="e">
        <f>=Round(0.00000000,0)</f>
        <v>#VALUE!</v>
      </c>
    </row>
    <row r="9580">
      <c r="A9580" s="11" t="s">
        <v>49</v>
      </c>
      <c r="B9580" s="12">
        <v>1018.561</v>
      </c>
      <c r="C9580" s="12">
        <v>0</v>
      </c>
      <c r="D9580" s="13">
        <v>0</v>
      </c>
      <c r="E9580" s="12">
        <v>0</v>
      </c>
      <c r="F9580" s="14">
        <v>0</v>
      </c>
      <c r="G9580" s="13">
        <v>134850000</v>
      </c>
      <c r="H9580" s="14">
        <v>137352950850</v>
      </c>
      <c r="I9580" s="14" t="e">
        <f>=Round(0.00000000,0)</f>
        <v>#VALUE!</v>
      </c>
      <c r="J9580" s="14" t="e">
        <f>=Round(0.00000000,0)</f>
        <v>#VALUE!</v>
      </c>
    </row>
    <row r="9581">
      <c r="A9581" s="11" t="s">
        <v>50</v>
      </c>
      <c r="B9581" s="12">
        <v>1018.561</v>
      </c>
      <c r="C9581" s="12">
        <v>0</v>
      </c>
      <c r="D9581" s="13">
        <v>0</v>
      </c>
      <c r="E9581" s="12">
        <v>0</v>
      </c>
      <c r="F9581" s="14">
        <v>0</v>
      </c>
      <c r="G9581" s="13">
        <v>134850000</v>
      </c>
      <c r="H9581" s="14">
        <v>137352950850</v>
      </c>
      <c r="I9581" s="14" t="e">
        <f>=Round(0.00000000,0)</f>
        <v>#VALUE!</v>
      </c>
      <c r="J9581" s="14" t="e">
        <f>=Round(0.00000000,0)</f>
        <v>#VALUE!</v>
      </c>
    </row>
    <row r="9582">
      <c r="A9582" s="11" t="s">
        <v>51</v>
      </c>
      <c r="B9582" s="12">
        <v>1019.485</v>
      </c>
      <c r="C9582" s="12">
        <v>0</v>
      </c>
      <c r="D9582" s="13">
        <v>0</v>
      </c>
      <c r="E9582" s="12">
        <v>0</v>
      </c>
      <c r="F9582" s="14">
        <v>0</v>
      </c>
      <c r="G9582" s="13">
        <v>134850000</v>
      </c>
      <c r="H9582" s="14">
        <v>137477552250</v>
      </c>
      <c r="I9582" s="14" t="e">
        <f>=Round(0.00000000,0)</f>
        <v>#VALUE!</v>
      </c>
      <c r="J9582" s="14" t="e">
        <f>=Round(0.00000000,0)</f>
        <v>#VALUE!</v>
      </c>
    </row>
    <row r="9583">
      <c r="A9583" s="11" t="s">
        <v>52</v>
      </c>
      <c r="B9583" s="12">
        <v>1019.701</v>
      </c>
      <c r="C9583" s="12">
        <v>0</v>
      </c>
      <c r="D9583" s="13">
        <v>0</v>
      </c>
      <c r="E9583" s="12">
        <v>0</v>
      </c>
      <c r="F9583" s="14">
        <v>0</v>
      </c>
      <c r="G9583" s="13">
        <v>134850000</v>
      </c>
      <c r="H9583" s="14">
        <v>137506679850</v>
      </c>
      <c r="I9583" s="14" t="e">
        <f>=Round(0.00000000,0)</f>
        <v>#VALUE!</v>
      </c>
      <c r="J9583" s="14" t="e">
        <f>=Round(0.00000000,0)</f>
        <v>#VALUE!</v>
      </c>
    </row>
    <row r="9584">
      <c r="A9584" s="11" t="s">
        <v>53</v>
      </c>
      <c r="B9584" s="12">
        <v>1019.863</v>
      </c>
      <c r="C9584" s="12">
        <v>0</v>
      </c>
      <c r="D9584" s="13">
        <v>0</v>
      </c>
      <c r="E9584" s="12">
        <v>0</v>
      </c>
      <c r="F9584" s="14">
        <v>0</v>
      </c>
      <c r="G9584" s="13">
        <v>134850000</v>
      </c>
      <c r="H9584" s="14">
        <v>137528525550</v>
      </c>
      <c r="I9584" s="14" t="e">
        <f>=Round(0.00000000,0)</f>
        <v>#VALUE!</v>
      </c>
      <c r="J9584" s="14" t="e">
        <f>=Round(0.00000000,0)</f>
        <v>#VALUE!</v>
      </c>
    </row>
    <row r="9585">
      <c r="A9585" s="11" t="s">
        <v>54</v>
      </c>
      <c r="B9585" s="12">
        <v>1020.123</v>
      </c>
      <c r="C9585" s="12">
        <v>0</v>
      </c>
      <c r="D9585" s="13">
        <v>0</v>
      </c>
      <c r="E9585" s="12">
        <v>0</v>
      </c>
      <c r="F9585" s="14">
        <v>0</v>
      </c>
      <c r="G9585" s="13">
        <v>134850000</v>
      </c>
      <c r="H9585" s="14">
        <v>137563586550</v>
      </c>
      <c r="I9585" s="14" t="e">
        <f>=Round(0.00000000,0)</f>
        <v>#VALUE!</v>
      </c>
      <c r="J9585" s="14" t="e">
        <f>=Round(0.00000000,0)</f>
        <v>#VALUE!</v>
      </c>
    </row>
    <row r="9586">
      <c r="A9586" s="11" t="s">
        <v>55</v>
      </c>
      <c r="B9586" s="12">
        <v>1020.017</v>
      </c>
      <c r="C9586" s="12">
        <v>0</v>
      </c>
      <c r="D9586" s="13">
        <v>0</v>
      </c>
      <c r="E9586" s="12">
        <v>0</v>
      </c>
      <c r="F9586" s="14">
        <v>0</v>
      </c>
      <c r="G9586" s="13">
        <v>134850000</v>
      </c>
      <c r="H9586" s="14">
        <v>137549292450</v>
      </c>
      <c r="I9586" s="14" t="e">
        <f>=Round(0.00000000,0)</f>
        <v>#VALUE!</v>
      </c>
      <c r="J9586" s="14" t="e">
        <f>=Round(0.00000000,0)</f>
        <v>#VALUE!</v>
      </c>
    </row>
    <row r="9587" ht="-1">
      <c r="A9587" s="15"/>
      <c r="B9587" s="16" t="s">
        <v>56</v>
      </c>
      <c r="C9587" s="15"/>
      <c r="D9587" s="15"/>
      <c r="E9587" s="15"/>
      <c r="F9587" s="15"/>
      <c r="G9587" s="15"/>
      <c r="H9587" s="15"/>
      <c r="I9587" s="17" t="e">
        <f>=Round(SUM(I9561:I9586),0)</f>
        <v>#VALUE!</v>
      </c>
      <c r="J9587" s="17" t="e">
        <f>=Round(SUM(J9561:J9586),0)</f>
        <v>#VALUE!</v>
      </c>
    </row>
    <row r="9588">
      <c r="A9588" s="1" t="s">
        <v>0</v>
      </c>
      <c r="B9588" s="1"/>
      <c r="C9588" s="1"/>
      <c r="D9588" s="1"/>
    </row>
    <row r="9589">
      <c r="A9589" s="0" t="s">
        <v>1</v>
      </c>
      <c r="C9589" s="0" t="s">
        <v>333</v>
      </c>
      <c r="H9589" s="2" t="s">
        <v>3</v>
      </c>
    </row>
    <row r="9590">
      <c r="A9590" s="0" t="s">
        <v>4</v>
      </c>
      <c r="C9590" s="0" t="s">
        <v>334</v>
      </c>
      <c r="H9590" s="3" t="s">
        <v>6</v>
      </c>
    </row>
    <row r="9591">
      <c r="A9591" s="0" t="s">
        <v>7</v>
      </c>
      <c r="C9591" s="4" t="s">
        <v>335</v>
      </c>
      <c r="H9591" s="2" t="s">
        <v>9</v>
      </c>
    </row>
    <row r="9592">
      <c r="A9592" s="0" t="s">
        <v>10</v>
      </c>
      <c r="C9592" s="4" t="s">
        <v>11</v>
      </c>
      <c r="H9592" s="2" t="s">
        <v>12</v>
      </c>
    </row>
    <row r="9593">
      <c r="A9593" s="0" t="s">
        <v>13</v>
      </c>
      <c r="C9593" s="0" t="s">
        <v>14</v>
      </c>
    </row>
    <row r="9594">
      <c r="A9594" s="0" t="s">
        <v>15</v>
      </c>
      <c r="C9594" s="0" t="s">
        <v>16</v>
      </c>
    </row>
    <row r="9595">
      <c r="A9595" s="0" t="s">
        <v>17</v>
      </c>
      <c r="C9595" s="0" t="s">
        <v>18</v>
      </c>
    </row>
    <row r="9598">
      <c r="A9598" s="5" t="s">
        <v>19</v>
      </c>
      <c r="B9598" s="5" t="s">
        <v>20</v>
      </c>
      <c r="C9598" s="7" t="s">
        <v>21</v>
      </c>
      <c r="D9598" s="9"/>
      <c r="E9598" s="7" t="s">
        <v>22</v>
      </c>
      <c r="F9598" s="9"/>
      <c r="G9598" s="5" t="s">
        <v>23</v>
      </c>
      <c r="H9598" s="5" t="s">
        <v>24</v>
      </c>
      <c r="I9598" s="5" t="s">
        <v>336</v>
      </c>
      <c r="J9598" s="5" t="s">
        <v>26</v>
      </c>
    </row>
    <row r="9599">
      <c r="A9599" s="6"/>
      <c r="B9599" s="6"/>
      <c r="C9599" s="8" t="s">
        <v>27</v>
      </c>
      <c r="D9599" s="8" t="s">
        <v>28</v>
      </c>
      <c r="E9599" s="8" t="s">
        <v>27</v>
      </c>
      <c r="F9599" s="8" t="s">
        <v>28</v>
      </c>
      <c r="G9599" s="6"/>
      <c r="H9599" s="6"/>
      <c r="I9599" s="10" t="s">
        <v>29</v>
      </c>
      <c r="J9599" s="6"/>
    </row>
    <row r="9600">
      <c r="A9600" s="11" t="s">
        <v>30</v>
      </c>
      <c r="B9600" s="12">
        <v>992.8433</v>
      </c>
      <c r="C9600" s="12">
        <v>0</v>
      </c>
      <c r="D9600" s="13">
        <v>0</v>
      </c>
      <c r="E9600" s="12">
        <v>0</v>
      </c>
      <c r="F9600" s="14">
        <v>0</v>
      </c>
      <c r="G9600" s="13">
        <v>70658956.2659</v>
      </c>
      <c r="H9600" s="14">
        <v>70153271313.591827</v>
      </c>
      <c r="I9600" s="14" t="e">
        <f>=Round(526750.82450000,0)</f>
        <v>#VALUE!</v>
      </c>
      <c r="J9600" s="14" t="e">
        <f>=Round(0.00000000,0)</f>
        <v>#VALUE!</v>
      </c>
    </row>
    <row r="9601">
      <c r="A9601" s="11" t="s">
        <v>31</v>
      </c>
      <c r="B9601" s="12">
        <v>993.0675</v>
      </c>
      <c r="C9601" s="12">
        <v>0</v>
      </c>
      <c r="D9601" s="13">
        <v>0</v>
      </c>
      <c r="E9601" s="12">
        <v>0</v>
      </c>
      <c r="F9601" s="14">
        <v>0</v>
      </c>
      <c r="G9601" s="13">
        <v>70658956.2659</v>
      </c>
      <c r="H9601" s="14">
        <v>70169113051.586655</v>
      </c>
      <c r="I9601" s="14" t="e">
        <f>=Round(527107.91290000,0)</f>
        <v>#VALUE!</v>
      </c>
      <c r="J9601" s="14" t="e">
        <f>=Round(0.00000000,0)</f>
        <v>#VALUE!</v>
      </c>
    </row>
    <row r="9602">
      <c r="A9602" s="11" t="s">
        <v>32</v>
      </c>
      <c r="B9602" s="12">
        <v>993.2916</v>
      </c>
      <c r="C9602" s="12">
        <v>0</v>
      </c>
      <c r="D9602" s="13">
        <v>0</v>
      </c>
      <c r="E9602" s="12">
        <v>0</v>
      </c>
      <c r="F9602" s="14">
        <v>0</v>
      </c>
      <c r="G9602" s="13">
        <v>70658956.2659</v>
      </c>
      <c r="H9602" s="14">
        <v>70184947723.685837</v>
      </c>
      <c r="I9602" s="14" t="e">
        <f>=Round(527226.94230000,0)</f>
        <v>#VALUE!</v>
      </c>
      <c r="J9602" s="14" t="e">
        <f>=Round(0.00000000,0)</f>
        <v>#VALUE!</v>
      </c>
    </row>
    <row r="9603">
      <c r="A9603" s="11" t="s">
        <v>33</v>
      </c>
      <c r="B9603" s="12">
        <v>993.5158</v>
      </c>
      <c r="C9603" s="12">
        <v>0</v>
      </c>
      <c r="D9603" s="13">
        <v>0</v>
      </c>
      <c r="E9603" s="12">
        <v>0</v>
      </c>
      <c r="F9603" s="14">
        <v>0</v>
      </c>
      <c r="G9603" s="13">
        <v>70658956.2659</v>
      </c>
      <c r="H9603" s="14">
        <v>70200789461.680649</v>
      </c>
      <c r="I9603" s="14" t="e">
        <f>=Round(527345.91870000,0)</f>
        <v>#VALUE!</v>
      </c>
      <c r="J9603" s="14" t="e">
        <f>=Round(0.00000000,0)</f>
        <v>#VALUE!</v>
      </c>
    </row>
    <row r="9604">
      <c r="A9604" s="11" t="s">
        <v>34</v>
      </c>
      <c r="B9604" s="12">
        <v>993.74</v>
      </c>
      <c r="C9604" s="12">
        <v>0</v>
      </c>
      <c r="D9604" s="13">
        <v>0</v>
      </c>
      <c r="E9604" s="12">
        <v>0</v>
      </c>
      <c r="F9604" s="14">
        <v>0</v>
      </c>
      <c r="G9604" s="13">
        <v>70658956.2659</v>
      </c>
      <c r="H9604" s="14">
        <v>70216631199.675461</v>
      </c>
      <c r="I9604" s="14" t="e">
        <f>=Round(527464.94810000,0)</f>
        <v>#VALUE!</v>
      </c>
      <c r="J9604" s="14" t="e">
        <f>=Round(0.00000000,0)</f>
        <v>#VALUE!</v>
      </c>
    </row>
    <row r="9605">
      <c r="A9605" s="11" t="s">
        <v>35</v>
      </c>
      <c r="B9605" s="12">
        <v>993.74</v>
      </c>
      <c r="C9605" s="12">
        <v>0</v>
      </c>
      <c r="D9605" s="13">
        <v>0</v>
      </c>
      <c r="E9605" s="12">
        <v>0</v>
      </c>
      <c r="F9605" s="14">
        <v>0</v>
      </c>
      <c r="G9605" s="13">
        <v>70658956.2659</v>
      </c>
      <c r="H9605" s="14">
        <v>70216631199.675461</v>
      </c>
      <c r="I9605" s="14" t="e">
        <f>=Round(527583.97760000,0)</f>
        <v>#VALUE!</v>
      </c>
      <c r="J9605" s="14" t="e">
        <f>=Round(0.00000000,0)</f>
        <v>#VALUE!</v>
      </c>
    </row>
    <row r="9606">
      <c r="A9606" s="11" t="s">
        <v>36</v>
      </c>
      <c r="B9606" s="12">
        <v>993.74</v>
      </c>
      <c r="C9606" s="12">
        <v>0</v>
      </c>
      <c r="D9606" s="13">
        <v>0</v>
      </c>
      <c r="E9606" s="12">
        <v>0</v>
      </c>
      <c r="F9606" s="14">
        <v>0</v>
      </c>
      <c r="G9606" s="13">
        <v>70658956.2659</v>
      </c>
      <c r="H9606" s="14">
        <v>70216631199.675461</v>
      </c>
      <c r="I9606" s="14" t="e">
        <f>=Round(527583.97760000,0)</f>
        <v>#VALUE!</v>
      </c>
      <c r="J9606" s="14" t="e">
        <f>=Round(0.00000000,0)</f>
        <v>#VALUE!</v>
      </c>
    </row>
    <row r="9607">
      <c r="A9607" s="11" t="s">
        <v>37</v>
      </c>
      <c r="B9607" s="12">
        <v>994.4125</v>
      </c>
      <c r="C9607" s="12">
        <v>0</v>
      </c>
      <c r="D9607" s="13">
        <v>0</v>
      </c>
      <c r="E9607" s="12">
        <v>0</v>
      </c>
      <c r="F9607" s="14">
        <v>0</v>
      </c>
      <c r="G9607" s="13">
        <v>70658956.2659</v>
      </c>
      <c r="H9607" s="14">
        <v>70264149347.764282</v>
      </c>
      <c r="I9607" s="14" t="e">
        <f>=Round(527583.97760000,0)</f>
        <v>#VALUE!</v>
      </c>
      <c r="J9607" s="14" t="e">
        <f>=Round(0.00000000,0)</f>
        <v>#VALUE!</v>
      </c>
    </row>
    <row r="9608">
      <c r="A9608" s="11" t="s">
        <v>38</v>
      </c>
      <c r="B9608" s="12">
        <v>994.6367</v>
      </c>
      <c r="C9608" s="12">
        <v>0</v>
      </c>
      <c r="D9608" s="13">
        <v>0</v>
      </c>
      <c r="E9608" s="12">
        <v>0</v>
      </c>
      <c r="F9608" s="14">
        <v>0</v>
      </c>
      <c r="G9608" s="13">
        <v>70658956.2659</v>
      </c>
      <c r="H9608" s="14">
        <v>70279991085.7591</v>
      </c>
      <c r="I9608" s="14" t="e">
        <f>=Round(527941.01290000,0)</f>
        <v>#VALUE!</v>
      </c>
      <c r="J9608" s="14" t="e">
        <f>=Round(0.00000000,0)</f>
        <v>#VALUE!</v>
      </c>
    </row>
    <row r="9609">
      <c r="A9609" s="11" t="s">
        <v>39</v>
      </c>
      <c r="B9609" s="12">
        <v>997.6939</v>
      </c>
      <c r="C9609" s="12">
        <v>0</v>
      </c>
      <c r="D9609" s="13">
        <v>0</v>
      </c>
      <c r="E9609" s="12">
        <v>0</v>
      </c>
      <c r="F9609" s="14">
        <v>0</v>
      </c>
      <c r="G9609" s="13">
        <v>70658956.2659</v>
      </c>
      <c r="H9609" s="14">
        <v>70496009646.855209</v>
      </c>
      <c r="I9609" s="14" t="e">
        <f>=Round(528060.04230000,0)</f>
        <v>#VALUE!</v>
      </c>
      <c r="J9609" s="14" t="e">
        <f>=Round(0.00000000,0)</f>
        <v>#VALUE!</v>
      </c>
    </row>
    <row r="9610">
      <c r="A9610" s="11" t="s">
        <v>40</v>
      </c>
      <c r="B9610" s="12">
        <v>999.1175</v>
      </c>
      <c r="C9610" s="12">
        <v>0</v>
      </c>
      <c r="D9610" s="13">
        <v>0</v>
      </c>
      <c r="E9610" s="12">
        <v>0</v>
      </c>
      <c r="F9610" s="14">
        <v>0</v>
      </c>
      <c r="G9610" s="13">
        <v>70658956.2659</v>
      </c>
      <c r="H9610" s="14">
        <v>70596599736.995346</v>
      </c>
      <c r="I9610" s="14" t="e">
        <f>=Round(529683.13260000,0)</f>
        <v>#VALUE!</v>
      </c>
      <c r="J9610" s="14" t="e">
        <f>=Round(0.00000000,0)</f>
        <v>#VALUE!</v>
      </c>
    </row>
    <row r="9611">
      <c r="A9611" s="11" t="s">
        <v>41</v>
      </c>
      <c r="B9611" s="12">
        <v>999.3395</v>
      </c>
      <c r="C9611" s="12">
        <v>0</v>
      </c>
      <c r="D9611" s="13">
        <v>0</v>
      </c>
      <c r="E9611" s="12">
        <v>0</v>
      </c>
      <c r="F9611" s="14">
        <v>0</v>
      </c>
      <c r="G9611" s="13">
        <v>70658956.2659</v>
      </c>
      <c r="H9611" s="14">
        <v>70612286025.286377</v>
      </c>
      <c r="I9611" s="14" t="e">
        <f>=Round(530438.93250000,0)</f>
        <v>#VALUE!</v>
      </c>
      <c r="J9611" s="14" t="e">
        <f>=Round(0.00000000,0)</f>
        <v>#VALUE!</v>
      </c>
    </row>
    <row r="9612">
      <c r="A9612" s="11" t="s">
        <v>42</v>
      </c>
      <c r="B9612" s="12">
        <v>999.3395</v>
      </c>
      <c r="C9612" s="12">
        <v>0</v>
      </c>
      <c r="D9612" s="13">
        <v>0</v>
      </c>
      <c r="E9612" s="12">
        <v>0</v>
      </c>
      <c r="F9612" s="14">
        <v>0</v>
      </c>
      <c r="G9612" s="13">
        <v>70658956.2659</v>
      </c>
      <c r="H9612" s="14">
        <v>70612286025.286377</v>
      </c>
      <c r="I9612" s="14" t="e">
        <f>=Round(530556.79390000,0)</f>
        <v>#VALUE!</v>
      </c>
      <c r="J9612" s="14" t="e">
        <f>=Round(0.00000000,0)</f>
        <v>#VALUE!</v>
      </c>
    </row>
    <row r="9613">
      <c r="A9613" s="11" t="s">
        <v>43</v>
      </c>
      <c r="B9613" s="12">
        <v>999.3395</v>
      </c>
      <c r="C9613" s="12">
        <v>0</v>
      </c>
      <c r="D9613" s="13">
        <v>0</v>
      </c>
      <c r="E9613" s="12">
        <v>0</v>
      </c>
      <c r="F9613" s="14">
        <v>0</v>
      </c>
      <c r="G9613" s="13">
        <v>70658956.2659</v>
      </c>
      <c r="H9613" s="14">
        <v>70612286025.286377</v>
      </c>
      <c r="I9613" s="14" t="e">
        <f>=Round(530556.79390000,0)</f>
        <v>#VALUE!</v>
      </c>
      <c r="J9613" s="14" t="e">
        <f>=Round(0.00000000,0)</f>
        <v>#VALUE!</v>
      </c>
    </row>
    <row r="9614">
      <c r="A9614" s="11" t="s">
        <v>44</v>
      </c>
      <c r="B9614" s="12">
        <v>1000.0052</v>
      </c>
      <c r="C9614" s="12">
        <v>0</v>
      </c>
      <c r="D9614" s="13">
        <v>0</v>
      </c>
      <c r="E9614" s="12">
        <v>0</v>
      </c>
      <c r="F9614" s="14">
        <v>0</v>
      </c>
      <c r="G9614" s="13">
        <v>70658956.2659</v>
      </c>
      <c r="H9614" s="14">
        <v>70659323692.47258</v>
      </c>
      <c r="I9614" s="14" t="e">
        <f>=Round(530556.79390000,0)</f>
        <v>#VALUE!</v>
      </c>
      <c r="J9614" s="14" t="e">
        <f>=Round(0.00000000,0)</f>
        <v>#VALUE!</v>
      </c>
    </row>
    <row r="9615">
      <c r="A9615" s="11" t="s">
        <v>45</v>
      </c>
      <c r="B9615" s="12">
        <v>1000.2271</v>
      </c>
      <c r="C9615" s="12">
        <v>0</v>
      </c>
      <c r="D9615" s="13">
        <v>0</v>
      </c>
      <c r="E9615" s="12">
        <v>0</v>
      </c>
      <c r="F9615" s="14">
        <v>0</v>
      </c>
      <c r="G9615" s="13">
        <v>70658956.2659</v>
      </c>
      <c r="H9615" s="14">
        <v>70675002914.867981</v>
      </c>
      <c r="I9615" s="14" t="e">
        <f>=Round(530910.21900000,0)</f>
        <v>#VALUE!</v>
      </c>
      <c r="J9615" s="14" t="e">
        <f>=Round(0.00000000,0)</f>
        <v>#VALUE!</v>
      </c>
    </row>
    <row r="9616">
      <c r="A9616" s="11" t="s">
        <v>46</v>
      </c>
      <c r="B9616" s="12">
        <v>1000.449</v>
      </c>
      <c r="C9616" s="12">
        <v>0</v>
      </c>
      <c r="D9616" s="13">
        <v>0</v>
      </c>
      <c r="E9616" s="12">
        <v>0</v>
      </c>
      <c r="F9616" s="14">
        <v>0</v>
      </c>
      <c r="G9616" s="13">
        <v>70658956.2659</v>
      </c>
      <c r="H9616" s="14">
        <v>70690682137.2634</v>
      </c>
      <c r="I9616" s="14" t="e">
        <f>=Round(531028.02740000,0)</f>
        <v>#VALUE!</v>
      </c>
      <c r="J9616" s="14" t="e">
        <f>=Round(0.00000000,0)</f>
        <v>#VALUE!</v>
      </c>
    </row>
    <row r="9617">
      <c r="A9617" s="11" t="s">
        <v>47</v>
      </c>
      <c r="B9617" s="12">
        <v>1002.0427</v>
      </c>
      <c r="C9617" s="12">
        <v>0</v>
      </c>
      <c r="D9617" s="13">
        <v>0</v>
      </c>
      <c r="E9617" s="12">
        <v>0</v>
      </c>
      <c r="F9617" s="14">
        <v>0</v>
      </c>
      <c r="G9617" s="13">
        <v>70658956.2659</v>
      </c>
      <c r="H9617" s="14">
        <v>70803291315.864349</v>
      </c>
      <c r="I9617" s="14" t="e">
        <f>=Round(531145.83570000,0)</f>
        <v>#VALUE!</v>
      </c>
      <c r="J9617" s="14" t="e">
        <f>=Round(0.00000000,0)</f>
        <v>#VALUE!</v>
      </c>
    </row>
    <row r="9618">
      <c r="A9618" s="11" t="s">
        <v>48</v>
      </c>
      <c r="B9618" s="12">
        <v>1002.9919</v>
      </c>
      <c r="C9618" s="12">
        <v>0</v>
      </c>
      <c r="D9618" s="13">
        <v>0</v>
      </c>
      <c r="E9618" s="12">
        <v>0</v>
      </c>
      <c r="F9618" s="14">
        <v>0</v>
      </c>
      <c r="G9618" s="13">
        <v>70658956.2659</v>
      </c>
      <c r="H9618" s="14">
        <v>70870360797.151947</v>
      </c>
      <c r="I9618" s="14" t="e">
        <f>=Round(531991.94290000,0)</f>
        <v>#VALUE!</v>
      </c>
      <c r="J9618" s="14" t="e">
        <f>=Round(0.00000000,0)</f>
        <v>#VALUE!</v>
      </c>
    </row>
    <row r="9619">
      <c r="A9619" s="11" t="s">
        <v>49</v>
      </c>
      <c r="B9619" s="12">
        <v>1002.9919</v>
      </c>
      <c r="C9619" s="12">
        <v>0</v>
      </c>
      <c r="D9619" s="13">
        <v>0</v>
      </c>
      <c r="E9619" s="12">
        <v>0</v>
      </c>
      <c r="F9619" s="14">
        <v>0</v>
      </c>
      <c r="G9619" s="13">
        <v>70658956.2659</v>
      </c>
      <c r="H9619" s="14">
        <v>70870360797.151947</v>
      </c>
      <c r="I9619" s="14" t="e">
        <f>=Round(532495.88030000,0)</f>
        <v>#VALUE!</v>
      </c>
      <c r="J9619" s="14" t="e">
        <f>=Round(0.00000000,0)</f>
        <v>#VALUE!</v>
      </c>
    </row>
    <row r="9620">
      <c r="A9620" s="11" t="s">
        <v>50</v>
      </c>
      <c r="B9620" s="12">
        <v>1002.9919</v>
      </c>
      <c r="C9620" s="12">
        <v>0</v>
      </c>
      <c r="D9620" s="13">
        <v>0</v>
      </c>
      <c r="E9620" s="12">
        <v>0</v>
      </c>
      <c r="F9620" s="14">
        <v>0</v>
      </c>
      <c r="G9620" s="13">
        <v>70658956.2659</v>
      </c>
      <c r="H9620" s="14">
        <v>70870360797.151947</v>
      </c>
      <c r="I9620" s="14" t="e">
        <f>=Round(532495.88030000,0)</f>
        <v>#VALUE!</v>
      </c>
      <c r="J9620" s="14" t="e">
        <f>=Round(0.00000000,0)</f>
        <v>#VALUE!</v>
      </c>
    </row>
    <row r="9621">
      <c r="A9621" s="11" t="s">
        <v>51</v>
      </c>
      <c r="B9621" s="12">
        <v>1003.6575</v>
      </c>
      <c r="C9621" s="12">
        <v>0</v>
      </c>
      <c r="D9621" s="13">
        <v>0</v>
      </c>
      <c r="E9621" s="12">
        <v>0</v>
      </c>
      <c r="F9621" s="14">
        <v>0</v>
      </c>
      <c r="G9621" s="13">
        <v>70658956.2659</v>
      </c>
      <c r="H9621" s="14">
        <v>70917391398.442535</v>
      </c>
      <c r="I9621" s="14" t="e">
        <f>=Round(532495.88030000,0)</f>
        <v>#VALUE!</v>
      </c>
      <c r="J9621" s="14" t="e">
        <f>=Round(0.00000000,0)</f>
        <v>#VALUE!</v>
      </c>
    </row>
    <row r="9622">
      <c r="A9622" s="11" t="s">
        <v>52</v>
      </c>
      <c r="B9622" s="12">
        <v>1003.8749</v>
      </c>
      <c r="C9622" s="12">
        <v>0</v>
      </c>
      <c r="D9622" s="13">
        <v>0</v>
      </c>
      <c r="E9622" s="12">
        <v>0</v>
      </c>
      <c r="F9622" s="14">
        <v>0</v>
      </c>
      <c r="G9622" s="13">
        <v>70658956.2659</v>
      </c>
      <c r="H9622" s="14">
        <v>70932752655.534729</v>
      </c>
      <c r="I9622" s="14" t="e">
        <f>=Round(532849.25230000,0)</f>
        <v>#VALUE!</v>
      </c>
      <c r="J9622" s="14" t="e">
        <f>=Round(0.00000000,0)</f>
        <v>#VALUE!</v>
      </c>
    </row>
    <row r="9623">
      <c r="A9623" s="11" t="s">
        <v>53</v>
      </c>
      <c r="B9623" s="12">
        <v>1004.097</v>
      </c>
      <c r="C9623" s="12">
        <v>0</v>
      </c>
      <c r="D9623" s="13">
        <v>0</v>
      </c>
      <c r="E9623" s="12">
        <v>0</v>
      </c>
      <c r="F9623" s="14">
        <v>0</v>
      </c>
      <c r="G9623" s="13">
        <v>70658956.2659</v>
      </c>
      <c r="H9623" s="14">
        <v>70948446009.72139</v>
      </c>
      <c r="I9623" s="14" t="e">
        <f>=Round(532964.67160000,0)</f>
        <v>#VALUE!</v>
      </c>
      <c r="J9623" s="14" t="e">
        <f>=Round(0.00000000,0)</f>
        <v>#VALUE!</v>
      </c>
    </row>
    <row r="9624">
      <c r="A9624" s="11" t="s">
        <v>54</v>
      </c>
      <c r="B9624" s="12">
        <v>1004.3188</v>
      </c>
      <c r="C9624" s="12">
        <v>0</v>
      </c>
      <c r="D9624" s="13">
        <v>0</v>
      </c>
      <c r="E9624" s="12">
        <v>0</v>
      </c>
      <c r="F9624" s="14">
        <v>0</v>
      </c>
      <c r="G9624" s="13">
        <v>70658956.2659</v>
      </c>
      <c r="H9624" s="14">
        <v>70964118166.221161</v>
      </c>
      <c r="I9624" s="14" t="e">
        <f>=Round(533082.58610000,0)</f>
        <v>#VALUE!</v>
      </c>
      <c r="J9624" s="14" t="e">
        <f>=Round(0.00000000,0)</f>
        <v>#VALUE!</v>
      </c>
    </row>
    <row r="9625">
      <c r="A9625" s="11" t="s">
        <v>55</v>
      </c>
      <c r="B9625" s="12">
        <v>1004.5409</v>
      </c>
      <c r="C9625" s="12">
        <v>0</v>
      </c>
      <c r="D9625" s="13">
        <v>0</v>
      </c>
      <c r="E9625" s="12">
        <v>0</v>
      </c>
      <c r="F9625" s="14">
        <v>0</v>
      </c>
      <c r="G9625" s="13">
        <v>70658956.2659</v>
      </c>
      <c r="H9625" s="14">
        <v>70979811520.407822</v>
      </c>
      <c r="I9625" s="14" t="e">
        <f>=Round(533200.34140000,0)</f>
        <v>#VALUE!</v>
      </c>
      <c r="J9625" s="14" t="e">
        <f>=Round(0.00000000,0)</f>
        <v>#VALUE!</v>
      </c>
    </row>
    <row r="9626" ht="-1">
      <c r="A9626" s="15"/>
      <c r="B9626" s="16" t="s">
        <v>56</v>
      </c>
      <c r="C9626" s="15"/>
      <c r="D9626" s="15"/>
      <c r="E9626" s="15"/>
      <c r="F9626" s="15"/>
      <c r="G9626" s="15"/>
      <c r="H9626" s="15"/>
      <c r="I9626" s="17" t="e">
        <f>=Round(SUM(I9600:I9625),0)</f>
        <v>#VALUE!</v>
      </c>
      <c r="J9626" s="17" t="e">
        <f>=Round(SUM(J9600:J9625),0)</f>
        <v>#VALUE!</v>
      </c>
    </row>
    <row r="9627">
      <c r="A9627" s="1" t="s">
        <v>0</v>
      </c>
      <c r="B9627" s="1"/>
      <c r="C9627" s="1"/>
      <c r="D9627" s="1"/>
    </row>
    <row r="9628">
      <c r="A9628" s="0" t="s">
        <v>1</v>
      </c>
      <c r="C9628" s="0" t="s">
        <v>337</v>
      </c>
      <c r="H9628" s="2" t="s">
        <v>3</v>
      </c>
    </row>
    <row r="9629">
      <c r="A9629" s="0" t="s">
        <v>4</v>
      </c>
      <c r="C9629" s="0" t="s">
        <v>338</v>
      </c>
      <c r="H9629" s="3" t="s">
        <v>6</v>
      </c>
    </row>
    <row r="9630">
      <c r="A9630" s="0" t="s">
        <v>7</v>
      </c>
      <c r="C9630" s="4" t="s">
        <v>339</v>
      </c>
      <c r="H9630" s="2" t="s">
        <v>9</v>
      </c>
    </row>
    <row r="9631">
      <c r="A9631" s="0" t="s">
        <v>10</v>
      </c>
      <c r="C9631" s="4" t="s">
        <v>11</v>
      </c>
      <c r="H9631" s="2" t="s">
        <v>12</v>
      </c>
    </row>
    <row r="9632">
      <c r="A9632" s="0" t="s">
        <v>13</v>
      </c>
      <c r="C9632" s="0" t="s">
        <v>14</v>
      </c>
    </row>
    <row r="9633">
      <c r="A9633" s="0" t="s">
        <v>15</v>
      </c>
      <c r="C9633" s="0" t="s">
        <v>16</v>
      </c>
    </row>
    <row r="9634">
      <c r="A9634" s="0" t="s">
        <v>17</v>
      </c>
      <c r="C9634" s="0" t="s">
        <v>18</v>
      </c>
    </row>
    <row r="9637">
      <c r="A9637" s="5" t="s">
        <v>19</v>
      </c>
      <c r="B9637" s="5" t="s">
        <v>20</v>
      </c>
      <c r="C9637" s="7" t="s">
        <v>21</v>
      </c>
      <c r="D9637" s="9"/>
      <c r="E9637" s="7" t="s">
        <v>22</v>
      </c>
      <c r="F9637" s="9"/>
      <c r="G9637" s="5" t="s">
        <v>23</v>
      </c>
      <c r="H9637" s="5" t="s">
        <v>24</v>
      </c>
      <c r="I9637" s="5" t="s">
        <v>340</v>
      </c>
      <c r="J9637" s="5" t="s">
        <v>26</v>
      </c>
    </row>
    <row r="9638">
      <c r="A9638" s="6"/>
      <c r="B9638" s="6"/>
      <c r="C9638" s="8" t="s">
        <v>27</v>
      </c>
      <c r="D9638" s="8" t="s">
        <v>28</v>
      </c>
      <c r="E9638" s="8" t="s">
        <v>27</v>
      </c>
      <c r="F9638" s="8" t="s">
        <v>28</v>
      </c>
      <c r="G9638" s="6"/>
      <c r="H9638" s="6"/>
      <c r="I9638" s="10" t="s">
        <v>29</v>
      </c>
      <c r="J9638" s="6"/>
    </row>
    <row r="9639">
      <c r="A9639" s="11" t="s">
        <v>30</v>
      </c>
      <c r="B9639" s="12">
        <v>938.6583</v>
      </c>
      <c r="C9639" s="12">
        <v>0</v>
      </c>
      <c r="D9639" s="13">
        <v>0</v>
      </c>
      <c r="E9639" s="12">
        <v>0</v>
      </c>
      <c r="F9639" s="14">
        <v>0</v>
      </c>
      <c r="G9639" s="13">
        <v>120000000</v>
      </c>
      <c r="H9639" s="14">
        <v>112638996000</v>
      </c>
      <c r="I9639" s="14" t="e">
        <f>=Round(1728778.51970000,0)</f>
        <v>#VALUE!</v>
      </c>
      <c r="J9639" s="14" t="e">
        <f>=Round(0.00000000,0)</f>
        <v>#VALUE!</v>
      </c>
    </row>
    <row r="9640">
      <c r="A9640" s="11" t="s">
        <v>31</v>
      </c>
      <c r="B9640" s="12">
        <v>942.9889</v>
      </c>
      <c r="C9640" s="12">
        <v>0</v>
      </c>
      <c r="D9640" s="13">
        <v>0</v>
      </c>
      <c r="E9640" s="12">
        <v>0</v>
      </c>
      <c r="F9640" s="14">
        <v>0</v>
      </c>
      <c r="G9640" s="13">
        <v>120000000</v>
      </c>
      <c r="H9640" s="14">
        <v>113158668000</v>
      </c>
      <c r="I9640" s="14" t="e">
        <f>=Round(1726515.75840000,0)</f>
        <v>#VALUE!</v>
      </c>
      <c r="J9640" s="14" t="e">
        <f>=Round(0.00000000,0)</f>
        <v>#VALUE!</v>
      </c>
    </row>
    <row r="9641">
      <c r="A9641" s="11" t="s">
        <v>32</v>
      </c>
      <c r="B9641" s="12">
        <v>944.4387</v>
      </c>
      <c r="C9641" s="12">
        <v>0</v>
      </c>
      <c r="D9641" s="13">
        <v>0</v>
      </c>
      <c r="E9641" s="12">
        <v>0</v>
      </c>
      <c r="F9641" s="14">
        <v>0</v>
      </c>
      <c r="G9641" s="13">
        <v>120000000</v>
      </c>
      <c r="H9641" s="14">
        <v>113332644000</v>
      </c>
      <c r="I9641" s="14" t="e">
        <f>=Round(1734481.22260000,0)</f>
        <v>#VALUE!</v>
      </c>
      <c r="J9641" s="14" t="e">
        <f>=Round(0.00000000,0)</f>
        <v>#VALUE!</v>
      </c>
    </row>
    <row r="9642">
      <c r="A9642" s="11" t="s">
        <v>33</v>
      </c>
      <c r="B9642" s="12">
        <v>946.0231</v>
      </c>
      <c r="C9642" s="12">
        <v>0</v>
      </c>
      <c r="D9642" s="13">
        <v>0</v>
      </c>
      <c r="E9642" s="12">
        <v>0</v>
      </c>
      <c r="F9642" s="14">
        <v>0</v>
      </c>
      <c r="G9642" s="13">
        <v>120000000</v>
      </c>
      <c r="H9642" s="14">
        <v>113522772000</v>
      </c>
      <c r="I9642" s="14" t="e">
        <f>=Round(1737147.90390000,0)</f>
        <v>#VALUE!</v>
      </c>
      <c r="J9642" s="14" t="e">
        <f>=Round(0.00000000,0)</f>
        <v>#VALUE!</v>
      </c>
    </row>
    <row r="9643">
      <c r="A9643" s="11" t="s">
        <v>34</v>
      </c>
      <c r="B9643" s="12">
        <v>946.5552</v>
      </c>
      <c r="C9643" s="12">
        <v>0</v>
      </c>
      <c r="D9643" s="13">
        <v>0</v>
      </c>
      <c r="E9643" s="12">
        <v>0</v>
      </c>
      <c r="F9643" s="14">
        <v>0</v>
      </c>
      <c r="G9643" s="13">
        <v>120000000</v>
      </c>
      <c r="H9643" s="14">
        <v>113586624000</v>
      </c>
      <c r="I9643" s="14" t="e">
        <f>=Round(1740062.16100000,0)</f>
        <v>#VALUE!</v>
      </c>
      <c r="J9643" s="14" t="e">
        <f>=Round(0.00000000,0)</f>
        <v>#VALUE!</v>
      </c>
    </row>
    <row r="9644">
      <c r="A9644" s="11" t="s">
        <v>35</v>
      </c>
      <c r="B9644" s="12">
        <v>946.5552</v>
      </c>
      <c r="C9644" s="12">
        <v>0</v>
      </c>
      <c r="D9644" s="13">
        <v>0</v>
      </c>
      <c r="E9644" s="12">
        <v>0</v>
      </c>
      <c r="F9644" s="14">
        <v>0</v>
      </c>
      <c r="G9644" s="13">
        <v>120000000</v>
      </c>
      <c r="H9644" s="14">
        <v>113586624000</v>
      </c>
      <c r="I9644" s="14" t="e">
        <f>=Round(1741040.87610000,0)</f>
        <v>#VALUE!</v>
      </c>
      <c r="J9644" s="14" t="e">
        <f>=Round(0.00000000,0)</f>
        <v>#VALUE!</v>
      </c>
    </row>
    <row r="9645">
      <c r="A9645" s="11" t="s">
        <v>36</v>
      </c>
      <c r="B9645" s="12">
        <v>946.5552</v>
      </c>
      <c r="C9645" s="12">
        <v>0</v>
      </c>
      <c r="D9645" s="13">
        <v>0</v>
      </c>
      <c r="E9645" s="12">
        <v>0</v>
      </c>
      <c r="F9645" s="14">
        <v>0</v>
      </c>
      <c r="G9645" s="13">
        <v>120000000</v>
      </c>
      <c r="H9645" s="14">
        <v>113586624000</v>
      </c>
      <c r="I9645" s="14" t="e">
        <f>=Round(1741040.87610000,0)</f>
        <v>#VALUE!</v>
      </c>
      <c r="J9645" s="14" t="e">
        <f>=Round(0.00000000,0)</f>
        <v>#VALUE!</v>
      </c>
    </row>
    <row r="9646">
      <c r="A9646" s="11" t="s">
        <v>37</v>
      </c>
      <c r="B9646" s="12">
        <v>945.1623</v>
      </c>
      <c r="C9646" s="12">
        <v>0</v>
      </c>
      <c r="D9646" s="13">
        <v>0</v>
      </c>
      <c r="E9646" s="12">
        <v>0</v>
      </c>
      <c r="F9646" s="14">
        <v>0</v>
      </c>
      <c r="G9646" s="13">
        <v>120000000</v>
      </c>
      <c r="H9646" s="14">
        <v>113419476000</v>
      </c>
      <c r="I9646" s="14" t="e">
        <f>=Round(1741040.87610000,0)</f>
        <v>#VALUE!</v>
      </c>
      <c r="J9646" s="14" t="e">
        <f>=Round(0.00000000,0)</f>
        <v>#VALUE!</v>
      </c>
    </row>
    <row r="9647">
      <c r="A9647" s="11" t="s">
        <v>38</v>
      </c>
      <c r="B9647" s="12">
        <v>944.6783</v>
      </c>
      <c r="C9647" s="12">
        <v>0</v>
      </c>
      <c r="D9647" s="13">
        <v>0</v>
      </c>
      <c r="E9647" s="12">
        <v>0</v>
      </c>
      <c r="F9647" s="14">
        <v>0</v>
      </c>
      <c r="G9647" s="13">
        <v>120000000</v>
      </c>
      <c r="H9647" s="14">
        <v>113361396000</v>
      </c>
      <c r="I9647" s="14" t="e">
        <f>=Round(1738478.85340000,0)</f>
        <v>#VALUE!</v>
      </c>
      <c r="J9647" s="14" t="e">
        <f>=Round(0.00000000,0)</f>
        <v>#VALUE!</v>
      </c>
    </row>
    <row r="9648">
      <c r="A9648" s="11" t="s">
        <v>39</v>
      </c>
      <c r="B9648" s="12">
        <v>944.7417</v>
      </c>
      <c r="C9648" s="12">
        <v>0</v>
      </c>
      <c r="D9648" s="13">
        <v>0</v>
      </c>
      <c r="E9648" s="12">
        <v>0</v>
      </c>
      <c r="F9648" s="14">
        <v>0</v>
      </c>
      <c r="G9648" s="13">
        <v>120000000</v>
      </c>
      <c r="H9648" s="14">
        <v>113369004000</v>
      </c>
      <c r="I9648" s="14" t="e">
        <f>=Round(1737588.61080000,0)</f>
        <v>#VALUE!</v>
      </c>
      <c r="J9648" s="14" t="e">
        <f>=Round(0.00000000,0)</f>
        <v>#VALUE!</v>
      </c>
    </row>
    <row r="9649">
      <c r="A9649" s="11" t="s">
        <v>40</v>
      </c>
      <c r="B9649" s="12">
        <v>943.3707</v>
      </c>
      <c r="C9649" s="12">
        <v>0</v>
      </c>
      <c r="D9649" s="13">
        <v>0</v>
      </c>
      <c r="E9649" s="12">
        <v>0</v>
      </c>
      <c r="F9649" s="14">
        <v>0</v>
      </c>
      <c r="G9649" s="13">
        <v>120000000</v>
      </c>
      <c r="H9649" s="14">
        <v>113204484000</v>
      </c>
      <c r="I9649" s="14" t="e">
        <f>=Round(1737705.22520000,0)</f>
        <v>#VALUE!</v>
      </c>
      <c r="J9649" s="14" t="e">
        <f>=Round(0.00000000,0)</f>
        <v>#VALUE!</v>
      </c>
    </row>
    <row r="9650">
      <c r="A9650" s="11" t="s">
        <v>41</v>
      </c>
      <c r="B9650" s="12">
        <v>943.4463</v>
      </c>
      <c r="C9650" s="12">
        <v>0</v>
      </c>
      <c r="D9650" s="13">
        <v>0</v>
      </c>
      <c r="E9650" s="12">
        <v>0</v>
      </c>
      <c r="F9650" s="14">
        <v>0</v>
      </c>
      <c r="G9650" s="13">
        <v>120000000</v>
      </c>
      <c r="H9650" s="14">
        <v>113213556000</v>
      </c>
      <c r="I9650" s="14" t="e">
        <f>=Round(1735183.48430000,0)</f>
        <v>#VALUE!</v>
      </c>
      <c r="J9650" s="14" t="e">
        <f>=Round(0.00000000,0)</f>
        <v>#VALUE!</v>
      </c>
    </row>
    <row r="9651">
      <c r="A9651" s="11" t="s">
        <v>42</v>
      </c>
      <c r="B9651" s="12">
        <v>943.4463</v>
      </c>
      <c r="C9651" s="12">
        <v>0</v>
      </c>
      <c r="D9651" s="13">
        <v>0</v>
      </c>
      <c r="E9651" s="12">
        <v>0</v>
      </c>
      <c r="F9651" s="14">
        <v>0</v>
      </c>
      <c r="G9651" s="13">
        <v>120000000</v>
      </c>
      <c r="H9651" s="14">
        <v>113213556000</v>
      </c>
      <c r="I9651" s="14" t="e">
        <f>=Round(1735322.53870000,0)</f>
        <v>#VALUE!</v>
      </c>
      <c r="J9651" s="14" t="e">
        <f>=Round(0.00000000,0)</f>
        <v>#VALUE!</v>
      </c>
    </row>
    <row r="9652">
      <c r="A9652" s="11" t="s">
        <v>43</v>
      </c>
      <c r="B9652" s="12">
        <v>943.4463</v>
      </c>
      <c r="C9652" s="12">
        <v>0</v>
      </c>
      <c r="D9652" s="13">
        <v>0</v>
      </c>
      <c r="E9652" s="12">
        <v>0</v>
      </c>
      <c r="F9652" s="14">
        <v>0</v>
      </c>
      <c r="G9652" s="13">
        <v>120000000</v>
      </c>
      <c r="H9652" s="14">
        <v>113213556000</v>
      </c>
      <c r="I9652" s="14" t="e">
        <f>=Round(1735322.53870000,0)</f>
        <v>#VALUE!</v>
      </c>
      <c r="J9652" s="14" t="e">
        <f>=Round(0.00000000,0)</f>
        <v>#VALUE!</v>
      </c>
    </row>
    <row r="9653">
      <c r="A9653" s="11" t="s">
        <v>44</v>
      </c>
      <c r="B9653" s="12">
        <v>944.47</v>
      </c>
      <c r="C9653" s="12">
        <v>0</v>
      </c>
      <c r="D9653" s="13">
        <v>0</v>
      </c>
      <c r="E9653" s="12">
        <v>0</v>
      </c>
      <c r="F9653" s="14">
        <v>0</v>
      </c>
      <c r="G9653" s="13">
        <v>120000000</v>
      </c>
      <c r="H9653" s="14">
        <v>113336400000</v>
      </c>
      <c r="I9653" s="14" t="e">
        <f>=Round(1735322.53870000,0)</f>
        <v>#VALUE!</v>
      </c>
      <c r="J9653" s="14" t="e">
        <f>=Round(0.00000000,0)</f>
        <v>#VALUE!</v>
      </c>
    </row>
    <row r="9654">
      <c r="A9654" s="11" t="s">
        <v>45</v>
      </c>
      <c r="B9654" s="12">
        <v>946.1317</v>
      </c>
      <c r="C9654" s="12">
        <v>0</v>
      </c>
      <c r="D9654" s="13">
        <v>0</v>
      </c>
      <c r="E9654" s="12">
        <v>0</v>
      </c>
      <c r="F9654" s="14">
        <v>0</v>
      </c>
      <c r="G9654" s="13">
        <v>120000000</v>
      </c>
      <c r="H9654" s="14">
        <v>113535804000</v>
      </c>
      <c r="I9654" s="14" t="e">
        <f>=Round(1737205.47540000,0)</f>
        <v>#VALUE!</v>
      </c>
      <c r="J9654" s="14" t="e">
        <f>=Round(0.00000000,0)</f>
        <v>#VALUE!</v>
      </c>
    </row>
    <row r="9655">
      <c r="A9655" s="11" t="s">
        <v>46</v>
      </c>
      <c r="B9655" s="12">
        <v>947.4872</v>
      </c>
      <c r="C9655" s="12">
        <v>0</v>
      </c>
      <c r="D9655" s="13">
        <v>0</v>
      </c>
      <c r="E9655" s="12">
        <v>0</v>
      </c>
      <c r="F9655" s="14">
        <v>0</v>
      </c>
      <c r="G9655" s="13">
        <v>120000000</v>
      </c>
      <c r="H9655" s="14">
        <v>113698464000</v>
      </c>
      <c r="I9655" s="14" t="e">
        <f>=Round(1740261.91380000,0)</f>
        <v>#VALUE!</v>
      </c>
      <c r="J9655" s="14" t="e">
        <f>=Round(0.00000000,0)</f>
        <v>#VALUE!</v>
      </c>
    </row>
    <row r="9656">
      <c r="A9656" s="11" t="s">
        <v>47</v>
      </c>
      <c r="B9656" s="12">
        <v>948.5376</v>
      </c>
      <c r="C9656" s="12">
        <v>0</v>
      </c>
      <c r="D9656" s="13">
        <v>0</v>
      </c>
      <c r="E9656" s="12">
        <v>0</v>
      </c>
      <c r="F9656" s="14">
        <v>0</v>
      </c>
      <c r="G9656" s="13">
        <v>120000000</v>
      </c>
      <c r="H9656" s="14">
        <v>113824512000</v>
      </c>
      <c r="I9656" s="14" t="e">
        <f>=Round(1742755.14490000,0)</f>
        <v>#VALUE!</v>
      </c>
      <c r="J9656" s="14" t="e">
        <f>=Round(0.00000000,0)</f>
        <v>#VALUE!</v>
      </c>
    </row>
    <row r="9657">
      <c r="A9657" s="11" t="s">
        <v>48</v>
      </c>
      <c r="B9657" s="12">
        <v>946.9645</v>
      </c>
      <c r="C9657" s="12">
        <v>0</v>
      </c>
      <c r="D9657" s="13">
        <v>0</v>
      </c>
      <c r="E9657" s="12">
        <v>0</v>
      </c>
      <c r="F9657" s="14">
        <v>0</v>
      </c>
      <c r="G9657" s="13">
        <v>120000000</v>
      </c>
      <c r="H9657" s="14">
        <v>113635740000</v>
      </c>
      <c r="I9657" s="14" t="e">
        <f>=Round(1744687.19210000,0)</f>
        <v>#VALUE!</v>
      </c>
      <c r="J9657" s="14" t="e">
        <f>=Round(0.00000000,0)</f>
        <v>#VALUE!</v>
      </c>
    </row>
    <row r="9658">
      <c r="A9658" s="11" t="s">
        <v>49</v>
      </c>
      <c r="B9658" s="12">
        <v>946.9645</v>
      </c>
      <c r="C9658" s="12">
        <v>0</v>
      </c>
      <c r="D9658" s="13">
        <v>0</v>
      </c>
      <c r="E9658" s="12">
        <v>0</v>
      </c>
      <c r="F9658" s="14">
        <v>0</v>
      </c>
      <c r="G9658" s="13">
        <v>120000000</v>
      </c>
      <c r="H9658" s="14">
        <v>113635740000</v>
      </c>
      <c r="I9658" s="14" t="e">
        <f>=Round(1741793.71970000,0)</f>
        <v>#VALUE!</v>
      </c>
      <c r="J9658" s="14" t="e">
        <f>=Round(0.00000000,0)</f>
        <v>#VALUE!</v>
      </c>
    </row>
    <row r="9659">
      <c r="A9659" s="11" t="s">
        <v>50</v>
      </c>
      <c r="B9659" s="12">
        <v>946.9645</v>
      </c>
      <c r="C9659" s="12">
        <v>0</v>
      </c>
      <c r="D9659" s="13">
        <v>0</v>
      </c>
      <c r="E9659" s="12">
        <v>0</v>
      </c>
      <c r="F9659" s="14">
        <v>0</v>
      </c>
      <c r="G9659" s="13">
        <v>120000000</v>
      </c>
      <c r="H9659" s="14">
        <v>113635740000</v>
      </c>
      <c r="I9659" s="14" t="e">
        <f>=Round(1741793.71970000,0)</f>
        <v>#VALUE!</v>
      </c>
      <c r="J9659" s="14" t="e">
        <f>=Round(0.00000000,0)</f>
        <v>#VALUE!</v>
      </c>
    </row>
    <row r="9660">
      <c r="A9660" s="11" t="s">
        <v>51</v>
      </c>
      <c r="B9660" s="12">
        <v>943.5284</v>
      </c>
      <c r="C9660" s="12">
        <v>0</v>
      </c>
      <c r="D9660" s="13">
        <v>0</v>
      </c>
      <c r="E9660" s="12">
        <v>0</v>
      </c>
      <c r="F9660" s="14">
        <v>0</v>
      </c>
      <c r="G9660" s="13">
        <v>120000000</v>
      </c>
      <c r="H9660" s="14">
        <v>113223408000</v>
      </c>
      <c r="I9660" s="14" t="e">
        <f>=Round(1741793.71970000,0)</f>
        <v>#VALUE!</v>
      </c>
      <c r="J9660" s="14" t="e">
        <f>=Round(0.00000000,0)</f>
        <v>#VALUE!</v>
      </c>
    </row>
    <row r="9661">
      <c r="A9661" s="11" t="s">
        <v>52</v>
      </c>
      <c r="B9661" s="12">
        <v>943.7061</v>
      </c>
      <c r="C9661" s="12">
        <v>0</v>
      </c>
      <c r="D9661" s="13">
        <v>0</v>
      </c>
      <c r="E9661" s="12">
        <v>0</v>
      </c>
      <c r="F9661" s="14">
        <v>0</v>
      </c>
      <c r="G9661" s="13">
        <v>120000000</v>
      </c>
      <c r="H9661" s="14">
        <v>113244732000</v>
      </c>
      <c r="I9661" s="14" t="e">
        <f>=Round(1735473.54890000,0)</f>
        <v>#VALUE!</v>
      </c>
      <c r="J9661" s="14" t="e">
        <f>=Round(0.00000000,0)</f>
        <v>#VALUE!</v>
      </c>
    </row>
    <row r="9662">
      <c r="A9662" s="11" t="s">
        <v>53</v>
      </c>
      <c r="B9662" s="12">
        <v>939.6986</v>
      </c>
      <c r="C9662" s="12">
        <v>0</v>
      </c>
      <c r="D9662" s="13">
        <v>0</v>
      </c>
      <c r="E9662" s="12">
        <v>0</v>
      </c>
      <c r="F9662" s="14">
        <v>0</v>
      </c>
      <c r="G9662" s="13">
        <v>120000000</v>
      </c>
      <c r="H9662" s="14">
        <v>112763832000</v>
      </c>
      <c r="I9662" s="14" t="e">
        <f>=Round(1735800.40030000,0)</f>
        <v>#VALUE!</v>
      </c>
      <c r="J9662" s="14" t="e">
        <f>=Round(0.00000000,0)</f>
        <v>#VALUE!</v>
      </c>
    </row>
    <row r="9663">
      <c r="A9663" s="11" t="s">
        <v>54</v>
      </c>
      <c r="B9663" s="12">
        <v>932.8472</v>
      </c>
      <c r="C9663" s="12">
        <v>0</v>
      </c>
      <c r="D9663" s="13">
        <v>0</v>
      </c>
      <c r="E9663" s="12">
        <v>0</v>
      </c>
      <c r="F9663" s="14">
        <v>0</v>
      </c>
      <c r="G9663" s="13">
        <v>120000000</v>
      </c>
      <c r="H9663" s="14">
        <v>111941664000</v>
      </c>
      <c r="I9663" s="14" t="e">
        <f>=Round(1728429.22820000,0)</f>
        <v>#VALUE!</v>
      </c>
      <c r="J9663" s="14" t="e">
        <f>=Round(0.00000000,0)</f>
        <v>#VALUE!</v>
      </c>
    </row>
    <row r="9664">
      <c r="A9664" s="11" t="s">
        <v>55</v>
      </c>
      <c r="B9664" s="12">
        <v>927.4272</v>
      </c>
      <c r="C9664" s="12">
        <v>0</v>
      </c>
      <c r="D9664" s="13">
        <v>0</v>
      </c>
      <c r="E9664" s="12">
        <v>0</v>
      </c>
      <c r="F9664" s="14">
        <v>0</v>
      </c>
      <c r="G9664" s="13">
        <v>120000000</v>
      </c>
      <c r="H9664" s="14">
        <v>111291264000</v>
      </c>
      <c r="I9664" s="14" t="e">
        <f>=Round(1715827.14490000,0)</f>
        <v>#VALUE!</v>
      </c>
      <c r="J9664" s="14" t="e">
        <f>=Round(0.00000000,0)</f>
        <v>#VALUE!</v>
      </c>
    </row>
    <row r="9665" ht="-1">
      <c r="A9665" s="15"/>
      <c r="B9665" s="16" t="s">
        <v>56</v>
      </c>
      <c r="C9665" s="15"/>
      <c r="D9665" s="15"/>
      <c r="E9665" s="15"/>
      <c r="F9665" s="15"/>
      <c r="G9665" s="15"/>
      <c r="H9665" s="15"/>
      <c r="I9665" s="17" t="e">
        <f>=Round(SUM(I9639:I9664),0)</f>
        <v>#VALUE!</v>
      </c>
      <c r="J9665" s="17" t="e">
        <f>=Round(SUM(J9639:J9664),0)</f>
        <v>#VALUE!</v>
      </c>
    </row>
    <row r="9666">
      <c r="A9666" s="1" t="s">
        <v>0</v>
      </c>
      <c r="B9666" s="1"/>
      <c r="C9666" s="1"/>
      <c r="D9666" s="1"/>
    </row>
    <row r="9667">
      <c r="A9667" s="0" t="s">
        <v>1</v>
      </c>
      <c r="C9667" s="0" t="s">
        <v>341</v>
      </c>
      <c r="H9667" s="2" t="s">
        <v>3</v>
      </c>
    </row>
    <row r="9668">
      <c r="A9668" s="0" t="s">
        <v>4</v>
      </c>
      <c r="C9668" s="0" t="s">
        <v>109</v>
      </c>
      <c r="H9668" s="3" t="s">
        <v>6</v>
      </c>
    </row>
    <row r="9669">
      <c r="A9669" s="0" t="s">
        <v>7</v>
      </c>
      <c r="C9669" s="4" t="s">
        <v>185</v>
      </c>
      <c r="H9669" s="2" t="s">
        <v>9</v>
      </c>
    </row>
    <row r="9670">
      <c r="A9670" s="0" t="s">
        <v>10</v>
      </c>
      <c r="C9670" s="4" t="s">
        <v>11</v>
      </c>
      <c r="H9670" s="2" t="s">
        <v>12</v>
      </c>
    </row>
    <row r="9671">
      <c r="A9671" s="0" t="s">
        <v>13</v>
      </c>
      <c r="C9671" s="0" t="s">
        <v>14</v>
      </c>
    </row>
    <row r="9672">
      <c r="A9672" s="0" t="s">
        <v>15</v>
      </c>
      <c r="C9672" s="0" t="s">
        <v>16</v>
      </c>
    </row>
    <row r="9673">
      <c r="A9673" s="0" t="s">
        <v>17</v>
      </c>
      <c r="C9673" s="0" t="s">
        <v>18</v>
      </c>
    </row>
    <row r="9676">
      <c r="A9676" s="5" t="s">
        <v>19</v>
      </c>
      <c r="B9676" s="5" t="s">
        <v>20</v>
      </c>
      <c r="C9676" s="7" t="s">
        <v>21</v>
      </c>
      <c r="D9676" s="9"/>
      <c r="E9676" s="7" t="s">
        <v>22</v>
      </c>
      <c r="F9676" s="9"/>
      <c r="G9676" s="5" t="s">
        <v>23</v>
      </c>
      <c r="H9676" s="5" t="s">
        <v>24</v>
      </c>
      <c r="I9676" s="5" t="s">
        <v>186</v>
      </c>
      <c r="J9676" s="5" t="s">
        <v>26</v>
      </c>
    </row>
    <row r="9677">
      <c r="A9677" s="6"/>
      <c r="B9677" s="6"/>
      <c r="C9677" s="8" t="s">
        <v>27</v>
      </c>
      <c r="D9677" s="8" t="s">
        <v>28</v>
      </c>
      <c r="E9677" s="8" t="s">
        <v>27</v>
      </c>
      <c r="F9677" s="8" t="s">
        <v>28</v>
      </c>
      <c r="G9677" s="6"/>
      <c r="H9677" s="6"/>
      <c r="I9677" s="10" t="s">
        <v>29</v>
      </c>
      <c r="J9677" s="6"/>
    </row>
    <row r="9678">
      <c r="A9678" s="11" t="s">
        <v>30</v>
      </c>
      <c r="B9678" s="12">
        <v>1025.0213</v>
      </c>
      <c r="C9678" s="12">
        <v>0</v>
      </c>
      <c r="D9678" s="13">
        <v>0</v>
      </c>
      <c r="E9678" s="12">
        <v>0</v>
      </c>
      <c r="F9678" s="14">
        <v>0</v>
      </c>
      <c r="G9678" s="13">
        <v>231000000</v>
      </c>
      <c r="H9678" s="14">
        <v>236779920300</v>
      </c>
      <c r="I9678" s="14" t="e">
        <f>=Round(1244900.83090000,0)</f>
        <v>#VALUE!</v>
      </c>
      <c r="J9678" s="14" t="e">
        <f>=Round(0.00000000,0)</f>
        <v>#VALUE!</v>
      </c>
    </row>
    <row r="9679">
      <c r="A9679" s="11" t="s">
        <v>31</v>
      </c>
      <c r="B9679" s="12">
        <v>1025.3649</v>
      </c>
      <c r="C9679" s="12">
        <v>0</v>
      </c>
      <c r="D9679" s="13">
        <v>0</v>
      </c>
      <c r="E9679" s="12">
        <v>0</v>
      </c>
      <c r="F9679" s="14">
        <v>0</v>
      </c>
      <c r="G9679" s="13">
        <v>231000000</v>
      </c>
      <c r="H9679" s="14">
        <v>236859291900</v>
      </c>
      <c r="I9679" s="14" t="e">
        <f>=Round(1245358.87040000,0)</f>
        <v>#VALUE!</v>
      </c>
      <c r="J9679" s="14" t="e">
        <f>=Round(0.00000000,0)</f>
        <v>#VALUE!</v>
      </c>
    </row>
    <row r="9680">
      <c r="A9680" s="11" t="s">
        <v>32</v>
      </c>
      <c r="B9680" s="12">
        <v>1025.6367</v>
      </c>
      <c r="C9680" s="12">
        <v>0</v>
      </c>
      <c r="D9680" s="13">
        <v>0</v>
      </c>
      <c r="E9680" s="12">
        <v>0</v>
      </c>
      <c r="F9680" s="14">
        <v>0</v>
      </c>
      <c r="G9680" s="13">
        <v>231000000</v>
      </c>
      <c r="H9680" s="14">
        <v>236922077700</v>
      </c>
      <c r="I9680" s="14" t="e">
        <f>=Round(1245776.33030000,0)</f>
        <v>#VALUE!</v>
      </c>
      <c r="J9680" s="14" t="e">
        <f>=Round(0.00000000,0)</f>
        <v>#VALUE!</v>
      </c>
    </row>
    <row r="9681">
      <c r="A9681" s="11" t="s">
        <v>33</v>
      </c>
      <c r="B9681" s="12">
        <v>1026.2244</v>
      </c>
      <c r="C9681" s="12">
        <v>0</v>
      </c>
      <c r="D9681" s="13">
        <v>0</v>
      </c>
      <c r="E9681" s="12">
        <v>0</v>
      </c>
      <c r="F9681" s="14">
        <v>0</v>
      </c>
      <c r="G9681" s="13">
        <v>231000000</v>
      </c>
      <c r="H9681" s="14">
        <v>237057836400</v>
      </c>
      <c r="I9681" s="14" t="e">
        <f>=Round(1246106.55620000,0)</f>
        <v>#VALUE!</v>
      </c>
      <c r="J9681" s="14" t="e">
        <f>=Round(0.00000000,0)</f>
        <v>#VALUE!</v>
      </c>
    </row>
    <row r="9682">
      <c r="A9682" s="11" t="s">
        <v>34</v>
      </c>
      <c r="B9682" s="12">
        <v>1026.2866</v>
      </c>
      <c r="C9682" s="12">
        <v>0</v>
      </c>
      <c r="D9682" s="13">
        <v>0</v>
      </c>
      <c r="E9682" s="12">
        <v>0</v>
      </c>
      <c r="F9682" s="14">
        <v>0</v>
      </c>
      <c r="G9682" s="13">
        <v>231000000</v>
      </c>
      <c r="H9682" s="14">
        <v>237072204600</v>
      </c>
      <c r="I9682" s="14" t="e">
        <f>=Round(1246820.58760000,0)</f>
        <v>#VALUE!</v>
      </c>
      <c r="J9682" s="14" t="e">
        <f>=Round(0.00000000,0)</f>
        <v>#VALUE!</v>
      </c>
    </row>
    <row r="9683">
      <c r="A9683" s="11" t="s">
        <v>35</v>
      </c>
      <c r="B9683" s="12">
        <v>1026.2866</v>
      </c>
      <c r="C9683" s="12">
        <v>0</v>
      </c>
      <c r="D9683" s="13">
        <v>0</v>
      </c>
      <c r="E9683" s="12">
        <v>0</v>
      </c>
      <c r="F9683" s="14">
        <v>0</v>
      </c>
      <c r="G9683" s="13">
        <v>231000000</v>
      </c>
      <c r="H9683" s="14">
        <v>237072204600</v>
      </c>
      <c r="I9683" s="14" t="e">
        <f>=Round(1246896.15810000,0)</f>
        <v>#VALUE!</v>
      </c>
      <c r="J9683" s="14" t="e">
        <f>=Round(0.00000000,0)</f>
        <v>#VALUE!</v>
      </c>
    </row>
    <row r="9684">
      <c r="A9684" s="11" t="s">
        <v>36</v>
      </c>
      <c r="B9684" s="12">
        <v>1026.2866</v>
      </c>
      <c r="C9684" s="12">
        <v>0</v>
      </c>
      <c r="D9684" s="13">
        <v>0</v>
      </c>
      <c r="E9684" s="12">
        <v>0</v>
      </c>
      <c r="F9684" s="14">
        <v>0</v>
      </c>
      <c r="G9684" s="13">
        <v>231000000</v>
      </c>
      <c r="H9684" s="14">
        <v>237072204600</v>
      </c>
      <c r="I9684" s="14" t="e">
        <f>=Round(1246896.15810000,0)</f>
        <v>#VALUE!</v>
      </c>
      <c r="J9684" s="14" t="e">
        <f>=Round(0.00000000,0)</f>
        <v>#VALUE!</v>
      </c>
    </row>
    <row r="9685">
      <c r="A9685" s="11" t="s">
        <v>37</v>
      </c>
      <c r="B9685" s="12">
        <v>1026.8504</v>
      </c>
      <c r="C9685" s="12">
        <v>0</v>
      </c>
      <c r="D9685" s="13">
        <v>0</v>
      </c>
      <c r="E9685" s="12">
        <v>0</v>
      </c>
      <c r="F9685" s="14">
        <v>0</v>
      </c>
      <c r="G9685" s="13">
        <v>231000000</v>
      </c>
      <c r="H9685" s="14">
        <v>237202442400</v>
      </c>
      <c r="I9685" s="14" t="e">
        <f>=Round(1246896.15810000,0)</f>
        <v>#VALUE!</v>
      </c>
      <c r="J9685" s="14" t="e">
        <f>=Round(0.00000000,0)</f>
        <v>#VALUE!</v>
      </c>
    </row>
    <row r="9686">
      <c r="A9686" s="11" t="s">
        <v>38</v>
      </c>
      <c r="B9686" s="12">
        <v>1027.0391</v>
      </c>
      <c r="C9686" s="12">
        <v>0</v>
      </c>
      <c r="D9686" s="13">
        <v>0</v>
      </c>
      <c r="E9686" s="12">
        <v>0</v>
      </c>
      <c r="F9686" s="14">
        <v>0</v>
      </c>
      <c r="G9686" s="13">
        <v>231000000</v>
      </c>
      <c r="H9686" s="14">
        <v>237246032100</v>
      </c>
      <c r="I9686" s="14" t="e">
        <f>=Round(1247581.15200000,0)</f>
        <v>#VALUE!</v>
      </c>
      <c r="J9686" s="14" t="e">
        <f>=Round(0.00000000,0)</f>
        <v>#VALUE!</v>
      </c>
    </row>
    <row r="9687">
      <c r="A9687" s="11" t="s">
        <v>39</v>
      </c>
      <c r="B9687" s="12">
        <v>1027.9083</v>
      </c>
      <c r="C9687" s="12">
        <v>0</v>
      </c>
      <c r="D9687" s="13">
        <v>0</v>
      </c>
      <c r="E9687" s="12">
        <v>0</v>
      </c>
      <c r="F9687" s="14">
        <v>0</v>
      </c>
      <c r="G9687" s="13">
        <v>231000000</v>
      </c>
      <c r="H9687" s="14">
        <v>237446817300</v>
      </c>
      <c r="I9687" s="14" t="e">
        <f>=Round(1247810.41470000,0)</f>
        <v>#VALUE!</v>
      </c>
      <c r="J9687" s="14" t="e">
        <f>=Round(0.00000000,0)</f>
        <v>#VALUE!</v>
      </c>
    </row>
    <row r="9688">
      <c r="A9688" s="11" t="s">
        <v>40</v>
      </c>
      <c r="B9688" s="12">
        <v>1028.2436</v>
      </c>
      <c r="C9688" s="12">
        <v>0</v>
      </c>
      <c r="D9688" s="13">
        <v>0</v>
      </c>
      <c r="E9688" s="12">
        <v>0</v>
      </c>
      <c r="F9688" s="14">
        <v>0</v>
      </c>
      <c r="G9688" s="13">
        <v>231000000</v>
      </c>
      <c r="H9688" s="14">
        <v>237524271600</v>
      </c>
      <c r="I9688" s="14" t="e">
        <f>=Round(1248866.45710000,0)</f>
        <v>#VALUE!</v>
      </c>
      <c r="J9688" s="14" t="e">
        <f>=Round(0.00000000,0)</f>
        <v>#VALUE!</v>
      </c>
    </row>
    <row r="9689">
      <c r="A9689" s="11" t="s">
        <v>41</v>
      </c>
      <c r="B9689" s="12">
        <v>1028.6237</v>
      </c>
      <c r="C9689" s="12">
        <v>0</v>
      </c>
      <c r="D9689" s="13">
        <v>0</v>
      </c>
      <c r="E9689" s="12">
        <v>0</v>
      </c>
      <c r="F9689" s="14">
        <v>0</v>
      </c>
      <c r="G9689" s="13">
        <v>231000000</v>
      </c>
      <c r="H9689" s="14">
        <v>237612074700</v>
      </c>
      <c r="I9689" s="14" t="e">
        <f>=Round(1249273.83290000,0)</f>
        <v>#VALUE!</v>
      </c>
      <c r="J9689" s="14" t="e">
        <f>=Round(0.00000000,0)</f>
        <v>#VALUE!</v>
      </c>
    </row>
    <row r="9690">
      <c r="A9690" s="11" t="s">
        <v>42</v>
      </c>
      <c r="B9690" s="12">
        <v>1028.6237</v>
      </c>
      <c r="C9690" s="12">
        <v>0</v>
      </c>
      <c r="D9690" s="13">
        <v>0</v>
      </c>
      <c r="E9690" s="12">
        <v>0</v>
      </c>
      <c r="F9690" s="14">
        <v>0</v>
      </c>
      <c r="G9690" s="13">
        <v>231000000</v>
      </c>
      <c r="H9690" s="14">
        <v>237612074700</v>
      </c>
      <c r="I9690" s="14" t="e">
        <f>=Round(1249735.63880000,0)</f>
        <v>#VALUE!</v>
      </c>
      <c r="J9690" s="14" t="e">
        <f>=Round(0.00000000,0)</f>
        <v>#VALUE!</v>
      </c>
    </row>
    <row r="9691">
      <c r="A9691" s="11" t="s">
        <v>43</v>
      </c>
      <c r="B9691" s="12">
        <v>1028.6237</v>
      </c>
      <c r="C9691" s="12">
        <v>0</v>
      </c>
      <c r="D9691" s="13">
        <v>0</v>
      </c>
      <c r="E9691" s="12">
        <v>0</v>
      </c>
      <c r="F9691" s="14">
        <v>0</v>
      </c>
      <c r="G9691" s="13">
        <v>231000000</v>
      </c>
      <c r="H9691" s="14">
        <v>237612074700</v>
      </c>
      <c r="I9691" s="14" t="e">
        <f>=Round(1249735.63880000,0)</f>
        <v>#VALUE!</v>
      </c>
      <c r="J9691" s="14" t="e">
        <f>=Round(0.00000000,0)</f>
        <v>#VALUE!</v>
      </c>
    </row>
    <row r="9692">
      <c r="A9692" s="11" t="s">
        <v>44</v>
      </c>
      <c r="B9692" s="12">
        <v>1029.6162</v>
      </c>
      <c r="C9692" s="12">
        <v>0</v>
      </c>
      <c r="D9692" s="13">
        <v>0</v>
      </c>
      <c r="E9692" s="12">
        <v>0</v>
      </c>
      <c r="F9692" s="14">
        <v>0</v>
      </c>
      <c r="G9692" s="13">
        <v>231000000</v>
      </c>
      <c r="H9692" s="14">
        <v>237841342200</v>
      </c>
      <c r="I9692" s="14" t="e">
        <f>=Round(1249735.63880000,0)</f>
        <v>#VALUE!</v>
      </c>
      <c r="J9692" s="14" t="e">
        <f>=Round(0.00000000,0)</f>
        <v>#VALUE!</v>
      </c>
    </row>
    <row r="9693">
      <c r="A9693" s="11" t="s">
        <v>45</v>
      </c>
      <c r="B9693" s="12">
        <v>1029.5797</v>
      </c>
      <c r="C9693" s="12">
        <v>0</v>
      </c>
      <c r="D9693" s="13">
        <v>0</v>
      </c>
      <c r="E9693" s="12">
        <v>0</v>
      </c>
      <c r="F9693" s="14">
        <v>0</v>
      </c>
      <c r="G9693" s="13">
        <v>231000000</v>
      </c>
      <c r="H9693" s="14">
        <v>237832910700</v>
      </c>
      <c r="I9693" s="14" t="e">
        <f>=Round(1250941.48560000,0)</f>
        <v>#VALUE!</v>
      </c>
      <c r="J9693" s="14" t="e">
        <f>=Round(0.00000000,0)</f>
        <v>#VALUE!</v>
      </c>
    </row>
    <row r="9694">
      <c r="A9694" s="11" t="s">
        <v>46</v>
      </c>
      <c r="B9694" s="12">
        <v>1029.9459</v>
      </c>
      <c r="C9694" s="12">
        <v>0</v>
      </c>
      <c r="D9694" s="13">
        <v>0</v>
      </c>
      <c r="E9694" s="12">
        <v>0</v>
      </c>
      <c r="F9694" s="14">
        <v>0</v>
      </c>
      <c r="G9694" s="13">
        <v>231000000</v>
      </c>
      <c r="H9694" s="14">
        <v>237917502900</v>
      </c>
      <c r="I9694" s="14" t="e">
        <f>=Round(1250897.13960000,0)</f>
        <v>#VALUE!</v>
      </c>
      <c r="J9694" s="14" t="e">
        <f>=Round(0.00000000,0)</f>
        <v>#VALUE!</v>
      </c>
    </row>
    <row r="9695">
      <c r="A9695" s="11" t="s">
        <v>47</v>
      </c>
      <c r="B9695" s="12">
        <v>1030.2877</v>
      </c>
      <c r="C9695" s="12">
        <v>0</v>
      </c>
      <c r="D9695" s="13">
        <v>0</v>
      </c>
      <c r="E9695" s="12">
        <v>0</v>
      </c>
      <c r="F9695" s="14">
        <v>0</v>
      </c>
      <c r="G9695" s="13">
        <v>231000000</v>
      </c>
      <c r="H9695" s="14">
        <v>237996458700</v>
      </c>
      <c r="I9695" s="14" t="e">
        <f>=Round(1251342.05760000,0)</f>
        <v>#VALUE!</v>
      </c>
      <c r="J9695" s="14" t="e">
        <f>=Round(0.00000000,0)</f>
        <v>#VALUE!</v>
      </c>
    </row>
    <row r="9696">
      <c r="A9696" s="11" t="s">
        <v>48</v>
      </c>
      <c r="B9696" s="12">
        <v>1030.744</v>
      </c>
      <c r="C9696" s="12">
        <v>0</v>
      </c>
      <c r="D9696" s="13">
        <v>0</v>
      </c>
      <c r="E9696" s="12">
        <v>0</v>
      </c>
      <c r="F9696" s="14">
        <v>0</v>
      </c>
      <c r="G9696" s="13">
        <v>231000000</v>
      </c>
      <c r="H9696" s="14">
        <v>238101864000</v>
      </c>
      <c r="I9696" s="14" t="e">
        <f>=Round(1251757.33060000,0)</f>
        <v>#VALUE!</v>
      </c>
      <c r="J9696" s="14" t="e">
        <f>=Round(0.00000000,0)</f>
        <v>#VALUE!</v>
      </c>
    </row>
    <row r="9697">
      <c r="A9697" s="11" t="s">
        <v>49</v>
      </c>
      <c r="B9697" s="12">
        <v>1030.744</v>
      </c>
      <c r="C9697" s="12">
        <v>0</v>
      </c>
      <c r="D9697" s="13">
        <v>0</v>
      </c>
      <c r="E9697" s="12">
        <v>0</v>
      </c>
      <c r="F9697" s="14">
        <v>0</v>
      </c>
      <c r="G9697" s="13">
        <v>231000000</v>
      </c>
      <c r="H9697" s="14">
        <v>238101864000</v>
      </c>
      <c r="I9697" s="14" t="e">
        <f>=Round(1252311.71640000,0)</f>
        <v>#VALUE!</v>
      </c>
      <c r="J9697" s="14" t="e">
        <f>=Round(0.00000000,0)</f>
        <v>#VALUE!</v>
      </c>
    </row>
    <row r="9698">
      <c r="A9698" s="11" t="s">
        <v>50</v>
      </c>
      <c r="B9698" s="12">
        <v>1030.744</v>
      </c>
      <c r="C9698" s="12">
        <v>0</v>
      </c>
      <c r="D9698" s="13">
        <v>0</v>
      </c>
      <c r="E9698" s="12">
        <v>0</v>
      </c>
      <c r="F9698" s="14">
        <v>0</v>
      </c>
      <c r="G9698" s="13">
        <v>231000000</v>
      </c>
      <c r="H9698" s="14">
        <v>238101864000</v>
      </c>
      <c r="I9698" s="14" t="e">
        <f>=Round(1252311.71640000,0)</f>
        <v>#VALUE!</v>
      </c>
      <c r="J9698" s="14" t="e">
        <f>=Round(0.00000000,0)</f>
        <v>#VALUE!</v>
      </c>
    </row>
    <row r="9699">
      <c r="A9699" s="11" t="s">
        <v>51</v>
      </c>
      <c r="B9699" s="12">
        <v>1031.1851</v>
      </c>
      <c r="C9699" s="12">
        <v>0</v>
      </c>
      <c r="D9699" s="13">
        <v>0</v>
      </c>
      <c r="E9699" s="12">
        <v>0</v>
      </c>
      <c r="F9699" s="14">
        <v>0</v>
      </c>
      <c r="G9699" s="13">
        <v>231000000</v>
      </c>
      <c r="H9699" s="14">
        <v>238203758100</v>
      </c>
      <c r="I9699" s="14" t="e">
        <f>=Round(1252311.71640000,0)</f>
        <v>#VALUE!</v>
      </c>
      <c r="J9699" s="14" t="e">
        <f>=Round(0.00000000,0)</f>
        <v>#VALUE!</v>
      </c>
    </row>
    <row r="9700">
      <c r="A9700" s="11" t="s">
        <v>52</v>
      </c>
      <c r="B9700" s="12">
        <v>1031.329</v>
      </c>
      <c r="C9700" s="12">
        <v>0</v>
      </c>
      <c r="D9700" s="13">
        <v>0</v>
      </c>
      <c r="E9700" s="12">
        <v>0</v>
      </c>
      <c r="F9700" s="14">
        <v>0</v>
      </c>
      <c r="G9700" s="13">
        <v>231000000</v>
      </c>
      <c r="H9700" s="14">
        <v>238236999000</v>
      </c>
      <c r="I9700" s="14" t="e">
        <f>=Round(1252847.63480000,0)</f>
        <v>#VALUE!</v>
      </c>
      <c r="J9700" s="14" t="e">
        <f>=Round(0.00000000,0)</f>
        <v>#VALUE!</v>
      </c>
    </row>
    <row r="9701">
      <c r="A9701" s="11" t="s">
        <v>53</v>
      </c>
      <c r="B9701" s="12">
        <v>1031.4929</v>
      </c>
      <c r="C9701" s="12">
        <v>0</v>
      </c>
      <c r="D9701" s="13">
        <v>0</v>
      </c>
      <c r="E9701" s="12">
        <v>0</v>
      </c>
      <c r="F9701" s="14">
        <v>0</v>
      </c>
      <c r="G9701" s="13">
        <v>231000000</v>
      </c>
      <c r="H9701" s="14">
        <v>238274859900</v>
      </c>
      <c r="I9701" s="14" t="e">
        <f>=Round(1253022.46740000,0)</f>
        <v>#VALUE!</v>
      </c>
      <c r="J9701" s="14" t="e">
        <f>=Round(0.00000000,0)</f>
        <v>#VALUE!</v>
      </c>
    </row>
    <row r="9702">
      <c r="A9702" s="11" t="s">
        <v>54</v>
      </c>
      <c r="B9702" s="12">
        <v>1031.6515</v>
      </c>
      <c r="C9702" s="12">
        <v>0</v>
      </c>
      <c r="D9702" s="13">
        <v>0</v>
      </c>
      <c r="E9702" s="12">
        <v>0</v>
      </c>
      <c r="F9702" s="14">
        <v>0</v>
      </c>
      <c r="G9702" s="13">
        <v>231000000</v>
      </c>
      <c r="H9702" s="14">
        <v>238311496500</v>
      </c>
      <c r="I9702" s="14" t="e">
        <f>=Round(1253221.59920000,0)</f>
        <v>#VALUE!</v>
      </c>
      <c r="J9702" s="14" t="e">
        <f>=Round(0.00000000,0)</f>
        <v>#VALUE!</v>
      </c>
    </row>
    <row r="9703">
      <c r="A9703" s="11" t="s">
        <v>55</v>
      </c>
      <c r="B9703" s="12">
        <v>1031.4205</v>
      </c>
      <c r="C9703" s="12">
        <v>0</v>
      </c>
      <c r="D9703" s="13">
        <v>0</v>
      </c>
      <c r="E9703" s="12">
        <v>0</v>
      </c>
      <c r="F9703" s="14">
        <v>0</v>
      </c>
      <c r="G9703" s="13">
        <v>231000000</v>
      </c>
      <c r="H9703" s="14">
        <v>238258135500</v>
      </c>
      <c r="I9703" s="14" t="e">
        <f>=Round(1253414.29170000,0)</f>
        <v>#VALUE!</v>
      </c>
      <c r="J9703" s="14" t="e">
        <f>=Round(0.00000000,0)</f>
        <v>#VALUE!</v>
      </c>
    </row>
    <row r="9704" ht="-1">
      <c r="A9704" s="15"/>
      <c r="B9704" s="16" t="s">
        <v>56</v>
      </c>
      <c r="C9704" s="15"/>
      <c r="D9704" s="15"/>
      <c r="E9704" s="15"/>
      <c r="F9704" s="15"/>
      <c r="G9704" s="15"/>
      <c r="H9704" s="15"/>
      <c r="I9704" s="17" t="e">
        <f>=Round(SUM(I9678:I9703),0)</f>
        <v>#VALUE!</v>
      </c>
      <c r="J9704" s="17" t="e">
        <f>=Round(SUM(J9678:J9703),0)</f>
        <v>#VALUE!</v>
      </c>
    </row>
    <row r="9705">
      <c r="A9705" s="1" t="s">
        <v>0</v>
      </c>
      <c r="B9705" s="1"/>
      <c r="C9705" s="1"/>
      <c r="D9705" s="1"/>
    </row>
    <row r="9706">
      <c r="A9706" s="0" t="s">
        <v>1</v>
      </c>
      <c r="C9706" s="0" t="s">
        <v>342</v>
      </c>
      <c r="H9706" s="2" t="s">
        <v>3</v>
      </c>
    </row>
    <row r="9707">
      <c r="A9707" s="0" t="s">
        <v>4</v>
      </c>
      <c r="C9707" s="0" t="s">
        <v>343</v>
      </c>
      <c r="H9707" s="3" t="s">
        <v>6</v>
      </c>
    </row>
    <row r="9708">
      <c r="A9708" s="0" t="s">
        <v>7</v>
      </c>
      <c r="C9708" s="4" t="s">
        <v>146</v>
      </c>
      <c r="H9708" s="2" t="s">
        <v>9</v>
      </c>
    </row>
    <row r="9709">
      <c r="A9709" s="0" t="s">
        <v>10</v>
      </c>
      <c r="C9709" s="4" t="s">
        <v>11</v>
      </c>
      <c r="H9709" s="2" t="s">
        <v>12</v>
      </c>
    </row>
    <row r="9710">
      <c r="A9710" s="0" t="s">
        <v>13</v>
      </c>
      <c r="C9710" s="0" t="s">
        <v>14</v>
      </c>
    </row>
    <row r="9711">
      <c r="A9711" s="0" t="s">
        <v>15</v>
      </c>
      <c r="C9711" s="0" t="s">
        <v>16</v>
      </c>
    </row>
    <row r="9712">
      <c r="A9712" s="0" t="s">
        <v>17</v>
      </c>
      <c r="C9712" s="0" t="s">
        <v>18</v>
      </c>
    </row>
    <row r="9715">
      <c r="A9715" s="5" t="s">
        <v>19</v>
      </c>
      <c r="B9715" s="5" t="s">
        <v>20</v>
      </c>
      <c r="C9715" s="7" t="s">
        <v>21</v>
      </c>
      <c r="D9715" s="9"/>
      <c r="E9715" s="7" t="s">
        <v>22</v>
      </c>
      <c r="F9715" s="9"/>
      <c r="G9715" s="5" t="s">
        <v>23</v>
      </c>
      <c r="H9715" s="5" t="s">
        <v>24</v>
      </c>
      <c r="I9715" s="5" t="s">
        <v>147</v>
      </c>
      <c r="J9715" s="5" t="s">
        <v>26</v>
      </c>
    </row>
    <row r="9716">
      <c r="A9716" s="6"/>
      <c r="B9716" s="6"/>
      <c r="C9716" s="8" t="s">
        <v>27</v>
      </c>
      <c r="D9716" s="8" t="s">
        <v>28</v>
      </c>
      <c r="E9716" s="8" t="s">
        <v>27</v>
      </c>
      <c r="F9716" s="8" t="s">
        <v>28</v>
      </c>
      <c r="G9716" s="6"/>
      <c r="H9716" s="6"/>
      <c r="I9716" s="10" t="s">
        <v>29</v>
      </c>
      <c r="J9716" s="6"/>
    </row>
    <row r="9717">
      <c r="A9717" s="11" t="s">
        <v>30</v>
      </c>
      <c r="B9717" s="12">
        <v>947.075</v>
      </c>
      <c r="C9717" s="12">
        <v>0</v>
      </c>
      <c r="D9717" s="13">
        <v>0</v>
      </c>
      <c r="E9717" s="12">
        <v>0</v>
      </c>
      <c r="F9717" s="14">
        <v>0</v>
      </c>
      <c r="G9717" s="13">
        <v>87500000</v>
      </c>
      <c r="H9717" s="14">
        <v>82869062500</v>
      </c>
      <c r="I9717" s="14" t="e">
        <f>=Round(1245227.80050000,0)</f>
        <v>#VALUE!</v>
      </c>
      <c r="J9717" s="14" t="e">
        <f>=Round(0.00000000,0)</f>
        <v>#VALUE!</v>
      </c>
    </row>
    <row r="9718">
      <c r="A9718" s="11" t="s">
        <v>31</v>
      </c>
      <c r="B9718" s="12">
        <v>948.028</v>
      </c>
      <c r="C9718" s="12">
        <v>0</v>
      </c>
      <c r="D9718" s="13">
        <v>0</v>
      </c>
      <c r="E9718" s="12">
        <v>0</v>
      </c>
      <c r="F9718" s="14">
        <v>0</v>
      </c>
      <c r="G9718" s="13">
        <v>87500000</v>
      </c>
      <c r="H9718" s="14">
        <v>82952450000</v>
      </c>
      <c r="I9718" s="14" t="e">
        <f>=Round(1245300.11950000,0)</f>
        <v>#VALUE!</v>
      </c>
      <c r="J9718" s="14" t="e">
        <f>=Round(0.00000000,0)</f>
        <v>#VALUE!</v>
      </c>
    </row>
    <row r="9719">
      <c r="A9719" s="11" t="s">
        <v>32</v>
      </c>
      <c r="B9719" s="12">
        <v>948.086</v>
      </c>
      <c r="C9719" s="12">
        <v>0</v>
      </c>
      <c r="D9719" s="13">
        <v>0</v>
      </c>
      <c r="E9719" s="12">
        <v>0</v>
      </c>
      <c r="F9719" s="14">
        <v>0</v>
      </c>
      <c r="G9719" s="13">
        <v>87500000</v>
      </c>
      <c r="H9719" s="14">
        <v>82957525000</v>
      </c>
      <c r="I9719" s="14" t="e">
        <f>=Round(1246553.21040000,0)</f>
        <v>#VALUE!</v>
      </c>
      <c r="J9719" s="14" t="e">
        <f>=Round(0.00000000,0)</f>
        <v>#VALUE!</v>
      </c>
    </row>
    <row r="9720">
      <c r="A9720" s="11" t="s">
        <v>33</v>
      </c>
      <c r="B9720" s="12">
        <v>945.859</v>
      </c>
      <c r="C9720" s="12">
        <v>0</v>
      </c>
      <c r="D9720" s="13">
        <v>0</v>
      </c>
      <c r="E9720" s="12">
        <v>0</v>
      </c>
      <c r="F9720" s="14">
        <v>0</v>
      </c>
      <c r="G9720" s="13">
        <v>87500000</v>
      </c>
      <c r="H9720" s="14">
        <v>82762662500</v>
      </c>
      <c r="I9720" s="14" t="e">
        <f>=Round(1246629.47400000,0)</f>
        <v>#VALUE!</v>
      </c>
      <c r="J9720" s="14" t="e">
        <f>=Round(0.00000000,0)</f>
        <v>#VALUE!</v>
      </c>
    </row>
    <row r="9721">
      <c r="A9721" s="11" t="s">
        <v>34</v>
      </c>
      <c r="B9721" s="12">
        <v>948.772</v>
      </c>
      <c r="C9721" s="12">
        <v>0</v>
      </c>
      <c r="D9721" s="13">
        <v>0</v>
      </c>
      <c r="E9721" s="12">
        <v>0</v>
      </c>
      <c r="F9721" s="14">
        <v>0</v>
      </c>
      <c r="G9721" s="13">
        <v>87500000</v>
      </c>
      <c r="H9721" s="14">
        <v>83017550000</v>
      </c>
      <c r="I9721" s="14" t="e">
        <f>=Round(1243701.21240000,0)</f>
        <v>#VALUE!</v>
      </c>
      <c r="J9721" s="14" t="e">
        <f>=Round(0.00000000,0)</f>
        <v>#VALUE!</v>
      </c>
    </row>
    <row r="9722">
      <c r="A9722" s="11" t="s">
        <v>35</v>
      </c>
      <c r="B9722" s="12">
        <v>948.772</v>
      </c>
      <c r="C9722" s="12">
        <v>0</v>
      </c>
      <c r="D9722" s="13">
        <v>0</v>
      </c>
      <c r="E9722" s="12">
        <v>0</v>
      </c>
      <c r="F9722" s="14">
        <v>0</v>
      </c>
      <c r="G9722" s="13">
        <v>87500000</v>
      </c>
      <c r="H9722" s="14">
        <v>83017550000</v>
      </c>
      <c r="I9722" s="14" t="e">
        <f>=Round(1247531.48910000,0)</f>
        <v>#VALUE!</v>
      </c>
      <c r="J9722" s="14" t="e">
        <f>=Round(0.00000000,0)</f>
        <v>#VALUE!</v>
      </c>
    </row>
    <row r="9723">
      <c r="A9723" s="11" t="s">
        <v>36</v>
      </c>
      <c r="B9723" s="12">
        <v>948.772</v>
      </c>
      <c r="C9723" s="12">
        <v>0</v>
      </c>
      <c r="D9723" s="13">
        <v>0</v>
      </c>
      <c r="E9723" s="12">
        <v>0</v>
      </c>
      <c r="F9723" s="14">
        <v>0</v>
      </c>
      <c r="G9723" s="13">
        <v>87500000</v>
      </c>
      <c r="H9723" s="14">
        <v>83017550000</v>
      </c>
      <c r="I9723" s="14" t="e">
        <f>=Round(1247531.48910000,0)</f>
        <v>#VALUE!</v>
      </c>
      <c r="J9723" s="14" t="e">
        <f>=Round(0.00000000,0)</f>
        <v>#VALUE!</v>
      </c>
    </row>
    <row r="9724">
      <c r="A9724" s="11" t="s">
        <v>37</v>
      </c>
      <c r="B9724" s="12">
        <v>949.503</v>
      </c>
      <c r="C9724" s="12">
        <v>0</v>
      </c>
      <c r="D9724" s="13">
        <v>0</v>
      </c>
      <c r="E9724" s="12">
        <v>0</v>
      </c>
      <c r="F9724" s="14">
        <v>0</v>
      </c>
      <c r="G9724" s="13">
        <v>87500000</v>
      </c>
      <c r="H9724" s="14">
        <v>83081512500</v>
      </c>
      <c r="I9724" s="14" t="e">
        <f>=Round(1247531.48910000,0)</f>
        <v>#VALUE!</v>
      </c>
      <c r="J9724" s="14" t="e">
        <f>=Round(0.00000000,0)</f>
        <v>#VALUE!</v>
      </c>
    </row>
    <row r="9725">
      <c r="A9725" s="11" t="s">
        <v>38</v>
      </c>
      <c r="B9725" s="12">
        <v>945.031</v>
      </c>
      <c r="C9725" s="12">
        <v>0</v>
      </c>
      <c r="D9725" s="13">
        <v>0</v>
      </c>
      <c r="E9725" s="12">
        <v>0</v>
      </c>
      <c r="F9725" s="14">
        <v>0</v>
      </c>
      <c r="G9725" s="13">
        <v>87500000</v>
      </c>
      <c r="H9725" s="14">
        <v>82690212500</v>
      </c>
      <c r="I9725" s="14" t="e">
        <f>=Round(1248492.67420000,0)</f>
        <v>#VALUE!</v>
      </c>
      <c r="J9725" s="14" t="e">
        <f>=Round(0.00000000,0)</f>
        <v>#VALUE!</v>
      </c>
    </row>
    <row r="9726">
      <c r="A9726" s="11" t="s">
        <v>39</v>
      </c>
      <c r="B9726" s="12">
        <v>946.724</v>
      </c>
      <c r="C9726" s="12">
        <v>0</v>
      </c>
      <c r="D9726" s="13">
        <v>0</v>
      </c>
      <c r="E9726" s="12">
        <v>0</v>
      </c>
      <c r="F9726" s="14">
        <v>0</v>
      </c>
      <c r="G9726" s="13">
        <v>87500000</v>
      </c>
      <c r="H9726" s="14">
        <v>82838350000</v>
      </c>
      <c r="I9726" s="14" t="e">
        <f>=Round(1242612.48290000,0)</f>
        <v>#VALUE!</v>
      </c>
      <c r="J9726" s="14" t="e">
        <f>=Round(0.00000000,0)</f>
        <v>#VALUE!</v>
      </c>
    </row>
    <row r="9727">
      <c r="A9727" s="11" t="s">
        <v>40</v>
      </c>
      <c r="B9727" s="12">
        <v>947.596</v>
      </c>
      <c r="C9727" s="12">
        <v>0</v>
      </c>
      <c r="D9727" s="13">
        <v>0</v>
      </c>
      <c r="E9727" s="12">
        <v>0</v>
      </c>
      <c r="F9727" s="14">
        <v>0</v>
      </c>
      <c r="G9727" s="13">
        <v>87500000</v>
      </c>
      <c r="H9727" s="14">
        <v>82914650000</v>
      </c>
      <c r="I9727" s="14" t="e">
        <f>=Round(1244838.59290000,0)</f>
        <v>#VALUE!</v>
      </c>
      <c r="J9727" s="14" t="e">
        <f>=Round(0.00000000,0)</f>
        <v>#VALUE!</v>
      </c>
    </row>
    <row r="9728">
      <c r="A9728" s="11" t="s">
        <v>41</v>
      </c>
      <c r="B9728" s="12">
        <v>950.762</v>
      </c>
      <c r="C9728" s="12">
        <v>0</v>
      </c>
      <c r="D9728" s="13">
        <v>0</v>
      </c>
      <c r="E9728" s="12">
        <v>0</v>
      </c>
      <c r="F9728" s="14">
        <v>0</v>
      </c>
      <c r="G9728" s="13">
        <v>87500000</v>
      </c>
      <c r="H9728" s="14">
        <v>83191675000</v>
      </c>
      <c r="I9728" s="14" t="e">
        <f>=Round(1245985.17760000,0)</f>
        <v>#VALUE!</v>
      </c>
      <c r="J9728" s="14" t="e">
        <f>=Round(0.00000000,0)</f>
        <v>#VALUE!</v>
      </c>
    </row>
    <row r="9729">
      <c r="A9729" s="11" t="s">
        <v>42</v>
      </c>
      <c r="B9729" s="12">
        <v>950.762</v>
      </c>
      <c r="C9729" s="12">
        <v>0</v>
      </c>
      <c r="D9729" s="13">
        <v>0</v>
      </c>
      <c r="E9729" s="12">
        <v>0</v>
      </c>
      <c r="F9729" s="14">
        <v>0</v>
      </c>
      <c r="G9729" s="13">
        <v>87500000</v>
      </c>
      <c r="H9729" s="14">
        <v>83191675000</v>
      </c>
      <c r="I9729" s="14" t="e">
        <f>=Round(1250148.12160000,0)</f>
        <v>#VALUE!</v>
      </c>
      <c r="J9729" s="14" t="e">
        <f>=Round(0.00000000,0)</f>
        <v>#VALUE!</v>
      </c>
    </row>
    <row r="9730">
      <c r="A9730" s="11" t="s">
        <v>43</v>
      </c>
      <c r="B9730" s="12">
        <v>950.762</v>
      </c>
      <c r="C9730" s="12">
        <v>0</v>
      </c>
      <c r="D9730" s="13">
        <v>0</v>
      </c>
      <c r="E9730" s="12">
        <v>0</v>
      </c>
      <c r="F9730" s="14">
        <v>0</v>
      </c>
      <c r="G9730" s="13">
        <v>87500000</v>
      </c>
      <c r="H9730" s="14">
        <v>83191675000</v>
      </c>
      <c r="I9730" s="14" t="e">
        <f>=Round(1250148.12160000,0)</f>
        <v>#VALUE!</v>
      </c>
      <c r="J9730" s="14" t="e">
        <f>=Round(0.00000000,0)</f>
        <v>#VALUE!</v>
      </c>
    </row>
    <row r="9731">
      <c r="A9731" s="11" t="s">
        <v>44</v>
      </c>
      <c r="B9731" s="12">
        <v>948.935</v>
      </c>
      <c r="C9731" s="12">
        <v>0</v>
      </c>
      <c r="D9731" s="13">
        <v>0</v>
      </c>
      <c r="E9731" s="12">
        <v>0</v>
      </c>
      <c r="F9731" s="14">
        <v>0</v>
      </c>
      <c r="G9731" s="13">
        <v>87500000</v>
      </c>
      <c r="H9731" s="14">
        <v>83031812500</v>
      </c>
      <c r="I9731" s="14" t="e">
        <f>=Round(1250148.12160000,0)</f>
        <v>#VALUE!</v>
      </c>
      <c r="J9731" s="14" t="e">
        <f>=Round(0.00000000,0)</f>
        <v>#VALUE!</v>
      </c>
    </row>
    <row r="9732">
      <c r="A9732" s="11" t="s">
        <v>45</v>
      </c>
      <c r="B9732" s="12">
        <v>948.904</v>
      </c>
      <c r="C9732" s="12">
        <v>0</v>
      </c>
      <c r="D9732" s="13">
        <v>0</v>
      </c>
      <c r="E9732" s="12">
        <v>0</v>
      </c>
      <c r="F9732" s="14">
        <v>0</v>
      </c>
      <c r="G9732" s="13">
        <v>87500000</v>
      </c>
      <c r="H9732" s="14">
        <v>83029100000</v>
      </c>
      <c r="I9732" s="14" t="e">
        <f>=Round(1247745.81630000,0)</f>
        <v>#VALUE!</v>
      </c>
      <c r="J9732" s="14" t="e">
        <f>=Round(0.00000000,0)</f>
        <v>#VALUE!</v>
      </c>
    </row>
    <row r="9733">
      <c r="A9733" s="11" t="s">
        <v>46</v>
      </c>
      <c r="B9733" s="12">
        <v>952.166</v>
      </c>
      <c r="C9733" s="12">
        <v>0</v>
      </c>
      <c r="D9733" s="13">
        <v>0</v>
      </c>
      <c r="E9733" s="12">
        <v>0</v>
      </c>
      <c r="F9733" s="14">
        <v>0</v>
      </c>
      <c r="G9733" s="13">
        <v>87500000</v>
      </c>
      <c r="H9733" s="14">
        <v>83314525000</v>
      </c>
      <c r="I9733" s="14" t="e">
        <f>=Round(1247705.05460000,0)</f>
        <v>#VALUE!</v>
      </c>
      <c r="J9733" s="14" t="e">
        <f>=Round(0.00000000,0)</f>
        <v>#VALUE!</v>
      </c>
    </row>
    <row r="9734">
      <c r="A9734" s="11" t="s">
        <v>47</v>
      </c>
      <c r="B9734" s="12">
        <v>952.906</v>
      </c>
      <c r="C9734" s="12">
        <v>0</v>
      </c>
      <c r="D9734" s="13">
        <v>0</v>
      </c>
      <c r="E9734" s="12">
        <v>0</v>
      </c>
      <c r="F9734" s="14">
        <v>0</v>
      </c>
      <c r="G9734" s="13">
        <v>87500000</v>
      </c>
      <c r="H9734" s="14">
        <v>83379275000</v>
      </c>
      <c r="I9734" s="14" t="e">
        <f>=Round(1251994.22810000,0)</f>
        <v>#VALUE!</v>
      </c>
      <c r="J9734" s="14" t="e">
        <f>=Round(0.00000000,0)</f>
        <v>#VALUE!</v>
      </c>
    </row>
    <row r="9735">
      <c r="A9735" s="11" t="s">
        <v>48</v>
      </c>
      <c r="B9735" s="12">
        <v>953.482</v>
      </c>
      <c r="C9735" s="12">
        <v>0</v>
      </c>
      <c r="D9735" s="13">
        <v>0</v>
      </c>
      <c r="E9735" s="12">
        <v>0</v>
      </c>
      <c r="F9735" s="14">
        <v>0</v>
      </c>
      <c r="G9735" s="13">
        <v>87500000</v>
      </c>
      <c r="H9735" s="14">
        <v>83429675000</v>
      </c>
      <c r="I9735" s="14" t="e">
        <f>=Round(1252967.24730000,0)</f>
        <v>#VALUE!</v>
      </c>
      <c r="J9735" s="14" t="e">
        <f>=Round(0.00000000,0)</f>
        <v>#VALUE!</v>
      </c>
    </row>
    <row r="9736">
      <c r="A9736" s="11" t="s">
        <v>49</v>
      </c>
      <c r="B9736" s="12">
        <v>953.482</v>
      </c>
      <c r="C9736" s="12">
        <v>0</v>
      </c>
      <c r="D9736" s="13">
        <v>0</v>
      </c>
      <c r="E9736" s="12">
        <v>0</v>
      </c>
      <c r="F9736" s="14">
        <v>0</v>
      </c>
      <c r="G9736" s="13">
        <v>87500000</v>
      </c>
      <c r="H9736" s="14">
        <v>83429675000</v>
      </c>
      <c r="I9736" s="14" t="e">
        <f>=Round(1253724.62430000,0)</f>
        <v>#VALUE!</v>
      </c>
      <c r="J9736" s="14" t="e">
        <f>=Round(0.00000000,0)</f>
        <v>#VALUE!</v>
      </c>
    </row>
    <row r="9737">
      <c r="A9737" s="11" t="s">
        <v>50</v>
      </c>
      <c r="B9737" s="12">
        <v>953.482</v>
      </c>
      <c r="C9737" s="12">
        <v>0</v>
      </c>
      <c r="D9737" s="13">
        <v>0</v>
      </c>
      <c r="E9737" s="12">
        <v>0</v>
      </c>
      <c r="F9737" s="14">
        <v>0</v>
      </c>
      <c r="G9737" s="13">
        <v>87500000</v>
      </c>
      <c r="H9737" s="14">
        <v>83429675000</v>
      </c>
      <c r="I9737" s="14" t="e">
        <f>=Round(1253724.62430000,0)</f>
        <v>#VALUE!</v>
      </c>
      <c r="J9737" s="14" t="e">
        <f>=Round(0.00000000,0)</f>
        <v>#VALUE!</v>
      </c>
    </row>
    <row r="9738">
      <c r="A9738" s="11" t="s">
        <v>51</v>
      </c>
      <c r="B9738" s="12">
        <v>953.533</v>
      </c>
      <c r="C9738" s="12">
        <v>0</v>
      </c>
      <c r="D9738" s="13">
        <v>0</v>
      </c>
      <c r="E9738" s="12">
        <v>0</v>
      </c>
      <c r="F9738" s="14">
        <v>0</v>
      </c>
      <c r="G9738" s="13">
        <v>87500000</v>
      </c>
      <c r="H9738" s="14">
        <v>83434137500</v>
      </c>
      <c r="I9738" s="14" t="e">
        <f>=Round(1253724.62430000,0)</f>
        <v>#VALUE!</v>
      </c>
      <c r="J9738" s="14" t="e">
        <f>=Round(0.00000000,0)</f>
        <v>#VALUE!</v>
      </c>
    </row>
    <row r="9739">
      <c r="A9739" s="11" t="s">
        <v>52</v>
      </c>
      <c r="B9739" s="12">
        <v>952.225</v>
      </c>
      <c r="C9739" s="12">
        <v>0</v>
      </c>
      <c r="D9739" s="13">
        <v>0</v>
      </c>
      <c r="E9739" s="12">
        <v>0</v>
      </c>
      <c r="F9739" s="14">
        <v>0</v>
      </c>
      <c r="G9739" s="13">
        <v>87500000</v>
      </c>
      <c r="H9739" s="14">
        <v>83319687500</v>
      </c>
      <c r="I9739" s="14" t="e">
        <f>=Round(1253791.68370000,0)</f>
        <v>#VALUE!</v>
      </c>
      <c r="J9739" s="14" t="e">
        <f>=Round(0.00000000,0)</f>
        <v>#VALUE!</v>
      </c>
    </row>
    <row r="9740">
      <c r="A9740" s="11" t="s">
        <v>53</v>
      </c>
      <c r="B9740" s="12">
        <v>952.45</v>
      </c>
      <c r="C9740" s="12">
        <v>0</v>
      </c>
      <c r="D9740" s="13">
        <v>0</v>
      </c>
      <c r="E9740" s="12">
        <v>0</v>
      </c>
      <c r="F9740" s="14">
        <v>0</v>
      </c>
      <c r="G9740" s="13">
        <v>87500000</v>
      </c>
      <c r="H9740" s="14">
        <v>83339375000</v>
      </c>
      <c r="I9740" s="14" t="e">
        <f>=Round(1252071.80670000,0)</f>
        <v>#VALUE!</v>
      </c>
      <c r="J9740" s="14" t="e">
        <f>=Round(0.00000000,0)</f>
        <v>#VALUE!</v>
      </c>
    </row>
    <row r="9741">
      <c r="A9741" s="11" t="s">
        <v>54</v>
      </c>
      <c r="B9741" s="12">
        <v>953.027</v>
      </c>
      <c r="C9741" s="12">
        <v>0</v>
      </c>
      <c r="D9741" s="13">
        <v>0</v>
      </c>
      <c r="E9741" s="12">
        <v>0</v>
      </c>
      <c r="F9741" s="14">
        <v>0</v>
      </c>
      <c r="G9741" s="13">
        <v>87500000</v>
      </c>
      <c r="H9741" s="14">
        <v>83389862500</v>
      </c>
      <c r="I9741" s="14" t="e">
        <f>=Round(1252367.65710000,0)</f>
        <v>#VALUE!</v>
      </c>
      <c r="J9741" s="14" t="e">
        <f>=Round(0.00000000,0)</f>
        <v>#VALUE!</v>
      </c>
    </row>
    <row r="9742">
      <c r="A9742" s="11" t="s">
        <v>55</v>
      </c>
      <c r="B9742" s="12">
        <v>952.3</v>
      </c>
      <c r="C9742" s="12">
        <v>0</v>
      </c>
      <c r="D9742" s="13">
        <v>0</v>
      </c>
      <c r="E9742" s="12">
        <v>0</v>
      </c>
      <c r="F9742" s="14">
        <v>0</v>
      </c>
      <c r="G9742" s="13">
        <v>87500000</v>
      </c>
      <c r="H9742" s="14">
        <v>83326250000</v>
      </c>
      <c r="I9742" s="14" t="e">
        <f>=Round(1253126.34900000,0)</f>
        <v>#VALUE!</v>
      </c>
      <c r="J9742" s="14" t="e">
        <f>=Round(0.00000000,0)</f>
        <v>#VALUE!</v>
      </c>
    </row>
    <row r="9743" ht="-1">
      <c r="A9743" s="15"/>
      <c r="B9743" s="16" t="s">
        <v>56</v>
      </c>
      <c r="C9743" s="15"/>
      <c r="D9743" s="15"/>
      <c r="E9743" s="15"/>
      <c r="F9743" s="15"/>
      <c r="G9743" s="15"/>
      <c r="H9743" s="15"/>
      <c r="I9743" s="17" t="e">
        <f>=Round(SUM(I9717:I9742),0)</f>
        <v>#VALUE!</v>
      </c>
      <c r="J9743" s="17" t="e">
        <f>=Round(SUM(J9717:J9742),0)</f>
        <v>#VALUE!</v>
      </c>
    </row>
    <row r="9744">
      <c r="A9744" s="1" t="s">
        <v>0</v>
      </c>
      <c r="B9744" s="1"/>
      <c r="C9744" s="1"/>
      <c r="D9744" s="1"/>
    </row>
    <row r="9745">
      <c r="A9745" s="0" t="s">
        <v>1</v>
      </c>
      <c r="C9745" s="0" t="s">
        <v>344</v>
      </c>
      <c r="H9745" s="2" t="s">
        <v>3</v>
      </c>
    </row>
    <row r="9746">
      <c r="A9746" s="0" t="s">
        <v>4</v>
      </c>
      <c r="C9746" s="0" t="s">
        <v>104</v>
      </c>
      <c r="H9746" s="3" t="s">
        <v>6</v>
      </c>
    </row>
    <row r="9747">
      <c r="A9747" s="0" t="s">
        <v>7</v>
      </c>
      <c r="C9747" s="4" t="s">
        <v>194</v>
      </c>
      <c r="H9747" s="2" t="s">
        <v>9</v>
      </c>
    </row>
    <row r="9748">
      <c r="A9748" s="0" t="s">
        <v>10</v>
      </c>
      <c r="C9748" s="4" t="s">
        <v>11</v>
      </c>
      <c r="H9748" s="2" t="s">
        <v>12</v>
      </c>
    </row>
    <row r="9749">
      <c r="A9749" s="0" t="s">
        <v>13</v>
      </c>
      <c r="C9749" s="0" t="s">
        <v>14</v>
      </c>
    </row>
    <row r="9750">
      <c r="A9750" s="0" t="s">
        <v>15</v>
      </c>
      <c r="C9750" s="0" t="s">
        <v>16</v>
      </c>
    </row>
    <row r="9751">
      <c r="A9751" s="0" t="s">
        <v>17</v>
      </c>
      <c r="C9751" s="0" t="s">
        <v>18</v>
      </c>
    </row>
    <row r="9754">
      <c r="A9754" s="5" t="s">
        <v>19</v>
      </c>
      <c r="B9754" s="5" t="s">
        <v>20</v>
      </c>
      <c r="C9754" s="7" t="s">
        <v>21</v>
      </c>
      <c r="D9754" s="9"/>
      <c r="E9754" s="7" t="s">
        <v>22</v>
      </c>
      <c r="F9754" s="9"/>
      <c r="G9754" s="5" t="s">
        <v>23</v>
      </c>
      <c r="H9754" s="5" t="s">
        <v>24</v>
      </c>
      <c r="I9754" s="5" t="s">
        <v>195</v>
      </c>
      <c r="J9754" s="5" t="s">
        <v>26</v>
      </c>
    </row>
    <row r="9755">
      <c r="A9755" s="6"/>
      <c r="B9755" s="6"/>
      <c r="C9755" s="8" t="s">
        <v>27</v>
      </c>
      <c r="D9755" s="8" t="s">
        <v>28</v>
      </c>
      <c r="E9755" s="8" t="s">
        <v>27</v>
      </c>
      <c r="F9755" s="8" t="s">
        <v>28</v>
      </c>
      <c r="G9755" s="6"/>
      <c r="H9755" s="6"/>
      <c r="I9755" s="10" t="s">
        <v>29</v>
      </c>
      <c r="J9755" s="6"/>
    </row>
    <row r="9756">
      <c r="A9756" s="11" t="s">
        <v>30</v>
      </c>
      <c r="B9756" s="12">
        <v>797.919</v>
      </c>
      <c r="C9756" s="12">
        <v>0</v>
      </c>
      <c r="D9756" s="13">
        <v>0</v>
      </c>
      <c r="E9756" s="12">
        <v>0</v>
      </c>
      <c r="F9756" s="14">
        <v>0</v>
      </c>
      <c r="G9756" s="13">
        <v>3681.2212</v>
      </c>
      <c r="H9756" s="14">
        <v>2937316.338683</v>
      </c>
      <c r="I9756" s="14" t="e">
        <f>=Round(110.83610000,0)</f>
        <v>#VALUE!</v>
      </c>
      <c r="J9756" s="14" t="e">
        <f>=Round(0.00000000,0)</f>
        <v>#VALUE!</v>
      </c>
    </row>
    <row r="9757">
      <c r="A9757" s="11" t="s">
        <v>31</v>
      </c>
      <c r="B9757" s="12">
        <v>795.171</v>
      </c>
      <c r="C9757" s="12">
        <v>0</v>
      </c>
      <c r="D9757" s="13">
        <v>0</v>
      </c>
      <c r="E9757" s="12">
        <v>0</v>
      </c>
      <c r="F9757" s="14">
        <v>0</v>
      </c>
      <c r="G9757" s="13">
        <v>3681.2212</v>
      </c>
      <c r="H9757" s="14">
        <v>2927200.342825</v>
      </c>
      <c r="I9757" s="14" t="e">
        <f>=Round(110.35000000,0)</f>
        <v>#VALUE!</v>
      </c>
      <c r="J9757" s="14" t="e">
        <f>=Round(0.00000000,0)</f>
        <v>#VALUE!</v>
      </c>
    </row>
    <row r="9758">
      <c r="A9758" s="11" t="s">
        <v>32</v>
      </c>
      <c r="B9758" s="12">
        <v>797.076</v>
      </c>
      <c r="C9758" s="12">
        <v>0</v>
      </c>
      <c r="D9758" s="13">
        <v>0</v>
      </c>
      <c r="E9758" s="12">
        <v>0</v>
      </c>
      <c r="F9758" s="14">
        <v>0</v>
      </c>
      <c r="G9758" s="13">
        <v>3681.2212</v>
      </c>
      <c r="H9758" s="14">
        <v>2934213.069211</v>
      </c>
      <c r="I9758" s="14" t="e">
        <f>=Round(109.97000000,0)</f>
        <v>#VALUE!</v>
      </c>
      <c r="J9758" s="14" t="e">
        <f>=Round(0.00000000,0)</f>
        <v>#VALUE!</v>
      </c>
    </row>
    <row r="9759">
      <c r="A9759" s="11" t="s">
        <v>33</v>
      </c>
      <c r="B9759" s="12">
        <v>802.157</v>
      </c>
      <c r="C9759" s="12">
        <v>0</v>
      </c>
      <c r="D9759" s="13">
        <v>0</v>
      </c>
      <c r="E9759" s="12">
        <v>0</v>
      </c>
      <c r="F9759" s="14">
        <v>0</v>
      </c>
      <c r="G9759" s="13">
        <v>3681.2212</v>
      </c>
      <c r="H9759" s="14">
        <v>2952917.354128</v>
      </c>
      <c r="I9759" s="14" t="e">
        <f>=Round(110.23340000,0)</f>
        <v>#VALUE!</v>
      </c>
      <c r="J9759" s="14" t="e">
        <f>=Round(0.00000000,0)</f>
        <v>#VALUE!</v>
      </c>
    </row>
    <row r="9760">
      <c r="A9760" s="11" t="s">
        <v>34</v>
      </c>
      <c r="B9760" s="12">
        <v>806.916</v>
      </c>
      <c r="C9760" s="12">
        <v>0</v>
      </c>
      <c r="D9760" s="13">
        <v>0</v>
      </c>
      <c r="E9760" s="12">
        <v>0</v>
      </c>
      <c r="F9760" s="14">
        <v>0</v>
      </c>
      <c r="G9760" s="13">
        <v>3681.2212</v>
      </c>
      <c r="H9760" s="14">
        <v>2970436.285819</v>
      </c>
      <c r="I9760" s="14" t="e">
        <f>=Round(110.93610000,0)</f>
        <v>#VALUE!</v>
      </c>
      <c r="J9760" s="14" t="e">
        <f>=Round(0.00000000,0)</f>
        <v>#VALUE!</v>
      </c>
    </row>
    <row r="9761">
      <c r="A9761" s="11" t="s">
        <v>35</v>
      </c>
      <c r="B9761" s="12">
        <v>806.916</v>
      </c>
      <c r="C9761" s="12">
        <v>0</v>
      </c>
      <c r="D9761" s="13">
        <v>0</v>
      </c>
      <c r="E9761" s="12">
        <v>0</v>
      </c>
      <c r="F9761" s="14">
        <v>0</v>
      </c>
      <c r="G9761" s="13">
        <v>3681.2212</v>
      </c>
      <c r="H9761" s="14">
        <v>2970436.285819</v>
      </c>
      <c r="I9761" s="14" t="e">
        <f>=Round(111.59430000,0)</f>
        <v>#VALUE!</v>
      </c>
      <c r="J9761" s="14" t="e">
        <f>=Round(0.00000000,0)</f>
        <v>#VALUE!</v>
      </c>
    </row>
    <row r="9762">
      <c r="A9762" s="11" t="s">
        <v>36</v>
      </c>
      <c r="B9762" s="12">
        <v>806.916</v>
      </c>
      <c r="C9762" s="12">
        <v>0</v>
      </c>
      <c r="D9762" s="13">
        <v>0</v>
      </c>
      <c r="E9762" s="12">
        <v>0</v>
      </c>
      <c r="F9762" s="14">
        <v>0</v>
      </c>
      <c r="G9762" s="13">
        <v>3681.2212</v>
      </c>
      <c r="H9762" s="14">
        <v>2970436.285819</v>
      </c>
      <c r="I9762" s="14" t="e">
        <f>=Round(111.59430000,0)</f>
        <v>#VALUE!</v>
      </c>
      <c r="J9762" s="14" t="e">
        <f>=Round(0.00000000,0)</f>
        <v>#VALUE!</v>
      </c>
    </row>
    <row r="9763">
      <c r="A9763" s="11" t="s">
        <v>37</v>
      </c>
      <c r="B9763" s="12">
        <v>802.174</v>
      </c>
      <c r="C9763" s="12">
        <v>0</v>
      </c>
      <c r="D9763" s="13">
        <v>0</v>
      </c>
      <c r="E9763" s="12">
        <v>0</v>
      </c>
      <c r="F9763" s="14">
        <v>0</v>
      </c>
      <c r="G9763" s="13">
        <v>3681.2212</v>
      </c>
      <c r="H9763" s="14">
        <v>2952979.934889</v>
      </c>
      <c r="I9763" s="14" t="e">
        <f>=Round(111.59430000,0)</f>
        <v>#VALUE!</v>
      </c>
      <c r="J9763" s="14" t="e">
        <f>=Round(0.00000000,0)</f>
        <v>#VALUE!</v>
      </c>
    </row>
    <row r="9764">
      <c r="A9764" s="11" t="s">
        <v>38</v>
      </c>
      <c r="B9764" s="12">
        <v>800.522</v>
      </c>
      <c r="C9764" s="12">
        <v>0</v>
      </c>
      <c r="D9764" s="13">
        <v>0</v>
      </c>
      <c r="E9764" s="12">
        <v>0</v>
      </c>
      <c r="F9764" s="14">
        <v>0</v>
      </c>
      <c r="G9764" s="13">
        <v>3681.2212</v>
      </c>
      <c r="H9764" s="14">
        <v>2946898.557466</v>
      </c>
      <c r="I9764" s="14" t="e">
        <f>=Round(110.93850000,0)</f>
        <v>#VALUE!</v>
      </c>
      <c r="J9764" s="14" t="e">
        <f>=Round(0.00000000,0)</f>
        <v>#VALUE!</v>
      </c>
    </row>
    <row r="9765">
      <c r="A9765" s="11" t="s">
        <v>39</v>
      </c>
      <c r="B9765" s="12">
        <v>803.068</v>
      </c>
      <c r="C9765" s="12">
        <v>0</v>
      </c>
      <c r="D9765" s="13">
        <v>0</v>
      </c>
      <c r="E9765" s="12">
        <v>0</v>
      </c>
      <c r="F9765" s="14">
        <v>0</v>
      </c>
      <c r="G9765" s="13">
        <v>3681.2212</v>
      </c>
      <c r="H9765" s="14">
        <v>2956270.946642</v>
      </c>
      <c r="I9765" s="14" t="e">
        <f>=Round(110.71000000,0)</f>
        <v>#VALUE!</v>
      </c>
      <c r="J9765" s="14" t="e">
        <f>=Round(0.00000000,0)</f>
        <v>#VALUE!</v>
      </c>
    </row>
    <row r="9766">
      <c r="A9766" s="11" t="s">
        <v>40</v>
      </c>
      <c r="B9766" s="12">
        <v>800.283</v>
      </c>
      <c r="C9766" s="12">
        <v>0</v>
      </c>
      <c r="D9766" s="13">
        <v>0</v>
      </c>
      <c r="E9766" s="12">
        <v>0</v>
      </c>
      <c r="F9766" s="14">
        <v>0</v>
      </c>
      <c r="G9766" s="13">
        <v>3681.2212</v>
      </c>
      <c r="H9766" s="14">
        <v>2946018.7456</v>
      </c>
      <c r="I9766" s="14" t="e">
        <f>=Round(111.06210000,0)</f>
        <v>#VALUE!</v>
      </c>
      <c r="J9766" s="14" t="e">
        <f>=Round(0.00000000,0)</f>
        <v>#VALUE!</v>
      </c>
    </row>
    <row r="9767">
      <c r="A9767" s="11" t="s">
        <v>41</v>
      </c>
      <c r="B9767" s="12">
        <v>799.674</v>
      </c>
      <c r="C9767" s="12">
        <v>0</v>
      </c>
      <c r="D9767" s="13">
        <v>0</v>
      </c>
      <c r="E9767" s="12">
        <v>0</v>
      </c>
      <c r="F9767" s="14">
        <v>0</v>
      </c>
      <c r="G9767" s="13">
        <v>3681.2212</v>
      </c>
      <c r="H9767" s="14">
        <v>2943776.881889</v>
      </c>
      <c r="I9767" s="14" t="e">
        <f>=Round(110.67690000,0)</f>
        <v>#VALUE!</v>
      </c>
      <c r="J9767" s="14" t="e">
        <f>=Round(0.00000000,0)</f>
        <v>#VALUE!</v>
      </c>
    </row>
    <row r="9768">
      <c r="A9768" s="11" t="s">
        <v>42</v>
      </c>
      <c r="B9768" s="12">
        <v>799.674</v>
      </c>
      <c r="C9768" s="12">
        <v>0</v>
      </c>
      <c r="D9768" s="13">
        <v>0</v>
      </c>
      <c r="E9768" s="12">
        <v>0</v>
      </c>
      <c r="F9768" s="14">
        <v>0</v>
      </c>
      <c r="G9768" s="13">
        <v>3681.2212</v>
      </c>
      <c r="H9768" s="14">
        <v>2943776.881889</v>
      </c>
      <c r="I9768" s="14" t="e">
        <f>=Round(110.59270000,0)</f>
        <v>#VALUE!</v>
      </c>
      <c r="J9768" s="14" t="e">
        <f>=Round(0.00000000,0)</f>
        <v>#VALUE!</v>
      </c>
    </row>
    <row r="9769">
      <c r="A9769" s="11" t="s">
        <v>43</v>
      </c>
      <c r="B9769" s="12">
        <v>799.674</v>
      </c>
      <c r="C9769" s="12">
        <v>0</v>
      </c>
      <c r="D9769" s="13">
        <v>0</v>
      </c>
      <c r="E9769" s="12">
        <v>0</v>
      </c>
      <c r="F9769" s="14">
        <v>0</v>
      </c>
      <c r="G9769" s="13">
        <v>3681.2212</v>
      </c>
      <c r="H9769" s="14">
        <v>2943776.881889</v>
      </c>
      <c r="I9769" s="14" t="e">
        <f>=Round(110.59270000,0)</f>
        <v>#VALUE!</v>
      </c>
      <c r="J9769" s="14" t="e">
        <f>=Round(0.00000000,0)</f>
        <v>#VALUE!</v>
      </c>
    </row>
    <row r="9770">
      <c r="A9770" s="11" t="s">
        <v>44</v>
      </c>
      <c r="B9770" s="12">
        <v>799.519</v>
      </c>
      <c r="C9770" s="12">
        <v>0</v>
      </c>
      <c r="D9770" s="13">
        <v>0</v>
      </c>
      <c r="E9770" s="12">
        <v>0</v>
      </c>
      <c r="F9770" s="14">
        <v>0</v>
      </c>
      <c r="G9770" s="13">
        <v>3681.2212</v>
      </c>
      <c r="H9770" s="14">
        <v>2943206.292603</v>
      </c>
      <c r="I9770" s="14" t="e">
        <f>=Round(110.59270000,0)</f>
        <v>#VALUE!</v>
      </c>
      <c r="J9770" s="14" t="e">
        <f>=Round(0.00000000,0)</f>
        <v>#VALUE!</v>
      </c>
    </row>
    <row r="9771">
      <c r="A9771" s="11" t="s">
        <v>45</v>
      </c>
      <c r="B9771" s="12">
        <v>806.773</v>
      </c>
      <c r="C9771" s="12">
        <v>0</v>
      </c>
      <c r="D9771" s="13">
        <v>0</v>
      </c>
      <c r="E9771" s="12">
        <v>0</v>
      </c>
      <c r="F9771" s="14">
        <v>0</v>
      </c>
      <c r="G9771" s="13">
        <v>3681.2212</v>
      </c>
      <c r="H9771" s="14">
        <v>2969909.871188</v>
      </c>
      <c r="I9771" s="14" t="e">
        <f>=Round(110.57130000,0)</f>
        <v>#VALUE!</v>
      </c>
      <c r="J9771" s="14" t="e">
        <f>=Round(0.00000000,0)</f>
        <v>#VALUE!</v>
      </c>
    </row>
    <row r="9772">
      <c r="A9772" s="11" t="s">
        <v>46</v>
      </c>
      <c r="B9772" s="12">
        <v>808.781</v>
      </c>
      <c r="C9772" s="12">
        <v>0</v>
      </c>
      <c r="D9772" s="13">
        <v>0</v>
      </c>
      <c r="E9772" s="12">
        <v>0</v>
      </c>
      <c r="F9772" s="14">
        <v>0</v>
      </c>
      <c r="G9772" s="13">
        <v>3681.2212</v>
      </c>
      <c r="H9772" s="14">
        <v>2977301.763357</v>
      </c>
      <c r="I9772" s="14" t="e">
        <f>=Round(111.57450000,0)</f>
        <v>#VALUE!</v>
      </c>
      <c r="J9772" s="14" t="e">
        <f>=Round(0.00000000,0)</f>
        <v>#VALUE!</v>
      </c>
    </row>
    <row r="9773">
      <c r="A9773" s="11" t="s">
        <v>47</v>
      </c>
      <c r="B9773" s="12">
        <v>802.745</v>
      </c>
      <c r="C9773" s="12">
        <v>0</v>
      </c>
      <c r="D9773" s="13">
        <v>0</v>
      </c>
      <c r="E9773" s="12">
        <v>0</v>
      </c>
      <c r="F9773" s="14">
        <v>0</v>
      </c>
      <c r="G9773" s="13">
        <v>3681.2212</v>
      </c>
      <c r="H9773" s="14">
        <v>2955081.912194</v>
      </c>
      <c r="I9773" s="14" t="e">
        <f>=Round(111.85220000,0)</f>
        <v>#VALUE!</v>
      </c>
      <c r="J9773" s="14" t="e">
        <f>=Round(0.00000000,0)</f>
        <v>#VALUE!</v>
      </c>
    </row>
    <row r="9774">
      <c r="A9774" s="11" t="s">
        <v>48</v>
      </c>
      <c r="B9774" s="12">
        <v>797.84</v>
      </c>
      <c r="C9774" s="12">
        <v>0</v>
      </c>
      <c r="D9774" s="13">
        <v>0</v>
      </c>
      <c r="E9774" s="12">
        <v>0</v>
      </c>
      <c r="F9774" s="14">
        <v>0</v>
      </c>
      <c r="G9774" s="13">
        <v>3681.2212</v>
      </c>
      <c r="H9774" s="14">
        <v>2937025.522208</v>
      </c>
      <c r="I9774" s="14" t="e">
        <f>=Round(111.01740000,0)</f>
        <v>#VALUE!</v>
      </c>
      <c r="J9774" s="14" t="e">
        <f>=Round(0.00000000,0)</f>
        <v>#VALUE!</v>
      </c>
    </row>
    <row r="9775">
      <c r="A9775" s="11" t="s">
        <v>49</v>
      </c>
      <c r="B9775" s="12">
        <v>797.84</v>
      </c>
      <c r="C9775" s="12">
        <v>0</v>
      </c>
      <c r="D9775" s="13">
        <v>0</v>
      </c>
      <c r="E9775" s="12">
        <v>0</v>
      </c>
      <c r="F9775" s="14">
        <v>0</v>
      </c>
      <c r="G9775" s="13">
        <v>3681.2212</v>
      </c>
      <c r="H9775" s="14">
        <v>2937025.522208</v>
      </c>
      <c r="I9775" s="14" t="e">
        <f>=Round(110.33910000,0)</f>
        <v>#VALUE!</v>
      </c>
      <c r="J9775" s="14" t="e">
        <f>=Round(0.00000000,0)</f>
        <v>#VALUE!</v>
      </c>
    </row>
    <row r="9776">
      <c r="A9776" s="11" t="s">
        <v>50</v>
      </c>
      <c r="B9776" s="12">
        <v>797.84</v>
      </c>
      <c r="C9776" s="12">
        <v>0</v>
      </c>
      <c r="D9776" s="13">
        <v>0</v>
      </c>
      <c r="E9776" s="12">
        <v>0</v>
      </c>
      <c r="F9776" s="14">
        <v>0</v>
      </c>
      <c r="G9776" s="13">
        <v>3681.2212</v>
      </c>
      <c r="H9776" s="14">
        <v>2937025.522208</v>
      </c>
      <c r="I9776" s="14" t="e">
        <f>=Round(110.33910000,0)</f>
        <v>#VALUE!</v>
      </c>
      <c r="J9776" s="14" t="e">
        <f>=Round(0.00000000,0)</f>
        <v>#VALUE!</v>
      </c>
    </row>
    <row r="9777">
      <c r="A9777" s="11" t="s">
        <v>51</v>
      </c>
      <c r="B9777" s="12">
        <v>794.461</v>
      </c>
      <c r="C9777" s="12">
        <v>0</v>
      </c>
      <c r="D9777" s="13">
        <v>0</v>
      </c>
      <c r="E9777" s="12">
        <v>0</v>
      </c>
      <c r="F9777" s="14">
        <v>0</v>
      </c>
      <c r="G9777" s="13">
        <v>3681.2212</v>
      </c>
      <c r="H9777" s="14">
        <v>2924586.675773</v>
      </c>
      <c r="I9777" s="14" t="e">
        <f>=Round(110.33910000,0)</f>
        <v>#VALUE!</v>
      </c>
      <c r="J9777" s="14" t="e">
        <f>=Round(0.00000000,0)</f>
        <v>#VALUE!</v>
      </c>
    </row>
    <row r="9778">
      <c r="A9778" s="11" t="s">
        <v>52</v>
      </c>
      <c r="B9778" s="12">
        <v>792.098</v>
      </c>
      <c r="C9778" s="12">
        <v>0</v>
      </c>
      <c r="D9778" s="13">
        <v>0</v>
      </c>
      <c r="E9778" s="12">
        <v>0</v>
      </c>
      <c r="F9778" s="14">
        <v>0</v>
      </c>
      <c r="G9778" s="13">
        <v>3681.2212</v>
      </c>
      <c r="H9778" s="14">
        <v>2915887.950078</v>
      </c>
      <c r="I9778" s="14" t="e">
        <f>=Round(109.87180000,0)</f>
        <v>#VALUE!</v>
      </c>
      <c r="J9778" s="14" t="e">
        <f>=Round(0.00000000,0)</f>
        <v>#VALUE!</v>
      </c>
    </row>
    <row r="9779">
      <c r="A9779" s="11" t="s">
        <v>53</v>
      </c>
      <c r="B9779" s="12">
        <v>786.887</v>
      </c>
      <c r="C9779" s="12">
        <v>0</v>
      </c>
      <c r="D9779" s="13">
        <v>0</v>
      </c>
      <c r="E9779" s="12">
        <v>0</v>
      </c>
      <c r="F9779" s="14">
        <v>0</v>
      </c>
      <c r="G9779" s="13">
        <v>3681.2212</v>
      </c>
      <c r="H9779" s="14">
        <v>2896705.106404</v>
      </c>
      <c r="I9779" s="14" t="e">
        <f>=Round(109.54500000,0)</f>
        <v>#VALUE!</v>
      </c>
      <c r="J9779" s="14" t="e">
        <f>=Round(0.00000000,0)</f>
        <v>#VALUE!</v>
      </c>
    </row>
    <row r="9780">
      <c r="A9780" s="11" t="s">
        <v>54</v>
      </c>
      <c r="B9780" s="12">
        <v>781.501</v>
      </c>
      <c r="C9780" s="12">
        <v>0</v>
      </c>
      <c r="D9780" s="13">
        <v>0</v>
      </c>
      <c r="E9780" s="12">
        <v>0</v>
      </c>
      <c r="F9780" s="14">
        <v>0</v>
      </c>
      <c r="G9780" s="13">
        <v>3681.2212</v>
      </c>
      <c r="H9780" s="14">
        <v>2876878.049021</v>
      </c>
      <c r="I9780" s="14" t="e">
        <f>=Round(108.82430000,0)</f>
        <v>#VALUE!</v>
      </c>
      <c r="J9780" s="14" t="e">
        <f>=Round(0.00000000,0)</f>
        <v>#VALUE!</v>
      </c>
    </row>
    <row r="9781">
      <c r="A9781" s="11" t="s">
        <v>55</v>
      </c>
      <c r="B9781" s="12">
        <v>776.906</v>
      </c>
      <c r="C9781" s="12">
        <v>0</v>
      </c>
      <c r="D9781" s="13">
        <v>0</v>
      </c>
      <c r="E9781" s="12">
        <v>0</v>
      </c>
      <c r="F9781" s="14">
        <v>0</v>
      </c>
      <c r="G9781" s="13">
        <v>3681.2212</v>
      </c>
      <c r="H9781" s="14">
        <v>2859962.837607</v>
      </c>
      <c r="I9781" s="14" t="e">
        <f>=Round(108.07940000,0)</f>
        <v>#VALUE!</v>
      </c>
      <c r="J9781" s="14" t="e">
        <f>=Round(0.00000000,0)</f>
        <v>#VALUE!</v>
      </c>
    </row>
    <row r="9782" ht="-1">
      <c r="A9782" s="15"/>
      <c r="B9782" s="16" t="s">
        <v>56</v>
      </c>
      <c r="C9782" s="15"/>
      <c r="D9782" s="15"/>
      <c r="E9782" s="15"/>
      <c r="F9782" s="15"/>
      <c r="G9782" s="15"/>
      <c r="H9782" s="15"/>
      <c r="I9782" s="17" t="e">
        <f>=Round(SUM(I9756:I9781),0)</f>
        <v>#VALUE!</v>
      </c>
      <c r="J9782" s="17" t="e">
        <f>=Round(SUM(J9756:J9781),0)</f>
        <v>#VALUE!</v>
      </c>
    </row>
    <row r="9783">
      <c r="A9783" s="1" t="s">
        <v>0</v>
      </c>
      <c r="B9783" s="1"/>
      <c r="C9783" s="1"/>
      <c r="D9783" s="1"/>
    </row>
    <row r="9784">
      <c r="A9784" s="0" t="s">
        <v>1</v>
      </c>
      <c r="C9784" s="0" t="s">
        <v>344</v>
      </c>
      <c r="H9784" s="2" t="s">
        <v>3</v>
      </c>
    </row>
    <row r="9785">
      <c r="A9785" s="0" t="s">
        <v>4</v>
      </c>
      <c r="C9785" s="0" t="s">
        <v>319</v>
      </c>
      <c r="H9785" s="3" t="s">
        <v>6</v>
      </c>
    </row>
    <row r="9786">
      <c r="A9786" s="0" t="s">
        <v>7</v>
      </c>
      <c r="C9786" s="4" t="s">
        <v>194</v>
      </c>
      <c r="H9786" s="2" t="s">
        <v>9</v>
      </c>
    </row>
    <row r="9787">
      <c r="A9787" s="0" t="s">
        <v>10</v>
      </c>
      <c r="C9787" s="4" t="s">
        <v>11</v>
      </c>
      <c r="H9787" s="2" t="s">
        <v>12</v>
      </c>
    </row>
    <row r="9788">
      <c r="A9788" s="0" t="s">
        <v>13</v>
      </c>
      <c r="C9788" s="0" t="s">
        <v>14</v>
      </c>
    </row>
    <row r="9789">
      <c r="A9789" s="0" t="s">
        <v>15</v>
      </c>
      <c r="C9789" s="0" t="s">
        <v>16</v>
      </c>
    </row>
    <row r="9790">
      <c r="A9790" s="0" t="s">
        <v>17</v>
      </c>
      <c r="C9790" s="0" t="s">
        <v>18</v>
      </c>
    </row>
    <row r="9793">
      <c r="A9793" s="5" t="s">
        <v>19</v>
      </c>
      <c r="B9793" s="5" t="s">
        <v>20</v>
      </c>
      <c r="C9793" s="7" t="s">
        <v>21</v>
      </c>
      <c r="D9793" s="9"/>
      <c r="E9793" s="7" t="s">
        <v>22</v>
      </c>
      <c r="F9793" s="9"/>
      <c r="G9793" s="5" t="s">
        <v>23</v>
      </c>
      <c r="H9793" s="5" t="s">
        <v>24</v>
      </c>
      <c r="I9793" s="5" t="s">
        <v>195</v>
      </c>
      <c r="J9793" s="5" t="s">
        <v>26</v>
      </c>
    </row>
    <row r="9794">
      <c r="A9794" s="6"/>
      <c r="B9794" s="6"/>
      <c r="C9794" s="8" t="s">
        <v>27</v>
      </c>
      <c r="D9794" s="8" t="s">
        <v>28</v>
      </c>
      <c r="E9794" s="8" t="s">
        <v>27</v>
      </c>
      <c r="F9794" s="8" t="s">
        <v>28</v>
      </c>
      <c r="G9794" s="6"/>
      <c r="H9794" s="6"/>
      <c r="I9794" s="10" t="s">
        <v>29</v>
      </c>
      <c r="J9794" s="6"/>
    </row>
    <row r="9795">
      <c r="A9795" s="11" t="s">
        <v>30</v>
      </c>
      <c r="B9795" s="12">
        <v>797.919</v>
      </c>
      <c r="C9795" s="12">
        <v>0</v>
      </c>
      <c r="D9795" s="13">
        <v>0</v>
      </c>
      <c r="E9795" s="12">
        <v>0</v>
      </c>
      <c r="F9795" s="14">
        <v>0</v>
      </c>
      <c r="G9795" s="13">
        <v>389524516.5644</v>
      </c>
      <c r="H9795" s="14">
        <v>310809012732.5495</v>
      </c>
      <c r="I9795" s="14" t="e">
        <f>=Round(11728005.82480000,0)</f>
        <v>#VALUE!</v>
      </c>
      <c r="J9795" s="14" t="e">
        <f>=Round(0.00000000,0)</f>
        <v>#VALUE!</v>
      </c>
    </row>
    <row r="9796">
      <c r="A9796" s="11" t="s">
        <v>31</v>
      </c>
      <c r="B9796" s="12">
        <v>795.171</v>
      </c>
      <c r="C9796" s="12">
        <v>0</v>
      </c>
      <c r="D9796" s="13">
        <v>0</v>
      </c>
      <c r="E9796" s="12">
        <v>0</v>
      </c>
      <c r="F9796" s="14">
        <v>0</v>
      </c>
      <c r="G9796" s="13">
        <v>389524516.5644</v>
      </c>
      <c r="H9796" s="14">
        <v>309738599361.03052</v>
      </c>
      <c r="I9796" s="14" t="e">
        <f>=Round(11676568.10130000,0)</f>
        <v>#VALUE!</v>
      </c>
      <c r="J9796" s="14" t="e">
        <f>=Round(0.00000000,0)</f>
        <v>#VALUE!</v>
      </c>
    </row>
    <row r="9797">
      <c r="A9797" s="11" t="s">
        <v>32</v>
      </c>
      <c r="B9797" s="12">
        <v>797.076</v>
      </c>
      <c r="C9797" s="12">
        <v>0</v>
      </c>
      <c r="D9797" s="13">
        <v>0</v>
      </c>
      <c r="E9797" s="12">
        <v>0</v>
      </c>
      <c r="F9797" s="14">
        <v>0</v>
      </c>
      <c r="G9797" s="13">
        <v>389524516.5644</v>
      </c>
      <c r="H9797" s="14">
        <v>310480643565.08569</v>
      </c>
      <c r="I9797" s="14" t="e">
        <f>=Round(11636354.48420000,0)</f>
        <v>#VALUE!</v>
      </c>
      <c r="J9797" s="14" t="e">
        <f>=Round(0.00000000,0)</f>
        <v>#VALUE!</v>
      </c>
    </row>
    <row r="9798">
      <c r="A9798" s="11" t="s">
        <v>33</v>
      </c>
      <c r="B9798" s="12">
        <v>802.157</v>
      </c>
      <c r="C9798" s="12">
        <v>0</v>
      </c>
      <c r="D9798" s="13">
        <v>0</v>
      </c>
      <c r="E9798" s="12">
        <v>0</v>
      </c>
      <c r="F9798" s="14">
        <v>0</v>
      </c>
      <c r="G9798" s="13">
        <v>389524516.5644</v>
      </c>
      <c r="H9798" s="14">
        <v>312459817633.74945</v>
      </c>
      <c r="I9798" s="14" t="e">
        <f>=Round(11664231.82790000,0)</f>
        <v>#VALUE!</v>
      </c>
      <c r="J9798" s="14" t="e">
        <f>=Round(0.00000000,0)</f>
        <v>#VALUE!</v>
      </c>
    </row>
    <row r="9799">
      <c r="A9799" s="11" t="s">
        <v>34</v>
      </c>
      <c r="B9799" s="12">
        <v>806.916</v>
      </c>
      <c r="C9799" s="12">
        <v>0</v>
      </c>
      <c r="D9799" s="13">
        <v>0</v>
      </c>
      <c r="E9799" s="12">
        <v>0</v>
      </c>
      <c r="F9799" s="14">
        <v>0</v>
      </c>
      <c r="G9799" s="13">
        <v>389524516.5644</v>
      </c>
      <c r="H9799" s="14">
        <v>314313564808.07935</v>
      </c>
      <c r="I9799" s="14" t="e">
        <f>=Round(11738586.04500000,0)</f>
        <v>#VALUE!</v>
      </c>
      <c r="J9799" s="14" t="e">
        <f>=Round(0.00000000,0)</f>
        <v>#VALUE!</v>
      </c>
    </row>
    <row r="9800">
      <c r="A9800" s="11" t="s">
        <v>35</v>
      </c>
      <c r="B9800" s="12">
        <v>806.916</v>
      </c>
      <c r="C9800" s="12">
        <v>0</v>
      </c>
      <c r="D9800" s="13">
        <v>0</v>
      </c>
      <c r="E9800" s="12">
        <v>0</v>
      </c>
      <c r="F9800" s="14">
        <v>0</v>
      </c>
      <c r="G9800" s="13">
        <v>389524516.5644</v>
      </c>
      <c r="H9800" s="14">
        <v>314313564808.07935</v>
      </c>
      <c r="I9800" s="14" t="e">
        <f>=Round(11808228.18610000,0)</f>
        <v>#VALUE!</v>
      </c>
      <c r="J9800" s="14" t="e">
        <f>=Round(0.00000000,0)</f>
        <v>#VALUE!</v>
      </c>
    </row>
    <row r="9801">
      <c r="A9801" s="11" t="s">
        <v>36</v>
      </c>
      <c r="B9801" s="12">
        <v>806.916</v>
      </c>
      <c r="C9801" s="12">
        <v>0</v>
      </c>
      <c r="D9801" s="13">
        <v>0</v>
      </c>
      <c r="E9801" s="12">
        <v>0</v>
      </c>
      <c r="F9801" s="14">
        <v>0</v>
      </c>
      <c r="G9801" s="13">
        <v>389524516.5644</v>
      </c>
      <c r="H9801" s="14">
        <v>314313564808.07935</v>
      </c>
      <c r="I9801" s="14" t="e">
        <f>=Round(11808228.18610000,0)</f>
        <v>#VALUE!</v>
      </c>
      <c r="J9801" s="14" t="e">
        <f>=Round(0.00000000,0)</f>
        <v>#VALUE!</v>
      </c>
    </row>
    <row r="9802">
      <c r="A9802" s="11" t="s">
        <v>37</v>
      </c>
      <c r="B9802" s="12">
        <v>802.174</v>
      </c>
      <c r="C9802" s="12">
        <v>0</v>
      </c>
      <c r="D9802" s="13">
        <v>0</v>
      </c>
      <c r="E9802" s="12">
        <v>0</v>
      </c>
      <c r="F9802" s="14">
        <v>0</v>
      </c>
      <c r="G9802" s="13">
        <v>389524516.5644</v>
      </c>
      <c r="H9802" s="14">
        <v>312466439550.531</v>
      </c>
      <c r="I9802" s="14" t="e">
        <f>=Round(11808228.18610000,0)</f>
        <v>#VALUE!</v>
      </c>
      <c r="J9802" s="14" t="e">
        <f>=Round(0.00000000,0)</f>
        <v>#VALUE!</v>
      </c>
    </row>
    <row r="9803">
      <c r="A9803" s="11" t="s">
        <v>38</v>
      </c>
      <c r="B9803" s="12">
        <v>800.522</v>
      </c>
      <c r="C9803" s="12">
        <v>0</v>
      </c>
      <c r="D9803" s="13">
        <v>0</v>
      </c>
      <c r="E9803" s="12">
        <v>0</v>
      </c>
      <c r="F9803" s="14">
        <v>0</v>
      </c>
      <c r="G9803" s="13">
        <v>389524516.5644</v>
      </c>
      <c r="H9803" s="14">
        <v>311822945049.16656</v>
      </c>
      <c r="I9803" s="14" t="e">
        <f>=Round(11738834.81920000,0)</f>
        <v>#VALUE!</v>
      </c>
      <c r="J9803" s="14" t="e">
        <f>=Round(0.00000000,0)</f>
        <v>#VALUE!</v>
      </c>
    </row>
    <row r="9804">
      <c r="A9804" s="11" t="s">
        <v>39</v>
      </c>
      <c r="B9804" s="12">
        <v>803.068</v>
      </c>
      <c r="C9804" s="12">
        <v>0</v>
      </c>
      <c r="D9804" s="13">
        <v>0</v>
      </c>
      <c r="E9804" s="12">
        <v>0</v>
      </c>
      <c r="F9804" s="14">
        <v>0</v>
      </c>
      <c r="G9804" s="13">
        <v>389524516.5644</v>
      </c>
      <c r="H9804" s="14">
        <v>312814674468.3396</v>
      </c>
      <c r="I9804" s="14" t="e">
        <f>=Round(11714659.82080000,0)</f>
        <v>#VALUE!</v>
      </c>
      <c r="J9804" s="14" t="e">
        <f>=Round(0.00000000,0)</f>
        <v>#VALUE!</v>
      </c>
    </row>
    <row r="9805">
      <c r="A9805" s="11" t="s">
        <v>40</v>
      </c>
      <c r="B9805" s="12">
        <v>800.283</v>
      </c>
      <c r="C9805" s="12">
        <v>0</v>
      </c>
      <c r="D9805" s="13">
        <v>0</v>
      </c>
      <c r="E9805" s="12">
        <v>0</v>
      </c>
      <c r="F9805" s="14">
        <v>0</v>
      </c>
      <c r="G9805" s="13">
        <v>389524516.5644</v>
      </c>
      <c r="H9805" s="14">
        <v>311729848689.7077</v>
      </c>
      <c r="I9805" s="14" t="e">
        <f>=Round(11751917.41510000,0)</f>
        <v>#VALUE!</v>
      </c>
      <c r="J9805" s="14" t="e">
        <f>=Round(0.00000000,0)</f>
        <v>#VALUE!</v>
      </c>
    </row>
    <row r="9806">
      <c r="A9806" s="11" t="s">
        <v>41</v>
      </c>
      <c r="B9806" s="12">
        <v>799.674</v>
      </c>
      <c r="C9806" s="12">
        <v>0</v>
      </c>
      <c r="D9806" s="13">
        <v>0</v>
      </c>
      <c r="E9806" s="12">
        <v>0</v>
      </c>
      <c r="F9806" s="14">
        <v>0</v>
      </c>
      <c r="G9806" s="13">
        <v>389524516.5644</v>
      </c>
      <c r="H9806" s="14">
        <v>311492628259.12</v>
      </c>
      <c r="I9806" s="14" t="e">
        <f>=Round(11711162.34830000,0)</f>
        <v>#VALUE!</v>
      </c>
      <c r="J9806" s="14" t="e">
        <f>=Round(0.00000000,0)</f>
        <v>#VALUE!</v>
      </c>
    </row>
    <row r="9807">
      <c r="A9807" s="11" t="s">
        <v>42</v>
      </c>
      <c r="B9807" s="12">
        <v>799.674</v>
      </c>
      <c r="C9807" s="12">
        <v>0</v>
      </c>
      <c r="D9807" s="13">
        <v>0</v>
      </c>
      <c r="E9807" s="12">
        <v>0</v>
      </c>
      <c r="F9807" s="14">
        <v>0</v>
      </c>
      <c r="G9807" s="13">
        <v>389524516.5644</v>
      </c>
      <c r="H9807" s="14">
        <v>311492628259.12</v>
      </c>
      <c r="I9807" s="14" t="e">
        <f>=Round(11702250.37860000,0)</f>
        <v>#VALUE!</v>
      </c>
      <c r="J9807" s="14" t="e">
        <f>=Round(0.00000000,0)</f>
        <v>#VALUE!</v>
      </c>
    </row>
    <row r="9808">
      <c r="A9808" s="11" t="s">
        <v>43</v>
      </c>
      <c r="B9808" s="12">
        <v>799.674</v>
      </c>
      <c r="C9808" s="12">
        <v>0</v>
      </c>
      <c r="D9808" s="13">
        <v>0</v>
      </c>
      <c r="E9808" s="12">
        <v>0</v>
      </c>
      <c r="F9808" s="14">
        <v>0</v>
      </c>
      <c r="G9808" s="13">
        <v>389524516.5644</v>
      </c>
      <c r="H9808" s="14">
        <v>311492628259.12</v>
      </c>
      <c r="I9808" s="14" t="e">
        <f>=Round(11702250.37860000,0)</f>
        <v>#VALUE!</v>
      </c>
      <c r="J9808" s="14" t="e">
        <f>=Round(0.00000000,0)</f>
        <v>#VALUE!</v>
      </c>
    </row>
    <row r="9809">
      <c r="A9809" s="11" t="s">
        <v>44</v>
      </c>
      <c r="B9809" s="12">
        <v>799.519</v>
      </c>
      <c r="C9809" s="12">
        <v>0</v>
      </c>
      <c r="D9809" s="13">
        <v>0</v>
      </c>
      <c r="E9809" s="12">
        <v>0</v>
      </c>
      <c r="F9809" s="14">
        <v>0</v>
      </c>
      <c r="G9809" s="13">
        <v>389524516.5644</v>
      </c>
      <c r="H9809" s="14">
        <v>311432251959.05255</v>
      </c>
      <c r="I9809" s="14" t="e">
        <f>=Round(11702250.37860000,0)</f>
        <v>#VALUE!</v>
      </c>
      <c r="J9809" s="14" t="e">
        <f>=Round(0.00000000,0)</f>
        <v>#VALUE!</v>
      </c>
    </row>
    <row r="9810">
      <c r="A9810" s="11" t="s">
        <v>45</v>
      </c>
      <c r="B9810" s="12">
        <v>806.773</v>
      </c>
      <c r="C9810" s="12">
        <v>0</v>
      </c>
      <c r="D9810" s="13">
        <v>0</v>
      </c>
      <c r="E9810" s="12">
        <v>0</v>
      </c>
      <c r="F9810" s="14">
        <v>0</v>
      </c>
      <c r="G9810" s="13">
        <v>389524516.5644</v>
      </c>
      <c r="H9810" s="14">
        <v>314257862802.21069</v>
      </c>
      <c r="I9810" s="14" t="e">
        <f>=Round(11699982.14330000,0)</f>
        <v>#VALUE!</v>
      </c>
      <c r="J9810" s="14" t="e">
        <f>=Round(0.00000000,0)</f>
        <v>#VALUE!</v>
      </c>
    </row>
    <row r="9811">
      <c r="A9811" s="11" t="s">
        <v>46</v>
      </c>
      <c r="B9811" s="12">
        <v>808.781</v>
      </c>
      <c r="C9811" s="12">
        <v>0</v>
      </c>
      <c r="D9811" s="13">
        <v>0</v>
      </c>
      <c r="E9811" s="12">
        <v>0</v>
      </c>
      <c r="F9811" s="14">
        <v>0</v>
      </c>
      <c r="G9811" s="13">
        <v>389524516.5644</v>
      </c>
      <c r="H9811" s="14">
        <v>315040028031.472</v>
      </c>
      <c r="I9811" s="14" t="e">
        <f>=Round(11806135.55610000,0)</f>
        <v>#VALUE!</v>
      </c>
      <c r="J9811" s="14" t="e">
        <f>=Round(0.00000000,0)</f>
        <v>#VALUE!</v>
      </c>
    </row>
    <row r="9812">
      <c r="A9812" s="11" t="s">
        <v>47</v>
      </c>
      <c r="B9812" s="12">
        <v>802.745</v>
      </c>
      <c r="C9812" s="12">
        <v>0</v>
      </c>
      <c r="D9812" s="13">
        <v>0</v>
      </c>
      <c r="E9812" s="12">
        <v>0</v>
      </c>
      <c r="F9812" s="14">
        <v>0</v>
      </c>
      <c r="G9812" s="13">
        <v>389524516.5644</v>
      </c>
      <c r="H9812" s="14">
        <v>312688858049.48926</v>
      </c>
      <c r="I9812" s="14" t="e">
        <f>=Round(11835520.17880000,0)</f>
        <v>#VALUE!</v>
      </c>
      <c r="J9812" s="14" t="e">
        <f>=Round(0.00000000,0)</f>
        <v>#VALUE!</v>
      </c>
    </row>
    <row r="9813">
      <c r="A9813" s="11" t="s">
        <v>48</v>
      </c>
      <c r="B9813" s="12">
        <v>797.84</v>
      </c>
      <c r="C9813" s="12">
        <v>0</v>
      </c>
      <c r="D9813" s="13">
        <v>0</v>
      </c>
      <c r="E9813" s="12">
        <v>0</v>
      </c>
      <c r="F9813" s="14">
        <v>0</v>
      </c>
      <c r="G9813" s="13">
        <v>389524516.5644</v>
      </c>
      <c r="H9813" s="14">
        <v>310778240295.74091</v>
      </c>
      <c r="I9813" s="14" t="e">
        <f>=Round(11747190.70540000,0)</f>
        <v>#VALUE!</v>
      </c>
      <c r="J9813" s="14" t="e">
        <f>=Round(0.00000000,0)</f>
        <v>#VALUE!</v>
      </c>
    </row>
    <row r="9814">
      <c r="A9814" s="11" t="s">
        <v>49</v>
      </c>
      <c r="B9814" s="12">
        <v>797.84</v>
      </c>
      <c r="C9814" s="12">
        <v>0</v>
      </c>
      <c r="D9814" s="13">
        <v>0</v>
      </c>
      <c r="E9814" s="12">
        <v>0</v>
      </c>
      <c r="F9814" s="14">
        <v>0</v>
      </c>
      <c r="G9814" s="13">
        <v>389524516.5644</v>
      </c>
      <c r="H9814" s="14">
        <v>310778240295.74091</v>
      </c>
      <c r="I9814" s="14" t="e">
        <f>=Round(11675412.03300000,0)</f>
        <v>#VALUE!</v>
      </c>
      <c r="J9814" s="14" t="e">
        <f>=Round(0.00000000,0)</f>
        <v>#VALUE!</v>
      </c>
    </row>
    <row r="9815">
      <c r="A9815" s="11" t="s">
        <v>50</v>
      </c>
      <c r="B9815" s="12">
        <v>797.84</v>
      </c>
      <c r="C9815" s="12">
        <v>0</v>
      </c>
      <c r="D9815" s="13">
        <v>0</v>
      </c>
      <c r="E9815" s="12">
        <v>0</v>
      </c>
      <c r="F9815" s="14">
        <v>0</v>
      </c>
      <c r="G9815" s="13">
        <v>389524516.5644</v>
      </c>
      <c r="H9815" s="14">
        <v>310778240295.74091</v>
      </c>
      <c r="I9815" s="14" t="e">
        <f>=Round(11675412.03300000,0)</f>
        <v>#VALUE!</v>
      </c>
      <c r="J9815" s="14" t="e">
        <f>=Round(0.00000000,0)</f>
        <v>#VALUE!</v>
      </c>
    </row>
    <row r="9816">
      <c r="A9816" s="11" t="s">
        <v>51</v>
      </c>
      <c r="B9816" s="12">
        <v>794.461</v>
      </c>
      <c r="C9816" s="12">
        <v>0</v>
      </c>
      <c r="D9816" s="13">
        <v>0</v>
      </c>
      <c r="E9816" s="12">
        <v>0</v>
      </c>
      <c r="F9816" s="14">
        <v>0</v>
      </c>
      <c r="G9816" s="13">
        <v>389524516.5644</v>
      </c>
      <c r="H9816" s="14">
        <v>309462036954.26978</v>
      </c>
      <c r="I9816" s="14" t="e">
        <f>=Round(11675412.03300000,0)</f>
        <v>#VALUE!</v>
      </c>
      <c r="J9816" s="14" t="e">
        <f>=Round(0.00000000,0)</f>
        <v>#VALUE!</v>
      </c>
    </row>
    <row r="9817">
      <c r="A9817" s="11" t="s">
        <v>52</v>
      </c>
      <c r="B9817" s="12">
        <v>792.098</v>
      </c>
      <c r="C9817" s="12">
        <v>0</v>
      </c>
      <c r="D9817" s="13">
        <v>0</v>
      </c>
      <c r="E9817" s="12">
        <v>0</v>
      </c>
      <c r="F9817" s="14">
        <v>0</v>
      </c>
      <c r="G9817" s="13">
        <v>389524516.5644</v>
      </c>
      <c r="H9817" s="14">
        <v>308541590521.62811</v>
      </c>
      <c r="I9817" s="14" t="e">
        <f>=Round(11625964.50310000,0)</f>
        <v>#VALUE!</v>
      </c>
      <c r="J9817" s="14" t="e">
        <f>=Round(0.00000000,0)</f>
        <v>#VALUE!</v>
      </c>
    </row>
    <row r="9818">
      <c r="A9818" s="11" t="s">
        <v>53</v>
      </c>
      <c r="B9818" s="12">
        <v>786.887</v>
      </c>
      <c r="C9818" s="12">
        <v>0</v>
      </c>
      <c r="D9818" s="13">
        <v>0</v>
      </c>
      <c r="E9818" s="12">
        <v>0</v>
      </c>
      <c r="F9818" s="14">
        <v>0</v>
      </c>
      <c r="G9818" s="13">
        <v>389524516.5644</v>
      </c>
      <c r="H9818" s="14">
        <v>306511778265.81104</v>
      </c>
      <c r="I9818" s="14" t="e">
        <f>=Round(11591384.88980000,0)</f>
        <v>#VALUE!</v>
      </c>
      <c r="J9818" s="14" t="e">
        <f>=Round(0.00000000,0)</f>
        <v>#VALUE!</v>
      </c>
    </row>
    <row r="9819">
      <c r="A9819" s="11" t="s">
        <v>54</v>
      </c>
      <c r="B9819" s="12">
        <v>781.501</v>
      </c>
      <c r="C9819" s="12">
        <v>0</v>
      </c>
      <c r="D9819" s="13">
        <v>0</v>
      </c>
      <c r="E9819" s="12">
        <v>0</v>
      </c>
      <c r="F9819" s="14">
        <v>0</v>
      </c>
      <c r="G9819" s="13">
        <v>389524516.5644</v>
      </c>
      <c r="H9819" s="14">
        <v>304413799219.59515</v>
      </c>
      <c r="I9819" s="14" t="e">
        <f>=Round(11515128.28180000,0)</f>
        <v>#VALUE!</v>
      </c>
      <c r="J9819" s="14" t="e">
        <f>=Round(0.00000000,0)</f>
        <v>#VALUE!</v>
      </c>
    </row>
    <row r="9820">
      <c r="A9820" s="11" t="s">
        <v>55</v>
      </c>
      <c r="B9820" s="12">
        <v>776.906</v>
      </c>
      <c r="C9820" s="12">
        <v>0</v>
      </c>
      <c r="D9820" s="13">
        <v>0</v>
      </c>
      <c r="E9820" s="12">
        <v>0</v>
      </c>
      <c r="F9820" s="14">
        <v>0</v>
      </c>
      <c r="G9820" s="13">
        <v>389524516.5644</v>
      </c>
      <c r="H9820" s="14">
        <v>302623934065.98175</v>
      </c>
      <c r="I9820" s="14" t="e">
        <f>=Round(11436310.76300000,0)</f>
        <v>#VALUE!</v>
      </c>
      <c r="J9820" s="14" t="e">
        <f>=Round(0.00000000,0)</f>
        <v>#VALUE!</v>
      </c>
    </row>
    <row r="9821" ht="-1">
      <c r="A9821" s="15"/>
      <c r="B9821" s="16" t="s">
        <v>56</v>
      </c>
      <c r="C9821" s="15"/>
      <c r="D9821" s="15"/>
      <c r="E9821" s="15"/>
      <c r="F9821" s="15"/>
      <c r="G9821" s="15"/>
      <c r="H9821" s="15"/>
      <c r="I9821" s="17" t="e">
        <f>=Round(SUM(I9795:I9820),0)</f>
        <v>#VALUE!</v>
      </c>
      <c r="J9821" s="17" t="e">
        <f>=Round(SUM(J9795:J9820),0)</f>
        <v>#VALUE!</v>
      </c>
    </row>
    <row r="9822">
      <c r="A9822" s="1" t="s">
        <v>0</v>
      </c>
      <c r="B9822" s="1"/>
      <c r="C9822" s="1"/>
      <c r="D9822" s="1"/>
    </row>
    <row r="9823">
      <c r="A9823" s="0" t="s">
        <v>1</v>
      </c>
      <c r="C9823" s="0" t="s">
        <v>345</v>
      </c>
      <c r="H9823" s="2" t="s">
        <v>3</v>
      </c>
    </row>
    <row r="9824">
      <c r="A9824" s="0" t="s">
        <v>4</v>
      </c>
      <c r="C9824" s="0" t="s">
        <v>343</v>
      </c>
      <c r="H9824" s="3" t="s">
        <v>6</v>
      </c>
    </row>
    <row r="9825">
      <c r="A9825" s="0" t="s">
        <v>7</v>
      </c>
      <c r="C9825" s="4" t="s">
        <v>188</v>
      </c>
      <c r="H9825" s="2" t="s">
        <v>9</v>
      </c>
    </row>
    <row r="9826">
      <c r="A9826" s="0" t="s">
        <v>10</v>
      </c>
      <c r="C9826" s="4" t="s">
        <v>11</v>
      </c>
      <c r="H9826" s="2" t="s">
        <v>12</v>
      </c>
    </row>
    <row r="9827">
      <c r="A9827" s="0" t="s">
        <v>13</v>
      </c>
      <c r="C9827" s="0" t="s">
        <v>14</v>
      </c>
    </row>
    <row r="9828">
      <c r="A9828" s="0" t="s">
        <v>15</v>
      </c>
      <c r="C9828" s="0" t="s">
        <v>16</v>
      </c>
    </row>
    <row r="9829">
      <c r="A9829" s="0" t="s">
        <v>17</v>
      </c>
      <c r="C9829" s="0" t="s">
        <v>18</v>
      </c>
    </row>
    <row r="9832">
      <c r="A9832" s="5" t="s">
        <v>19</v>
      </c>
      <c r="B9832" s="5" t="s">
        <v>20</v>
      </c>
      <c r="C9832" s="7" t="s">
        <v>21</v>
      </c>
      <c r="D9832" s="9"/>
      <c r="E9832" s="7" t="s">
        <v>22</v>
      </c>
      <c r="F9832" s="9"/>
      <c r="G9832" s="5" t="s">
        <v>23</v>
      </c>
      <c r="H9832" s="5" t="s">
        <v>24</v>
      </c>
      <c r="I9832" s="5" t="s">
        <v>189</v>
      </c>
      <c r="J9832" s="5" t="s">
        <v>26</v>
      </c>
    </row>
    <row r="9833">
      <c r="A9833" s="6"/>
      <c r="B9833" s="6"/>
      <c r="C9833" s="8" t="s">
        <v>27</v>
      </c>
      <c r="D9833" s="8" t="s">
        <v>28</v>
      </c>
      <c r="E9833" s="8" t="s">
        <v>27</v>
      </c>
      <c r="F9833" s="8" t="s">
        <v>28</v>
      </c>
      <c r="G9833" s="6"/>
      <c r="H9833" s="6"/>
      <c r="I9833" s="10" t="s">
        <v>29</v>
      </c>
      <c r="J9833" s="6"/>
    </row>
    <row r="9834">
      <c r="A9834" s="11" t="s">
        <v>30</v>
      </c>
      <c r="B9834" s="12">
        <v>998.947</v>
      </c>
      <c r="C9834" s="12">
        <v>0</v>
      </c>
      <c r="D9834" s="13">
        <v>0</v>
      </c>
      <c r="E9834" s="12">
        <v>0</v>
      </c>
      <c r="F9834" s="14">
        <v>0</v>
      </c>
      <c r="G9834" s="13">
        <v>29500000</v>
      </c>
      <c r="H9834" s="14">
        <v>29468936500</v>
      </c>
      <c r="I9834" s="14" t="e">
        <f>=Round(885354.80600000,0)</f>
        <v>#VALUE!</v>
      </c>
      <c r="J9834" s="14" t="e">
        <f>=Round(0.00000000,0)</f>
        <v>#VALUE!</v>
      </c>
    </row>
    <row r="9835">
      <c r="A9835" s="11" t="s">
        <v>31</v>
      </c>
      <c r="B9835" s="12">
        <v>999.989</v>
      </c>
      <c r="C9835" s="12">
        <v>0</v>
      </c>
      <c r="D9835" s="13">
        <v>0</v>
      </c>
      <c r="E9835" s="12">
        <v>0</v>
      </c>
      <c r="F9835" s="14">
        <v>0</v>
      </c>
      <c r="G9835" s="13">
        <v>29500000</v>
      </c>
      <c r="H9835" s="14">
        <v>29499675500</v>
      </c>
      <c r="I9835" s="14" t="e">
        <f>=Round(885678.41940000,0)</f>
        <v>#VALUE!</v>
      </c>
      <c r="J9835" s="14" t="e">
        <f>=Round(0.00000000,0)</f>
        <v>#VALUE!</v>
      </c>
    </row>
    <row r="9836">
      <c r="A9836" s="11" t="s">
        <v>32</v>
      </c>
      <c r="B9836" s="12">
        <v>999.995</v>
      </c>
      <c r="C9836" s="12">
        <v>0</v>
      </c>
      <c r="D9836" s="13">
        <v>0</v>
      </c>
      <c r="E9836" s="12">
        <v>0</v>
      </c>
      <c r="F9836" s="14">
        <v>0</v>
      </c>
      <c r="G9836" s="13">
        <v>29500000</v>
      </c>
      <c r="H9836" s="14">
        <v>29499852500</v>
      </c>
      <c r="I9836" s="14" t="e">
        <f>=Round(886602.26910000,0)</f>
        <v>#VALUE!</v>
      </c>
      <c r="J9836" s="14" t="e">
        <f>=Round(0.00000000,0)</f>
        <v>#VALUE!</v>
      </c>
    </row>
    <row r="9837">
      <c r="A9837" s="11" t="s">
        <v>33</v>
      </c>
      <c r="B9837" s="12">
        <v>1000.71</v>
      </c>
      <c r="C9837" s="12">
        <v>0</v>
      </c>
      <c r="D9837" s="13">
        <v>0</v>
      </c>
      <c r="E9837" s="12">
        <v>0</v>
      </c>
      <c r="F9837" s="14">
        <v>0</v>
      </c>
      <c r="G9837" s="13">
        <v>29500000</v>
      </c>
      <c r="H9837" s="14">
        <v>29520945000</v>
      </c>
      <c r="I9837" s="14" t="e">
        <f>=Round(886607.58880000,0)</f>
        <v>#VALUE!</v>
      </c>
      <c r="J9837" s="14" t="e">
        <f>=Round(0.00000000,0)</f>
        <v>#VALUE!</v>
      </c>
    </row>
    <row r="9838">
      <c r="A9838" s="11" t="s">
        <v>34</v>
      </c>
      <c r="B9838" s="12">
        <v>1000.811</v>
      </c>
      <c r="C9838" s="12">
        <v>0</v>
      </c>
      <c r="D9838" s="13">
        <v>0</v>
      </c>
      <c r="E9838" s="12">
        <v>0</v>
      </c>
      <c r="F9838" s="14">
        <v>0</v>
      </c>
      <c r="G9838" s="13">
        <v>29500000</v>
      </c>
      <c r="H9838" s="14">
        <v>29523924500</v>
      </c>
      <c r="I9838" s="14" t="e">
        <f>=Round(887241.51640000,0)</f>
        <v>#VALUE!</v>
      </c>
      <c r="J9838" s="14" t="e">
        <f>=Round(0.00000000,0)</f>
        <v>#VALUE!</v>
      </c>
    </row>
    <row r="9839">
      <c r="A9839" s="11" t="s">
        <v>35</v>
      </c>
      <c r="B9839" s="12">
        <v>1000.811</v>
      </c>
      <c r="C9839" s="12">
        <v>0</v>
      </c>
      <c r="D9839" s="13">
        <v>0</v>
      </c>
      <c r="E9839" s="12">
        <v>0</v>
      </c>
      <c r="F9839" s="14">
        <v>0</v>
      </c>
      <c r="G9839" s="13">
        <v>29500000</v>
      </c>
      <c r="H9839" s="14">
        <v>29523924500</v>
      </c>
      <c r="I9839" s="14" t="e">
        <f>=Round(887331.06420000,0)</f>
        <v>#VALUE!</v>
      </c>
      <c r="J9839" s="14" t="e">
        <f>=Round(0.00000000,0)</f>
        <v>#VALUE!</v>
      </c>
    </row>
    <row r="9840">
      <c r="A9840" s="11" t="s">
        <v>36</v>
      </c>
      <c r="B9840" s="12">
        <v>1000.811</v>
      </c>
      <c r="C9840" s="12">
        <v>0</v>
      </c>
      <c r="D9840" s="13">
        <v>0</v>
      </c>
      <c r="E9840" s="12">
        <v>0</v>
      </c>
      <c r="F9840" s="14">
        <v>0</v>
      </c>
      <c r="G9840" s="13">
        <v>29500000</v>
      </c>
      <c r="H9840" s="14">
        <v>29523924500</v>
      </c>
      <c r="I9840" s="14" t="e">
        <f>=Round(887331.06420000,0)</f>
        <v>#VALUE!</v>
      </c>
      <c r="J9840" s="14" t="e">
        <f>=Round(0.00000000,0)</f>
        <v>#VALUE!</v>
      </c>
    </row>
    <row r="9841">
      <c r="A9841" s="11" t="s">
        <v>37</v>
      </c>
      <c r="B9841" s="12">
        <v>1001.025</v>
      </c>
      <c r="C9841" s="12">
        <v>0</v>
      </c>
      <c r="D9841" s="13">
        <v>0</v>
      </c>
      <c r="E9841" s="12">
        <v>0</v>
      </c>
      <c r="F9841" s="14">
        <v>0</v>
      </c>
      <c r="G9841" s="13">
        <v>29500000</v>
      </c>
      <c r="H9841" s="14">
        <v>29530237500</v>
      </c>
      <c r="I9841" s="14" t="e">
        <f>=Round(887331.06420000,0)</f>
        <v>#VALUE!</v>
      </c>
      <c r="J9841" s="14" t="e">
        <f>=Round(0.00000000,0)</f>
        <v>#VALUE!</v>
      </c>
    </row>
    <row r="9842">
      <c r="A9842" s="11" t="s">
        <v>38</v>
      </c>
      <c r="B9842" s="12">
        <v>1001.255</v>
      </c>
      <c r="C9842" s="12">
        <v>0</v>
      </c>
      <c r="D9842" s="13">
        <v>0</v>
      </c>
      <c r="E9842" s="12">
        <v>0</v>
      </c>
      <c r="F9842" s="14">
        <v>0</v>
      </c>
      <c r="G9842" s="13">
        <v>29500000</v>
      </c>
      <c r="H9842" s="14">
        <v>29537022500</v>
      </c>
      <c r="I9842" s="14" t="e">
        <f>=Round(887520.79920000,0)</f>
        <v>#VALUE!</v>
      </c>
      <c r="J9842" s="14" t="e">
        <f>=Round(0.00000000,0)</f>
        <v>#VALUE!</v>
      </c>
    </row>
    <row r="9843">
      <c r="A9843" s="11" t="s">
        <v>39</v>
      </c>
      <c r="B9843" s="12">
        <v>1003.377</v>
      </c>
      <c r="C9843" s="12">
        <v>0</v>
      </c>
      <c r="D9843" s="13">
        <v>0</v>
      </c>
      <c r="E9843" s="12">
        <v>0</v>
      </c>
      <c r="F9843" s="14">
        <v>0</v>
      </c>
      <c r="G9843" s="13">
        <v>29500000</v>
      </c>
      <c r="H9843" s="14">
        <v>29599621500</v>
      </c>
      <c r="I9843" s="14" t="e">
        <f>=Round(887724.71990000,0)</f>
        <v>#VALUE!</v>
      </c>
      <c r="J9843" s="14" t="e">
        <f>=Round(0.00000000,0)</f>
        <v>#VALUE!</v>
      </c>
    </row>
    <row r="9844">
      <c r="A9844" s="11" t="s">
        <v>40</v>
      </c>
      <c r="B9844" s="12">
        <v>1003.941</v>
      </c>
      <c r="C9844" s="12">
        <v>0</v>
      </c>
      <c r="D9844" s="13">
        <v>0</v>
      </c>
      <c r="E9844" s="12">
        <v>0</v>
      </c>
      <c r="F9844" s="14">
        <v>0</v>
      </c>
      <c r="G9844" s="13">
        <v>29500000</v>
      </c>
      <c r="H9844" s="14">
        <v>29616259500</v>
      </c>
      <c r="I9844" s="14" t="e">
        <f>=Round(889606.11070000,0)</f>
        <v>#VALUE!</v>
      </c>
      <c r="J9844" s="14" t="e">
        <f>=Round(0.00000000,0)</f>
        <v>#VALUE!</v>
      </c>
    </row>
    <row r="9845">
      <c r="A9845" s="11" t="s">
        <v>41</v>
      </c>
      <c r="B9845" s="12">
        <v>1004.094</v>
      </c>
      <c r="C9845" s="12">
        <v>0</v>
      </c>
      <c r="D9845" s="13">
        <v>0</v>
      </c>
      <c r="E9845" s="12">
        <v>0</v>
      </c>
      <c r="F9845" s="14">
        <v>0</v>
      </c>
      <c r="G9845" s="13">
        <v>29500000</v>
      </c>
      <c r="H9845" s="14">
        <v>29620773000</v>
      </c>
      <c r="I9845" s="14" t="e">
        <f>=Round(890106.15980000,0)</f>
        <v>#VALUE!</v>
      </c>
      <c r="J9845" s="14" t="e">
        <f>=Round(0.00000000,0)</f>
        <v>#VALUE!</v>
      </c>
    </row>
    <row r="9846">
      <c r="A9846" s="11" t="s">
        <v>42</v>
      </c>
      <c r="B9846" s="12">
        <v>1004.094</v>
      </c>
      <c r="C9846" s="12">
        <v>0</v>
      </c>
      <c r="D9846" s="13">
        <v>0</v>
      </c>
      <c r="E9846" s="12">
        <v>0</v>
      </c>
      <c r="F9846" s="14">
        <v>0</v>
      </c>
      <c r="G9846" s="13">
        <v>29500000</v>
      </c>
      <c r="H9846" s="14">
        <v>29620773000</v>
      </c>
      <c r="I9846" s="14" t="e">
        <f>=Round(890241.81150000,0)</f>
        <v>#VALUE!</v>
      </c>
      <c r="J9846" s="14" t="e">
        <f>=Round(0.00000000,0)</f>
        <v>#VALUE!</v>
      </c>
    </row>
    <row r="9847">
      <c r="A9847" s="11" t="s">
        <v>43</v>
      </c>
      <c r="B9847" s="12">
        <v>1004.094</v>
      </c>
      <c r="C9847" s="12">
        <v>0</v>
      </c>
      <c r="D9847" s="13">
        <v>0</v>
      </c>
      <c r="E9847" s="12">
        <v>0</v>
      </c>
      <c r="F9847" s="14">
        <v>0</v>
      </c>
      <c r="G9847" s="13">
        <v>29500000</v>
      </c>
      <c r="H9847" s="14">
        <v>29620773000</v>
      </c>
      <c r="I9847" s="14" t="e">
        <f>=Round(890241.81150000,0)</f>
        <v>#VALUE!</v>
      </c>
      <c r="J9847" s="14" t="e">
        <f>=Round(0.00000000,0)</f>
        <v>#VALUE!</v>
      </c>
    </row>
    <row r="9848">
      <c r="A9848" s="11" t="s">
        <v>44</v>
      </c>
      <c r="B9848" s="12">
        <v>1005.326</v>
      </c>
      <c r="C9848" s="12">
        <v>0</v>
      </c>
      <c r="D9848" s="13">
        <v>0</v>
      </c>
      <c r="E9848" s="12">
        <v>0</v>
      </c>
      <c r="F9848" s="14">
        <v>0</v>
      </c>
      <c r="G9848" s="13">
        <v>29500000</v>
      </c>
      <c r="H9848" s="14">
        <v>29657117000</v>
      </c>
      <c r="I9848" s="14" t="e">
        <f>=Round(890241.81150000,0)</f>
        <v>#VALUE!</v>
      </c>
      <c r="J9848" s="14" t="e">
        <f>=Round(0.00000000,0)</f>
        <v>#VALUE!</v>
      </c>
    </row>
    <row r="9849">
      <c r="A9849" s="11" t="s">
        <v>45</v>
      </c>
      <c r="B9849" s="12">
        <v>1005.975</v>
      </c>
      <c r="C9849" s="12">
        <v>0</v>
      </c>
      <c r="D9849" s="13">
        <v>0</v>
      </c>
      <c r="E9849" s="12">
        <v>0</v>
      </c>
      <c r="F9849" s="14">
        <v>0</v>
      </c>
      <c r="G9849" s="13">
        <v>29500000</v>
      </c>
      <c r="H9849" s="14">
        <v>29676262500</v>
      </c>
      <c r="I9849" s="14" t="e">
        <f>=Round(891334.11750000,0)</f>
        <v>#VALUE!</v>
      </c>
      <c r="J9849" s="14" t="e">
        <f>=Round(0.00000000,0)</f>
        <v>#VALUE!</v>
      </c>
    </row>
    <row r="9850">
      <c r="A9850" s="11" t="s">
        <v>46</v>
      </c>
      <c r="B9850" s="12">
        <v>1006.024</v>
      </c>
      <c r="C9850" s="12">
        <v>0</v>
      </c>
      <c r="D9850" s="13">
        <v>0</v>
      </c>
      <c r="E9850" s="12">
        <v>0</v>
      </c>
      <c r="F9850" s="14">
        <v>0</v>
      </c>
      <c r="G9850" s="13">
        <v>29500000</v>
      </c>
      <c r="H9850" s="14">
        <v>29677708000</v>
      </c>
      <c r="I9850" s="14" t="e">
        <f>=Round(891909.52870000,0)</f>
        <v>#VALUE!</v>
      </c>
      <c r="J9850" s="14" t="e">
        <f>=Round(0.00000000,0)</f>
        <v>#VALUE!</v>
      </c>
    </row>
    <row r="9851">
      <c r="A9851" s="11" t="s">
        <v>47</v>
      </c>
      <c r="B9851" s="12">
        <v>1007.132</v>
      </c>
      <c r="C9851" s="12">
        <v>0</v>
      </c>
      <c r="D9851" s="13">
        <v>0</v>
      </c>
      <c r="E9851" s="12">
        <v>0</v>
      </c>
      <c r="F9851" s="14">
        <v>0</v>
      </c>
      <c r="G9851" s="13">
        <v>29500000</v>
      </c>
      <c r="H9851" s="14">
        <v>29710394000</v>
      </c>
      <c r="I9851" s="14" t="e">
        <f>=Round(891952.97270000,0)</f>
        <v>#VALUE!</v>
      </c>
      <c r="J9851" s="14" t="e">
        <f>=Round(0.00000000,0)</f>
        <v>#VALUE!</v>
      </c>
    </row>
    <row r="9852">
      <c r="A9852" s="11" t="s">
        <v>48</v>
      </c>
      <c r="B9852" s="12">
        <v>1007.658</v>
      </c>
      <c r="C9852" s="12">
        <v>0</v>
      </c>
      <c r="D9852" s="13">
        <v>0</v>
      </c>
      <c r="E9852" s="12">
        <v>0</v>
      </c>
      <c r="F9852" s="14">
        <v>0</v>
      </c>
      <c r="G9852" s="13">
        <v>29500000</v>
      </c>
      <c r="H9852" s="14">
        <v>29725911000</v>
      </c>
      <c r="I9852" s="14" t="e">
        <f>=Round(892935.33880000,0)</f>
        <v>#VALUE!</v>
      </c>
      <c r="J9852" s="14" t="e">
        <f>=Round(0.00000000,0)</f>
        <v>#VALUE!</v>
      </c>
    </row>
    <row r="9853">
      <c r="A9853" s="11" t="s">
        <v>49</v>
      </c>
      <c r="B9853" s="12">
        <v>1007.658</v>
      </c>
      <c r="C9853" s="12">
        <v>0</v>
      </c>
      <c r="D9853" s="13">
        <v>0</v>
      </c>
      <c r="E9853" s="12">
        <v>0</v>
      </c>
      <c r="F9853" s="14">
        <v>0</v>
      </c>
      <c r="G9853" s="13">
        <v>29500000</v>
      </c>
      <c r="H9853" s="14">
        <v>29725911000</v>
      </c>
      <c r="I9853" s="14" t="e">
        <f>=Round(893401.69670000,0)</f>
        <v>#VALUE!</v>
      </c>
      <c r="J9853" s="14" t="e">
        <f>=Round(0.00000000,0)</f>
        <v>#VALUE!</v>
      </c>
    </row>
    <row r="9854">
      <c r="A9854" s="11" t="s">
        <v>50</v>
      </c>
      <c r="B9854" s="12">
        <v>1007.658</v>
      </c>
      <c r="C9854" s="12">
        <v>0</v>
      </c>
      <c r="D9854" s="13">
        <v>0</v>
      </c>
      <c r="E9854" s="12">
        <v>0</v>
      </c>
      <c r="F9854" s="14">
        <v>0</v>
      </c>
      <c r="G9854" s="13">
        <v>29500000</v>
      </c>
      <c r="H9854" s="14">
        <v>29725911000</v>
      </c>
      <c r="I9854" s="14" t="e">
        <f>=Round(893401.69670000,0)</f>
        <v>#VALUE!</v>
      </c>
      <c r="J9854" s="14" t="e">
        <f>=Round(0.00000000,0)</f>
        <v>#VALUE!</v>
      </c>
    </row>
    <row r="9855">
      <c r="A9855" s="11" t="s">
        <v>51</v>
      </c>
      <c r="B9855" s="12">
        <v>1008.192</v>
      </c>
      <c r="C9855" s="12">
        <v>0</v>
      </c>
      <c r="D9855" s="13">
        <v>0</v>
      </c>
      <c r="E9855" s="12">
        <v>0</v>
      </c>
      <c r="F9855" s="14">
        <v>0</v>
      </c>
      <c r="G9855" s="13">
        <v>29500000</v>
      </c>
      <c r="H9855" s="14">
        <v>29741664000</v>
      </c>
      <c r="I9855" s="14" t="e">
        <f>=Round(893401.69670000,0)</f>
        <v>#VALUE!</v>
      </c>
      <c r="J9855" s="14" t="e">
        <f>=Round(0.00000000,0)</f>
        <v>#VALUE!</v>
      </c>
    </row>
    <row r="9856">
      <c r="A9856" s="11" t="s">
        <v>52</v>
      </c>
      <c r="B9856" s="12">
        <v>1008.496</v>
      </c>
      <c r="C9856" s="12">
        <v>0</v>
      </c>
      <c r="D9856" s="13">
        <v>0</v>
      </c>
      <c r="E9856" s="12">
        <v>0</v>
      </c>
      <c r="F9856" s="14">
        <v>0</v>
      </c>
      <c r="G9856" s="13">
        <v>29500000</v>
      </c>
      <c r="H9856" s="14">
        <v>29750632000</v>
      </c>
      <c r="I9856" s="14" t="e">
        <f>=Round(893875.14750000,0)</f>
        <v>#VALUE!</v>
      </c>
      <c r="J9856" s="14" t="e">
        <f>=Round(0.00000000,0)</f>
        <v>#VALUE!</v>
      </c>
    </row>
    <row r="9857">
      <c r="A9857" s="11" t="s">
        <v>53</v>
      </c>
      <c r="B9857" s="12">
        <v>1009.301</v>
      </c>
      <c r="C9857" s="12">
        <v>0</v>
      </c>
      <c r="D9857" s="13">
        <v>0</v>
      </c>
      <c r="E9857" s="12">
        <v>0</v>
      </c>
      <c r="F9857" s="14">
        <v>0</v>
      </c>
      <c r="G9857" s="13">
        <v>29500000</v>
      </c>
      <c r="H9857" s="14">
        <v>29774379500</v>
      </c>
      <c r="I9857" s="14" t="e">
        <f>=Round(894144.67760000,0)</f>
        <v>#VALUE!</v>
      </c>
      <c r="J9857" s="14" t="e">
        <f>=Round(0.00000000,0)</f>
        <v>#VALUE!</v>
      </c>
    </row>
    <row r="9858">
      <c r="A9858" s="11" t="s">
        <v>54</v>
      </c>
      <c r="B9858" s="12">
        <v>1008.701</v>
      </c>
      <c r="C9858" s="12">
        <v>0</v>
      </c>
      <c r="D9858" s="13">
        <v>0</v>
      </c>
      <c r="E9858" s="12">
        <v>0</v>
      </c>
      <c r="F9858" s="14">
        <v>0</v>
      </c>
      <c r="G9858" s="13">
        <v>29500000</v>
      </c>
      <c r="H9858" s="14">
        <v>29756679500</v>
      </c>
      <c r="I9858" s="14" t="e">
        <f>=Round(894858.40030000,0)</f>
        <v>#VALUE!</v>
      </c>
      <c r="J9858" s="14" t="e">
        <f>=Round(0.00000000,0)</f>
        <v>#VALUE!</v>
      </c>
    </row>
    <row r="9859">
      <c r="A9859" s="11" t="s">
        <v>55</v>
      </c>
      <c r="B9859" s="12">
        <v>1007.62</v>
      </c>
      <c r="C9859" s="12">
        <v>0</v>
      </c>
      <c r="D9859" s="13">
        <v>0</v>
      </c>
      <c r="E9859" s="12">
        <v>0</v>
      </c>
      <c r="F9859" s="14">
        <v>0</v>
      </c>
      <c r="G9859" s="13">
        <v>29500000</v>
      </c>
      <c r="H9859" s="14">
        <v>29724790000</v>
      </c>
      <c r="I9859" s="14" t="e">
        <f>=Round(894326.43310000,0)</f>
        <v>#VALUE!</v>
      </c>
      <c r="J9859" s="14" t="e">
        <f>=Round(0.00000000,0)</f>
        <v>#VALUE!</v>
      </c>
    </row>
    <row r="9860" ht="-1">
      <c r="A9860" s="15"/>
      <c r="B9860" s="16" t="s">
        <v>56</v>
      </c>
      <c r="C9860" s="15"/>
      <c r="D9860" s="15"/>
      <c r="E9860" s="15"/>
      <c r="F9860" s="15"/>
      <c r="G9860" s="15"/>
      <c r="H9860" s="15"/>
      <c r="I9860" s="17" t="e">
        <f>=Round(SUM(I9834:I9859),0)</f>
        <v>#VALUE!</v>
      </c>
      <c r="J9860" s="17" t="e">
        <f>=Round(SUM(J9834:J9859),0)</f>
        <v>#VALUE!</v>
      </c>
    </row>
    <row r="9861">
      <c r="A9861" s="1" t="s">
        <v>0</v>
      </c>
      <c r="B9861" s="1"/>
      <c r="C9861" s="1"/>
      <c r="D9861" s="1"/>
    </row>
    <row r="9862">
      <c r="A9862" s="0" t="s">
        <v>1</v>
      </c>
      <c r="C9862" s="0" t="s">
        <v>346</v>
      </c>
      <c r="H9862" s="2" t="s">
        <v>3</v>
      </c>
    </row>
    <row r="9863">
      <c r="A9863" s="0" t="s">
        <v>4</v>
      </c>
      <c r="C9863" s="0" t="s">
        <v>347</v>
      </c>
      <c r="H9863" s="3" t="s">
        <v>6</v>
      </c>
    </row>
    <row r="9864">
      <c r="A9864" s="0" t="s">
        <v>7</v>
      </c>
      <c r="C9864" s="4" t="s">
        <v>188</v>
      </c>
      <c r="H9864" s="2" t="s">
        <v>9</v>
      </c>
    </row>
    <row r="9865">
      <c r="A9865" s="0" t="s">
        <v>10</v>
      </c>
      <c r="C9865" s="4" t="s">
        <v>11</v>
      </c>
      <c r="H9865" s="2" t="s">
        <v>12</v>
      </c>
    </row>
    <row r="9866">
      <c r="A9866" s="0" t="s">
        <v>13</v>
      </c>
      <c r="C9866" s="0" t="s">
        <v>14</v>
      </c>
    </row>
    <row r="9867">
      <c r="A9867" s="0" t="s">
        <v>15</v>
      </c>
      <c r="C9867" s="0" t="s">
        <v>16</v>
      </c>
    </row>
    <row r="9868">
      <c r="A9868" s="0" t="s">
        <v>17</v>
      </c>
      <c r="C9868" s="0" t="s">
        <v>18</v>
      </c>
    </row>
    <row r="9871">
      <c r="A9871" s="5" t="s">
        <v>19</v>
      </c>
      <c r="B9871" s="5" t="s">
        <v>20</v>
      </c>
      <c r="C9871" s="7" t="s">
        <v>21</v>
      </c>
      <c r="D9871" s="9"/>
      <c r="E9871" s="7" t="s">
        <v>22</v>
      </c>
      <c r="F9871" s="9"/>
      <c r="G9871" s="5" t="s">
        <v>23</v>
      </c>
      <c r="H9871" s="5" t="s">
        <v>24</v>
      </c>
      <c r="I9871" s="5" t="s">
        <v>189</v>
      </c>
      <c r="J9871" s="5" t="s">
        <v>26</v>
      </c>
    </row>
    <row r="9872">
      <c r="A9872" s="6"/>
      <c r="B9872" s="6"/>
      <c r="C9872" s="8" t="s">
        <v>27</v>
      </c>
      <c r="D9872" s="8" t="s">
        <v>28</v>
      </c>
      <c r="E9872" s="8" t="s">
        <v>27</v>
      </c>
      <c r="F9872" s="8" t="s">
        <v>28</v>
      </c>
      <c r="G9872" s="6"/>
      <c r="H9872" s="6"/>
      <c r="I9872" s="10" t="s">
        <v>29</v>
      </c>
      <c r="J9872" s="6"/>
    </row>
    <row r="9873">
      <c r="A9873" s="11" t="s">
        <v>30</v>
      </c>
      <c r="B9873" s="12">
        <v>881.125</v>
      </c>
      <c r="C9873" s="12">
        <v>0</v>
      </c>
      <c r="D9873" s="13">
        <v>0</v>
      </c>
      <c r="E9873" s="12">
        <v>0</v>
      </c>
      <c r="F9873" s="14">
        <v>0</v>
      </c>
      <c r="G9873" s="13">
        <v>100234.9105</v>
      </c>
      <c r="H9873" s="14">
        <v>88319485.514313</v>
      </c>
      <c r="I9873" s="14" t="e">
        <f>=Round(2680.41730000,0)</f>
        <v>#VALUE!</v>
      </c>
      <c r="J9873" s="14" t="e">
        <f>=Round(0.00000000,0)</f>
        <v>#VALUE!</v>
      </c>
    </row>
    <row r="9874">
      <c r="A9874" s="11" t="s">
        <v>31</v>
      </c>
      <c r="B9874" s="12">
        <v>886.6761</v>
      </c>
      <c r="C9874" s="12">
        <v>0</v>
      </c>
      <c r="D9874" s="13">
        <v>0</v>
      </c>
      <c r="E9874" s="12">
        <v>0</v>
      </c>
      <c r="F9874" s="14">
        <v>0</v>
      </c>
      <c r="G9874" s="13">
        <v>100234.9105</v>
      </c>
      <c r="H9874" s="14">
        <v>88875899.525989</v>
      </c>
      <c r="I9874" s="14" t="e">
        <f>=Round(2654.41080000,0)</f>
        <v>#VALUE!</v>
      </c>
      <c r="J9874" s="14" t="e">
        <f>=Round(0.00000000,0)</f>
        <v>#VALUE!</v>
      </c>
    </row>
    <row r="9875">
      <c r="A9875" s="11" t="s">
        <v>32</v>
      </c>
      <c r="B9875" s="12">
        <v>891.97</v>
      </c>
      <c r="C9875" s="12">
        <v>0</v>
      </c>
      <c r="D9875" s="13">
        <v>0</v>
      </c>
      <c r="E9875" s="12">
        <v>0</v>
      </c>
      <c r="F9875" s="14">
        <v>0</v>
      </c>
      <c r="G9875" s="13">
        <v>100234.9105</v>
      </c>
      <c r="H9875" s="14">
        <v>89406533.118685</v>
      </c>
      <c r="I9875" s="14" t="e">
        <f>=Round(2671.13360000,0)</f>
        <v>#VALUE!</v>
      </c>
      <c r="J9875" s="14" t="e">
        <f>=Round(0.00000000,0)</f>
        <v>#VALUE!</v>
      </c>
    </row>
    <row r="9876">
      <c r="A9876" s="11" t="s">
        <v>33</v>
      </c>
      <c r="B9876" s="12">
        <v>890.3961</v>
      </c>
      <c r="C9876" s="12">
        <v>0</v>
      </c>
      <c r="D9876" s="13">
        <v>0</v>
      </c>
      <c r="E9876" s="12">
        <v>0</v>
      </c>
      <c r="F9876" s="14">
        <v>0</v>
      </c>
      <c r="G9876" s="13">
        <v>100234.9105</v>
      </c>
      <c r="H9876" s="14">
        <v>89248773.393049</v>
      </c>
      <c r="I9876" s="14" t="e">
        <f>=Round(2687.08160000,0)</f>
        <v>#VALUE!</v>
      </c>
      <c r="J9876" s="14" t="e">
        <f>=Round(0.00000000,0)</f>
        <v>#VALUE!</v>
      </c>
    </row>
    <row r="9877">
      <c r="A9877" s="11" t="s">
        <v>34</v>
      </c>
      <c r="B9877" s="12">
        <v>890.7405</v>
      </c>
      <c r="C9877" s="12">
        <v>0</v>
      </c>
      <c r="D9877" s="13">
        <v>0</v>
      </c>
      <c r="E9877" s="12">
        <v>0</v>
      </c>
      <c r="F9877" s="14">
        <v>0</v>
      </c>
      <c r="G9877" s="13">
        <v>100234.9105</v>
      </c>
      <c r="H9877" s="14">
        <v>89283294.296225</v>
      </c>
      <c r="I9877" s="14" t="e">
        <f>=Round(2682.34020000,0)</f>
        <v>#VALUE!</v>
      </c>
      <c r="J9877" s="14" t="e">
        <f>=Round(0.00000000,0)</f>
        <v>#VALUE!</v>
      </c>
    </row>
    <row r="9878">
      <c r="A9878" s="11" t="s">
        <v>35</v>
      </c>
      <c r="B9878" s="12">
        <v>890.7405</v>
      </c>
      <c r="C9878" s="12">
        <v>0</v>
      </c>
      <c r="D9878" s="13">
        <v>0</v>
      </c>
      <c r="E9878" s="12">
        <v>0</v>
      </c>
      <c r="F9878" s="14">
        <v>0</v>
      </c>
      <c r="G9878" s="13">
        <v>100234.9105</v>
      </c>
      <c r="H9878" s="14">
        <v>89283294.296225</v>
      </c>
      <c r="I9878" s="14" t="e">
        <f>=Round(2683.37770000,0)</f>
        <v>#VALUE!</v>
      </c>
      <c r="J9878" s="14" t="e">
        <f>=Round(0.00000000,0)</f>
        <v>#VALUE!</v>
      </c>
    </row>
    <row r="9879">
      <c r="A9879" s="11" t="s">
        <v>36</v>
      </c>
      <c r="B9879" s="12">
        <v>890.7405</v>
      </c>
      <c r="C9879" s="12">
        <v>0</v>
      </c>
      <c r="D9879" s="13">
        <v>0</v>
      </c>
      <c r="E9879" s="12">
        <v>0</v>
      </c>
      <c r="F9879" s="14">
        <v>0</v>
      </c>
      <c r="G9879" s="13">
        <v>100234.9105</v>
      </c>
      <c r="H9879" s="14">
        <v>89283294.296225</v>
      </c>
      <c r="I9879" s="14" t="e">
        <f>=Round(2683.37770000,0)</f>
        <v>#VALUE!</v>
      </c>
      <c r="J9879" s="14" t="e">
        <f>=Round(0.00000000,0)</f>
        <v>#VALUE!</v>
      </c>
    </row>
    <row r="9880">
      <c r="A9880" s="11" t="s">
        <v>37</v>
      </c>
      <c r="B9880" s="12">
        <v>883.3838</v>
      </c>
      <c r="C9880" s="12">
        <v>0</v>
      </c>
      <c r="D9880" s="13">
        <v>0</v>
      </c>
      <c r="E9880" s="12">
        <v>0</v>
      </c>
      <c r="F9880" s="14">
        <v>0</v>
      </c>
      <c r="G9880" s="13">
        <v>100234.9105</v>
      </c>
      <c r="H9880" s="14">
        <v>88545896.13015</v>
      </c>
      <c r="I9880" s="14" t="e">
        <f>=Round(2683.37770000,0)</f>
        <v>#VALUE!</v>
      </c>
      <c r="J9880" s="14" t="e">
        <f>=Round(0.00000000,0)</f>
        <v>#VALUE!</v>
      </c>
    </row>
    <row r="9881">
      <c r="A9881" s="11" t="s">
        <v>38</v>
      </c>
      <c r="B9881" s="12">
        <v>881.5037</v>
      </c>
      <c r="C9881" s="12">
        <v>0</v>
      </c>
      <c r="D9881" s="13">
        <v>0</v>
      </c>
      <c r="E9881" s="12">
        <v>0</v>
      </c>
      <c r="F9881" s="14">
        <v>0</v>
      </c>
      <c r="G9881" s="13">
        <v>100234.9105</v>
      </c>
      <c r="H9881" s="14">
        <v>88357444.474919</v>
      </c>
      <c r="I9881" s="14" t="e">
        <f>=Round(2661.21550000,0)</f>
        <v>#VALUE!</v>
      </c>
      <c r="J9881" s="14" t="e">
        <f>=Round(0.00000000,0)</f>
        <v>#VALUE!</v>
      </c>
    </row>
    <row r="9882">
      <c r="A9882" s="11" t="s">
        <v>39</v>
      </c>
      <c r="B9882" s="12">
        <v>875.392</v>
      </c>
      <c r="C9882" s="12">
        <v>0</v>
      </c>
      <c r="D9882" s="13">
        <v>0</v>
      </c>
      <c r="E9882" s="12">
        <v>0</v>
      </c>
      <c r="F9882" s="14">
        <v>0</v>
      </c>
      <c r="G9882" s="13">
        <v>100234.9105</v>
      </c>
      <c r="H9882" s="14">
        <v>87744838.772416</v>
      </c>
      <c r="I9882" s="14" t="e">
        <f>=Round(2655.55160000,0)</f>
        <v>#VALUE!</v>
      </c>
      <c r="J9882" s="14" t="e">
        <f>=Round(0.00000000,0)</f>
        <v>#VALUE!</v>
      </c>
    </row>
    <row r="9883">
      <c r="A9883" s="11" t="s">
        <v>40</v>
      </c>
      <c r="B9883" s="12">
        <v>870.0291</v>
      </c>
      <c r="C9883" s="12">
        <v>0</v>
      </c>
      <c r="D9883" s="13">
        <v>0</v>
      </c>
      <c r="E9883" s="12">
        <v>0</v>
      </c>
      <c r="F9883" s="14">
        <v>0</v>
      </c>
      <c r="G9883" s="13">
        <v>100234.9105</v>
      </c>
      <c r="H9883" s="14">
        <v>87207288.970896</v>
      </c>
      <c r="I9883" s="14" t="e">
        <f>=Round(2637.14000000,0)</f>
        <v>#VALUE!</v>
      </c>
      <c r="J9883" s="14" t="e">
        <f>=Round(0.00000000,0)</f>
        <v>#VALUE!</v>
      </c>
    </row>
    <row r="9884">
      <c r="A9884" s="11" t="s">
        <v>41</v>
      </c>
      <c r="B9884" s="12">
        <v>867.6424</v>
      </c>
      <c r="C9884" s="12">
        <v>0</v>
      </c>
      <c r="D9884" s="13">
        <v>0</v>
      </c>
      <c r="E9884" s="12">
        <v>0</v>
      </c>
      <c r="F9884" s="14">
        <v>0</v>
      </c>
      <c r="G9884" s="13">
        <v>100234.9105</v>
      </c>
      <c r="H9884" s="14">
        <v>86968058.310005</v>
      </c>
      <c r="I9884" s="14" t="e">
        <f>=Round(2620.98410000,0)</f>
        <v>#VALUE!</v>
      </c>
      <c r="J9884" s="14" t="e">
        <f>=Round(0.00000000,0)</f>
        <v>#VALUE!</v>
      </c>
    </row>
    <row r="9885">
      <c r="A9885" s="11" t="s">
        <v>42</v>
      </c>
      <c r="B9885" s="12">
        <v>867.6424</v>
      </c>
      <c r="C9885" s="12">
        <v>0</v>
      </c>
      <c r="D9885" s="13">
        <v>0</v>
      </c>
      <c r="E9885" s="12">
        <v>0</v>
      </c>
      <c r="F9885" s="14">
        <v>0</v>
      </c>
      <c r="G9885" s="13">
        <v>100234.9105</v>
      </c>
      <c r="H9885" s="14">
        <v>86968058.310005</v>
      </c>
      <c r="I9885" s="14" t="e">
        <f>=Round(2613.79410000,0)</f>
        <v>#VALUE!</v>
      </c>
      <c r="J9885" s="14" t="e">
        <f>=Round(0.00000000,0)</f>
        <v>#VALUE!</v>
      </c>
    </row>
    <row r="9886">
      <c r="A9886" s="11" t="s">
        <v>43</v>
      </c>
      <c r="B9886" s="12">
        <v>867.6424</v>
      </c>
      <c r="C9886" s="12">
        <v>0</v>
      </c>
      <c r="D9886" s="13">
        <v>0</v>
      </c>
      <c r="E9886" s="12">
        <v>0</v>
      </c>
      <c r="F9886" s="14">
        <v>0</v>
      </c>
      <c r="G9886" s="13">
        <v>100234.9105</v>
      </c>
      <c r="H9886" s="14">
        <v>86968058.310005</v>
      </c>
      <c r="I9886" s="14" t="e">
        <f>=Round(2613.79410000,0)</f>
        <v>#VALUE!</v>
      </c>
      <c r="J9886" s="14" t="e">
        <f>=Round(0.00000000,0)</f>
        <v>#VALUE!</v>
      </c>
    </row>
    <row r="9887">
      <c r="A9887" s="11" t="s">
        <v>44</v>
      </c>
      <c r="B9887" s="12">
        <v>866.052</v>
      </c>
      <c r="C9887" s="12">
        <v>0</v>
      </c>
      <c r="D9887" s="13">
        <v>0</v>
      </c>
      <c r="E9887" s="12">
        <v>0</v>
      </c>
      <c r="F9887" s="14">
        <v>0</v>
      </c>
      <c r="G9887" s="13">
        <v>100234.9105</v>
      </c>
      <c r="H9887" s="14">
        <v>86808644.708346</v>
      </c>
      <c r="I9887" s="14" t="e">
        <f>=Round(2613.79410000,0)</f>
        <v>#VALUE!</v>
      </c>
      <c r="J9887" s="14" t="e">
        <f>=Round(0.00000000,0)</f>
        <v>#VALUE!</v>
      </c>
    </row>
    <row r="9888">
      <c r="A9888" s="11" t="s">
        <v>45</v>
      </c>
      <c r="B9888" s="12">
        <v>866.5847</v>
      </c>
      <c r="C9888" s="12">
        <v>0</v>
      </c>
      <c r="D9888" s="13">
        <v>0</v>
      </c>
      <c r="E9888" s="12">
        <v>0</v>
      </c>
      <c r="F9888" s="14">
        <v>0</v>
      </c>
      <c r="G9888" s="13">
        <v>100234.9105</v>
      </c>
      <c r="H9888" s="14">
        <v>86862039.845169</v>
      </c>
      <c r="I9888" s="14" t="e">
        <f>=Round(2609.00300000,0)</f>
        <v>#VALUE!</v>
      </c>
      <c r="J9888" s="14" t="e">
        <f>=Round(0.00000000,0)</f>
        <v>#VALUE!</v>
      </c>
    </row>
    <row r="9889">
      <c r="A9889" s="11" t="s">
        <v>46</v>
      </c>
      <c r="B9889" s="12">
        <v>871.7338</v>
      </c>
      <c r="C9889" s="12">
        <v>0</v>
      </c>
      <c r="D9889" s="13">
        <v>0</v>
      </c>
      <c r="E9889" s="12">
        <v>0</v>
      </c>
      <c r="F9889" s="14">
        <v>0</v>
      </c>
      <c r="G9889" s="13">
        <v>100234.9105</v>
      </c>
      <c r="H9889" s="14">
        <v>87378159.422825</v>
      </c>
      <c r="I9889" s="14" t="e">
        <f>=Round(2610.60780000,0)</f>
        <v>#VALUE!</v>
      </c>
      <c r="J9889" s="14" t="e">
        <f>=Round(0.00000000,0)</f>
        <v>#VALUE!</v>
      </c>
    </row>
    <row r="9890">
      <c r="A9890" s="11" t="s">
        <v>47</v>
      </c>
      <c r="B9890" s="12">
        <v>874.0726</v>
      </c>
      <c r="C9890" s="12">
        <v>0</v>
      </c>
      <c r="D9890" s="13">
        <v>0</v>
      </c>
      <c r="E9890" s="12">
        <v>0</v>
      </c>
      <c r="F9890" s="14">
        <v>0</v>
      </c>
      <c r="G9890" s="13">
        <v>100234.9105</v>
      </c>
      <c r="H9890" s="14">
        <v>87612588.831502</v>
      </c>
      <c r="I9890" s="14" t="e">
        <f>=Round(2626.11950000,0)</f>
        <v>#VALUE!</v>
      </c>
      <c r="J9890" s="14" t="e">
        <f>=Round(0.00000000,0)</f>
        <v>#VALUE!</v>
      </c>
    </row>
    <row r="9891">
      <c r="A9891" s="11" t="s">
        <v>48</v>
      </c>
      <c r="B9891" s="12">
        <v>867.0428</v>
      </c>
      <c r="C9891" s="12">
        <v>0</v>
      </c>
      <c r="D9891" s="13">
        <v>0</v>
      </c>
      <c r="E9891" s="12">
        <v>0</v>
      </c>
      <c r="F9891" s="14">
        <v>0</v>
      </c>
      <c r="G9891" s="13">
        <v>100234.9105</v>
      </c>
      <c r="H9891" s="14">
        <v>86907957.457669</v>
      </c>
      <c r="I9891" s="14" t="e">
        <f>=Round(2633.16520000,0)</f>
        <v>#VALUE!</v>
      </c>
      <c r="J9891" s="14" t="e">
        <f>=Round(0.00000000,0)</f>
        <v>#VALUE!</v>
      </c>
    </row>
    <row r="9892">
      <c r="A9892" s="11" t="s">
        <v>49</v>
      </c>
      <c r="B9892" s="12">
        <v>867.0428</v>
      </c>
      <c r="C9892" s="12">
        <v>0</v>
      </c>
      <c r="D9892" s="13">
        <v>0</v>
      </c>
      <c r="E9892" s="12">
        <v>0</v>
      </c>
      <c r="F9892" s="14">
        <v>0</v>
      </c>
      <c r="G9892" s="13">
        <v>100234.9105</v>
      </c>
      <c r="H9892" s="14">
        <v>86907957.457669</v>
      </c>
      <c r="I9892" s="14" t="e">
        <f>=Round(2611.98780000,0)</f>
        <v>#VALUE!</v>
      </c>
      <c r="J9892" s="14" t="e">
        <f>=Round(0.00000000,0)</f>
        <v>#VALUE!</v>
      </c>
    </row>
    <row r="9893">
      <c r="A9893" s="11" t="s">
        <v>50</v>
      </c>
      <c r="B9893" s="12">
        <v>867.0428</v>
      </c>
      <c r="C9893" s="12">
        <v>0</v>
      </c>
      <c r="D9893" s="13">
        <v>0</v>
      </c>
      <c r="E9893" s="12">
        <v>0</v>
      </c>
      <c r="F9893" s="14">
        <v>0</v>
      </c>
      <c r="G9893" s="13">
        <v>100234.9105</v>
      </c>
      <c r="H9893" s="14">
        <v>86907957.457669</v>
      </c>
      <c r="I9893" s="14" t="e">
        <f>=Round(2611.98780000,0)</f>
        <v>#VALUE!</v>
      </c>
      <c r="J9893" s="14" t="e">
        <f>=Round(0.00000000,0)</f>
        <v>#VALUE!</v>
      </c>
    </row>
    <row r="9894">
      <c r="A9894" s="11" t="s">
        <v>51</v>
      </c>
      <c r="B9894" s="12">
        <v>856.1286</v>
      </c>
      <c r="C9894" s="12">
        <v>0</v>
      </c>
      <c r="D9894" s="13">
        <v>0</v>
      </c>
      <c r="E9894" s="12">
        <v>0</v>
      </c>
      <c r="F9894" s="14">
        <v>0</v>
      </c>
      <c r="G9894" s="13">
        <v>100234.9105</v>
      </c>
      <c r="H9894" s="14">
        <v>85813973.59749</v>
      </c>
      <c r="I9894" s="14" t="e">
        <f>=Round(2611.98780000,0)</f>
        <v>#VALUE!</v>
      </c>
      <c r="J9894" s="14" t="e">
        <f>=Round(0.00000000,0)</f>
        <v>#VALUE!</v>
      </c>
    </row>
    <row r="9895">
      <c r="A9895" s="11" t="s">
        <v>52</v>
      </c>
      <c r="B9895" s="12">
        <v>855.6337</v>
      </c>
      <c r="C9895" s="12">
        <v>0</v>
      </c>
      <c r="D9895" s="13">
        <v>0</v>
      </c>
      <c r="E9895" s="12">
        <v>0</v>
      </c>
      <c r="F9895" s="14">
        <v>0</v>
      </c>
      <c r="G9895" s="13">
        <v>100234.9105</v>
      </c>
      <c r="H9895" s="14">
        <v>85764367.340284</v>
      </c>
      <c r="I9895" s="14" t="e">
        <f>=Round(2579.10850000,0)</f>
        <v>#VALUE!</v>
      </c>
      <c r="J9895" s="14" t="e">
        <f>=Round(0.00000000,0)</f>
        <v>#VALUE!</v>
      </c>
    </row>
    <row r="9896">
      <c r="A9896" s="11" t="s">
        <v>53</v>
      </c>
      <c r="B9896" s="12">
        <v>842.6556</v>
      </c>
      <c r="C9896" s="12">
        <v>0</v>
      </c>
      <c r="D9896" s="13">
        <v>0</v>
      </c>
      <c r="E9896" s="12">
        <v>0</v>
      </c>
      <c r="F9896" s="14">
        <v>0</v>
      </c>
      <c r="G9896" s="13">
        <v>100234.9105</v>
      </c>
      <c r="H9896" s="14">
        <v>84463508.648324</v>
      </c>
      <c r="I9896" s="14" t="e">
        <f>=Round(2577.61760000,0)</f>
        <v>#VALUE!</v>
      </c>
      <c r="J9896" s="14" t="e">
        <f>=Round(0.00000000,0)</f>
        <v>#VALUE!</v>
      </c>
    </row>
    <row r="9897">
      <c r="A9897" s="11" t="s">
        <v>54</v>
      </c>
      <c r="B9897" s="12">
        <v>825.5963</v>
      </c>
      <c r="C9897" s="12">
        <v>0</v>
      </c>
      <c r="D9897" s="13">
        <v>0</v>
      </c>
      <c r="E9897" s="12">
        <v>0</v>
      </c>
      <c r="F9897" s="14">
        <v>0</v>
      </c>
      <c r="G9897" s="13">
        <v>100234.9105</v>
      </c>
      <c r="H9897" s="14">
        <v>82753571.239631</v>
      </c>
      <c r="I9897" s="14" t="e">
        <f>=Round(2538.52080000,0)</f>
        <v>#VALUE!</v>
      </c>
      <c r="J9897" s="14" t="e">
        <f>=Round(0.00000000,0)</f>
        <v>#VALUE!</v>
      </c>
    </row>
    <row r="9898">
      <c r="A9898" s="11" t="s">
        <v>55</v>
      </c>
      <c r="B9898" s="12">
        <v>819.7367</v>
      </c>
      <c r="C9898" s="12">
        <v>0</v>
      </c>
      <c r="D9898" s="13">
        <v>0</v>
      </c>
      <c r="E9898" s="12">
        <v>0</v>
      </c>
      <c r="F9898" s="14">
        <v>0</v>
      </c>
      <c r="G9898" s="13">
        <v>100234.9105</v>
      </c>
      <c r="H9898" s="14">
        <v>82166234.758065</v>
      </c>
      <c r="I9898" s="14" t="e">
        <f>=Round(2487.12920000,0)</f>
        <v>#VALUE!</v>
      </c>
      <c r="J9898" s="14" t="e">
        <f>=Round(0.00000000,0)</f>
        <v>#VALUE!</v>
      </c>
    </row>
    <row r="9899" ht="-1">
      <c r="A9899" s="15"/>
      <c r="B9899" s="16" t="s">
        <v>56</v>
      </c>
      <c r="C9899" s="15"/>
      <c r="D9899" s="15"/>
      <c r="E9899" s="15"/>
      <c r="F9899" s="15"/>
      <c r="G9899" s="15"/>
      <c r="H9899" s="15"/>
      <c r="I9899" s="17" t="e">
        <f>=Round(SUM(I9873:I9898),0)</f>
        <v>#VALUE!</v>
      </c>
      <c r="J9899" s="17" t="e">
        <f>=Round(SUM(J9873:J9898),0)</f>
        <v>#VALUE!</v>
      </c>
    </row>
    <row r="9900">
      <c r="A9900" s="1" t="s">
        <v>0</v>
      </c>
      <c r="B9900" s="1"/>
      <c r="C9900" s="1"/>
      <c r="D9900" s="1"/>
    </row>
    <row r="9901">
      <c r="A9901" s="0" t="s">
        <v>1</v>
      </c>
      <c r="C9901" s="0" t="s">
        <v>346</v>
      </c>
      <c r="H9901" s="2" t="s">
        <v>3</v>
      </c>
    </row>
    <row r="9902">
      <c r="A9902" s="0" t="s">
        <v>4</v>
      </c>
      <c r="C9902" s="0" t="s">
        <v>309</v>
      </c>
      <c r="H9902" s="3" t="s">
        <v>6</v>
      </c>
    </row>
    <row r="9903">
      <c r="A9903" s="0" t="s">
        <v>7</v>
      </c>
      <c r="C9903" s="4" t="s">
        <v>188</v>
      </c>
      <c r="H9903" s="2" t="s">
        <v>9</v>
      </c>
    </row>
    <row r="9904">
      <c r="A9904" s="0" t="s">
        <v>10</v>
      </c>
      <c r="C9904" s="4" t="s">
        <v>348</v>
      </c>
      <c r="H9904" s="2" t="s">
        <v>12</v>
      </c>
    </row>
    <row r="9905">
      <c r="A9905" s="0" t="s">
        <v>13</v>
      </c>
      <c r="C9905" s="0" t="s">
        <v>14</v>
      </c>
    </row>
    <row r="9906">
      <c r="A9906" s="0" t="s">
        <v>15</v>
      </c>
      <c r="C9906" s="0" t="s">
        <v>16</v>
      </c>
    </row>
    <row r="9907">
      <c r="A9907" s="0" t="s">
        <v>17</v>
      </c>
      <c r="C9907" s="0" t="s">
        <v>18</v>
      </c>
    </row>
    <row r="9910">
      <c r="A9910" s="5" t="s">
        <v>19</v>
      </c>
      <c r="B9910" s="5" t="s">
        <v>20</v>
      </c>
      <c r="C9910" s="7" t="s">
        <v>21</v>
      </c>
      <c r="D9910" s="9"/>
      <c r="E9910" s="7" t="s">
        <v>22</v>
      </c>
      <c r="F9910" s="9"/>
      <c r="G9910" s="5" t="s">
        <v>23</v>
      </c>
      <c r="H9910" s="5" t="s">
        <v>24</v>
      </c>
      <c r="I9910" s="5" t="s">
        <v>189</v>
      </c>
      <c r="J9910" s="5" t="s">
        <v>349</v>
      </c>
    </row>
    <row r="9911">
      <c r="A9911" s="6"/>
      <c r="B9911" s="6"/>
      <c r="C9911" s="8" t="s">
        <v>27</v>
      </c>
      <c r="D9911" s="8" t="s">
        <v>28</v>
      </c>
      <c r="E9911" s="8" t="s">
        <v>27</v>
      </c>
      <c r="F9911" s="8" t="s">
        <v>28</v>
      </c>
      <c r="G9911" s="6"/>
      <c r="H9911" s="6"/>
      <c r="I9911" s="10" t="s">
        <v>29</v>
      </c>
      <c r="J9911" s="6"/>
    </row>
    <row r="9912">
      <c r="A9912" s="11" t="s">
        <v>30</v>
      </c>
      <c r="B9912" s="12">
        <v>881.125</v>
      </c>
      <c r="C9912" s="12">
        <v>0</v>
      </c>
      <c r="D9912" s="13">
        <v>0</v>
      </c>
      <c r="E9912" s="12">
        <v>0</v>
      </c>
      <c r="F9912" s="14">
        <v>0</v>
      </c>
      <c r="G9912" s="13">
        <v>12972475.0447</v>
      </c>
      <c r="H9912" s="14">
        <v>11430372073.761288</v>
      </c>
      <c r="I9912" s="14" t="e">
        <f>=Round(346901.55580000,0)</f>
        <v>#VALUE!</v>
      </c>
      <c r="J9912" s="14" t="e">
        <f>=Round(63072.94710000,0)</f>
        <v>#VALUE!</v>
      </c>
    </row>
    <row r="9913">
      <c r="A9913" s="11" t="s">
        <v>31</v>
      </c>
      <c r="B9913" s="12">
        <v>886.6761</v>
      </c>
      <c r="C9913" s="12">
        <v>0</v>
      </c>
      <c r="D9913" s="13">
        <v>0</v>
      </c>
      <c r="E9913" s="12">
        <v>0</v>
      </c>
      <c r="F9913" s="14">
        <v>0</v>
      </c>
      <c r="G9913" s="13">
        <v>12972475.0447</v>
      </c>
      <c r="H9913" s="14">
        <v>11502383579.981922</v>
      </c>
      <c r="I9913" s="14" t="e">
        <f>=Round(343535.77270000,0)</f>
        <v>#VALUE!</v>
      </c>
      <c r="J9913" s="14" t="e">
        <f>=Round(62460.98710000,0)</f>
        <v>#VALUE!</v>
      </c>
    </row>
    <row r="9914">
      <c r="A9914" s="11" t="s">
        <v>32</v>
      </c>
      <c r="B9914" s="12">
        <v>891.97</v>
      </c>
      <c r="C9914" s="12">
        <v>0</v>
      </c>
      <c r="D9914" s="13">
        <v>0</v>
      </c>
      <c r="E9914" s="12">
        <v>0</v>
      </c>
      <c r="F9914" s="14">
        <v>0</v>
      </c>
      <c r="G9914" s="13">
        <v>12972475.0447</v>
      </c>
      <c r="H9914" s="14">
        <v>11571058565.621059</v>
      </c>
      <c r="I9914" s="14" t="e">
        <f>=Round(345700.05300000,0)</f>
        <v>#VALUE!</v>
      </c>
      <c r="J9914" s="14" t="e">
        <f>=Round(62854.49220000,0)</f>
        <v>#VALUE!</v>
      </c>
    </row>
    <row r="9915">
      <c r="A9915" s="11" t="s">
        <v>33</v>
      </c>
      <c r="B9915" s="12">
        <v>890.3961</v>
      </c>
      <c r="C9915" s="12">
        <v>0</v>
      </c>
      <c r="D9915" s="13">
        <v>0</v>
      </c>
      <c r="E9915" s="12">
        <v>0</v>
      </c>
      <c r="F9915" s="14">
        <v>0</v>
      </c>
      <c r="G9915" s="13">
        <v>12972475.0447</v>
      </c>
      <c r="H9915" s="14">
        <v>11550641187.148207</v>
      </c>
      <c r="I9915" s="14" t="e">
        <f>=Round(347764.05530000,0)</f>
        <v>#VALUE!</v>
      </c>
      <c r="J9915" s="14" t="e">
        <f>=Round(63229.76500000,0)</f>
        <v>#VALUE!</v>
      </c>
    </row>
    <row r="9916">
      <c r="A9916" s="11" t="s">
        <v>34</v>
      </c>
      <c r="B9916" s="12">
        <v>890.7405</v>
      </c>
      <c r="C9916" s="12">
        <v>0</v>
      </c>
      <c r="D9916" s="13">
        <v>0</v>
      </c>
      <c r="E9916" s="12">
        <v>0</v>
      </c>
      <c r="F9916" s="14">
        <v>0</v>
      </c>
      <c r="G9916" s="13">
        <v>12972475.0447</v>
      </c>
      <c r="H9916" s="14">
        <v>11555108907.5536</v>
      </c>
      <c r="I9916" s="14" t="e">
        <f>=Round(347150.41820000,0)</f>
        <v>#VALUE!</v>
      </c>
      <c r="J9916" s="14" t="e">
        <f>=Round(63118.19470000,0)</f>
        <v>#VALUE!</v>
      </c>
    </row>
    <row r="9917">
      <c r="A9917" s="11" t="s">
        <v>35</v>
      </c>
      <c r="B9917" s="12">
        <v>890.7405</v>
      </c>
      <c r="C9917" s="12">
        <v>0</v>
      </c>
      <c r="D9917" s="13">
        <v>0</v>
      </c>
      <c r="E9917" s="12">
        <v>0</v>
      </c>
      <c r="F9917" s="14">
        <v>0</v>
      </c>
      <c r="G9917" s="13">
        <v>12972475.0447</v>
      </c>
      <c r="H9917" s="14">
        <v>11555108907.5536</v>
      </c>
      <c r="I9917" s="14" t="e">
        <f>=Round(347284.69390000,0)</f>
        <v>#VALUE!</v>
      </c>
      <c r="J9917" s="14" t="e">
        <f>=Round(63142.60850000,0)</f>
        <v>#VALUE!</v>
      </c>
    </row>
    <row r="9918">
      <c r="A9918" s="11" t="s">
        <v>36</v>
      </c>
      <c r="B9918" s="12">
        <v>890.7405</v>
      </c>
      <c r="C9918" s="12">
        <v>0</v>
      </c>
      <c r="D9918" s="13">
        <v>0</v>
      </c>
      <c r="E9918" s="12">
        <v>0</v>
      </c>
      <c r="F9918" s="14">
        <v>0</v>
      </c>
      <c r="G9918" s="13">
        <v>12972475.0447</v>
      </c>
      <c r="H9918" s="14">
        <v>11555108907.5536</v>
      </c>
      <c r="I9918" s="14" t="e">
        <f>=Round(347284.69390000,0)</f>
        <v>#VALUE!</v>
      </c>
      <c r="J9918" s="14" t="e">
        <f>=Round(63142.60850000,0)</f>
        <v>#VALUE!</v>
      </c>
    </row>
    <row r="9919">
      <c r="A9919" s="11" t="s">
        <v>37</v>
      </c>
      <c r="B9919" s="12">
        <v>883.3838</v>
      </c>
      <c r="C9919" s="12">
        <v>0</v>
      </c>
      <c r="D9919" s="13">
        <v>0</v>
      </c>
      <c r="E9919" s="12">
        <v>0</v>
      </c>
      <c r="F9919" s="14">
        <v>0</v>
      </c>
      <c r="G9919" s="13">
        <v>12972475.0447</v>
      </c>
      <c r="H9919" s="14">
        <v>11459674300.392256</v>
      </c>
      <c r="I9919" s="14" t="e">
        <f>=Round(347284.69390000,0)</f>
        <v>#VALUE!</v>
      </c>
      <c r="J9919" s="14" t="e">
        <f>=Round(63142.60850000,0)</f>
        <v>#VALUE!</v>
      </c>
    </row>
    <row r="9920">
      <c r="A9920" s="11" t="s">
        <v>38</v>
      </c>
      <c r="B9920" s="12">
        <v>881.5037</v>
      </c>
      <c r="C9920" s="12">
        <v>0</v>
      </c>
      <c r="D9920" s="13">
        <v>0</v>
      </c>
      <c r="E9920" s="12">
        <v>0</v>
      </c>
      <c r="F9920" s="14">
        <v>0</v>
      </c>
      <c r="G9920" s="13">
        <v>12972475.0447</v>
      </c>
      <c r="H9920" s="14">
        <v>11435284750.060717</v>
      </c>
      <c r="I9920" s="14" t="e">
        <f>=Round(344416.44070000,0)</f>
        <v>#VALUE!</v>
      </c>
      <c r="J9920" s="14" t="e">
        <f>=Round(62621.10840000,0)</f>
        <v>#VALUE!</v>
      </c>
    </row>
    <row r="9921">
      <c r="A9921" s="11" t="s">
        <v>39</v>
      </c>
      <c r="B9921" s="12">
        <v>875.392</v>
      </c>
      <c r="C9921" s="12">
        <v>0</v>
      </c>
      <c r="D9921" s="13">
        <v>0</v>
      </c>
      <c r="E9921" s="12">
        <v>0</v>
      </c>
      <c r="F9921" s="14">
        <v>0</v>
      </c>
      <c r="G9921" s="13">
        <v>12972475.0447</v>
      </c>
      <c r="H9921" s="14">
        <v>11356000874.330023</v>
      </c>
      <c r="I9921" s="14" t="e">
        <f>=Round(343683.42140000,0)</f>
        <v>#VALUE!</v>
      </c>
      <c r="J9921" s="14" t="e">
        <f>=Round(62487.83230000,0)</f>
        <v>#VALUE!</v>
      </c>
    </row>
    <row r="9922">
      <c r="A9922" s="11" t="s">
        <v>40</v>
      </c>
      <c r="B9922" s="12">
        <v>870.0291</v>
      </c>
      <c r="C9922" s="12">
        <v>0</v>
      </c>
      <c r="D9922" s="13">
        <v>0</v>
      </c>
      <c r="E9922" s="12">
        <v>0</v>
      </c>
      <c r="F9922" s="14">
        <v>0</v>
      </c>
      <c r="G9922" s="13">
        <v>12972475.0447</v>
      </c>
      <c r="H9922" s="14">
        <v>11286430787.9128</v>
      </c>
      <c r="I9922" s="14" t="e">
        <f>=Round(341300.57270000,0)</f>
        <v>#VALUE!</v>
      </c>
      <c r="J9922" s="14" t="e">
        <f>=Round(62054.58750000,0)</f>
        <v>#VALUE!</v>
      </c>
    </row>
    <row r="9923">
      <c r="A9923" s="11" t="s">
        <v>41</v>
      </c>
      <c r="B9923" s="12">
        <v>867.6424</v>
      </c>
      <c r="C9923" s="12">
        <v>0</v>
      </c>
      <c r="D9923" s="13">
        <v>0</v>
      </c>
      <c r="E9923" s="12">
        <v>12972475.0447</v>
      </c>
      <c r="F9923" s="14">
        <v>11255469382</v>
      </c>
      <c r="G9923" s="13">
        <v>12972475.0447</v>
      </c>
      <c r="H9923" s="14">
        <v>11255469381.723616</v>
      </c>
      <c r="I9923" s="14" t="e">
        <f>=Round(339209.66850000,0)</f>
        <v>#VALUE!</v>
      </c>
      <c r="J9923" s="14" t="e">
        <f>=Round(61674.42350000,0)</f>
        <v>#VALUE!</v>
      </c>
    </row>
    <row r="9924">
      <c r="A9924" s="11" t="s">
        <v>42</v>
      </c>
      <c r="B9924" s="12">
        <v>867.6424</v>
      </c>
      <c r="C9924" s="12">
        <v>0</v>
      </c>
      <c r="D9924" s="13">
        <v>0</v>
      </c>
      <c r="E9924" s="12">
        <v>0</v>
      </c>
      <c r="F9924" s="14">
        <v>0</v>
      </c>
      <c r="G9924" s="13">
        <v>12972475.0447</v>
      </c>
      <c r="H9924" s="14">
        <v>11255469381.723616</v>
      </c>
      <c r="I9924" s="14" t="e">
        <f>=Round(338279.13440000,0)</f>
        <v>#VALUE!</v>
      </c>
      <c r="J9924" s="14" t="e">
        <f>=Round(61505.23570000,0)</f>
        <v>#VALUE!</v>
      </c>
    </row>
    <row r="9925">
      <c r="A9925" s="11" t="s">
        <v>43</v>
      </c>
      <c r="B9925" s="12">
        <v>867.6424</v>
      </c>
      <c r="C9925" s="12">
        <v>0</v>
      </c>
      <c r="D9925" s="13">
        <v>0</v>
      </c>
      <c r="E9925" s="12">
        <v>0</v>
      </c>
      <c r="F9925" s="14">
        <v>0</v>
      </c>
      <c r="G9925" s="13">
        <v>12972475.0447</v>
      </c>
      <c r="H9925" s="14">
        <v>11255469381.723616</v>
      </c>
      <c r="I9925" s="14" t="e">
        <f>=Round(338279.13440000,0)</f>
        <v>#VALUE!</v>
      </c>
      <c r="J9925" s="14" t="e">
        <f>=Round(61505.23570000,0)</f>
        <v>#VALUE!</v>
      </c>
    </row>
    <row r="9926">
      <c r="A9926" s="11" t="s">
        <v>44</v>
      </c>
      <c r="B9926" s="12">
        <v>866.052</v>
      </c>
      <c r="C9926" s="12">
        <v>0</v>
      </c>
      <c r="D9926" s="13">
        <v>0</v>
      </c>
      <c r="E9926" s="12">
        <v>0</v>
      </c>
      <c r="F9926" s="14">
        <v>0</v>
      </c>
      <c r="G9926" s="13">
        <v>0</v>
      </c>
      <c r="H9926" s="14">
        <v>0</v>
      </c>
      <c r="I9926" s="14" t="e">
        <f>=Round(338279.13440000,0)</f>
        <v>#VALUE!</v>
      </c>
      <c r="J9926" s="14" t="e">
        <f>=Round(61505.23570000,0)</f>
        <v>#VALUE!</v>
      </c>
    </row>
    <row r="9927">
      <c r="A9927" s="11" t="s">
        <v>45</v>
      </c>
      <c r="B9927" s="12">
        <v>866.5847</v>
      </c>
      <c r="C9927" s="12">
        <v>0</v>
      </c>
      <c r="D9927" s="13">
        <v>0</v>
      </c>
      <c r="E9927" s="12">
        <v>0</v>
      </c>
      <c r="F9927" s="14">
        <v>0</v>
      </c>
      <c r="G9927" s="13">
        <v>0</v>
      </c>
      <c r="H9927" s="14">
        <v>0</v>
      </c>
      <c r="I9927" s="14" t="e">
        <f>=Round(0.00000000,0)</f>
        <v>#VALUE!</v>
      </c>
      <c r="J9927" s="14" t="e">
        <f>=Round(0.00000000,0)</f>
        <v>#VALUE!</v>
      </c>
    </row>
    <row r="9928">
      <c r="A9928" s="11" t="s">
        <v>46</v>
      </c>
      <c r="B9928" s="12">
        <v>871.7338</v>
      </c>
      <c r="C9928" s="12">
        <v>0</v>
      </c>
      <c r="D9928" s="13">
        <v>0</v>
      </c>
      <c r="E9928" s="12">
        <v>0</v>
      </c>
      <c r="F9928" s="14">
        <v>0</v>
      </c>
      <c r="G9928" s="13">
        <v>0</v>
      </c>
      <c r="H9928" s="14">
        <v>0</v>
      </c>
      <c r="I9928" s="14" t="e">
        <f>=Round(0.00000000,0)</f>
        <v>#VALUE!</v>
      </c>
      <c r="J9928" s="14" t="e">
        <f>=Round(0.00000000,0)</f>
        <v>#VALUE!</v>
      </c>
    </row>
    <row r="9929">
      <c r="A9929" s="11" t="s">
        <v>47</v>
      </c>
      <c r="B9929" s="12">
        <v>874.0726</v>
      </c>
      <c r="C9929" s="12">
        <v>0</v>
      </c>
      <c r="D9929" s="13">
        <v>0</v>
      </c>
      <c r="E9929" s="12">
        <v>0</v>
      </c>
      <c r="F9929" s="14">
        <v>0</v>
      </c>
      <c r="G9929" s="13">
        <v>0</v>
      </c>
      <c r="H9929" s="14">
        <v>0</v>
      </c>
      <c r="I9929" s="14" t="e">
        <f>=Round(0.00000000,0)</f>
        <v>#VALUE!</v>
      </c>
      <c r="J9929" s="14" t="e">
        <f>=Round(0.00000000,0)</f>
        <v>#VALUE!</v>
      </c>
    </row>
    <row r="9930">
      <c r="A9930" s="11" t="s">
        <v>48</v>
      </c>
      <c r="B9930" s="12">
        <v>867.0428</v>
      </c>
      <c r="C9930" s="12">
        <v>0</v>
      </c>
      <c r="D9930" s="13">
        <v>0</v>
      </c>
      <c r="E9930" s="12">
        <v>0</v>
      </c>
      <c r="F9930" s="14">
        <v>0</v>
      </c>
      <c r="G9930" s="13">
        <v>0</v>
      </c>
      <c r="H9930" s="14">
        <v>0</v>
      </c>
      <c r="I9930" s="14" t="e">
        <f>=Round(0.00000000,0)</f>
        <v>#VALUE!</v>
      </c>
      <c r="J9930" s="14" t="e">
        <f>=Round(0.00000000,0)</f>
        <v>#VALUE!</v>
      </c>
    </row>
    <row r="9931">
      <c r="A9931" s="11" t="s">
        <v>49</v>
      </c>
      <c r="B9931" s="12">
        <v>867.0428</v>
      </c>
      <c r="C9931" s="12">
        <v>0</v>
      </c>
      <c r="D9931" s="13">
        <v>0</v>
      </c>
      <c r="E9931" s="12">
        <v>0</v>
      </c>
      <c r="F9931" s="14">
        <v>0</v>
      </c>
      <c r="G9931" s="13">
        <v>0</v>
      </c>
      <c r="H9931" s="14">
        <v>0</v>
      </c>
      <c r="I9931" s="14" t="e">
        <f>=Round(0.00000000,0)</f>
        <v>#VALUE!</v>
      </c>
      <c r="J9931" s="14" t="e">
        <f>=Round(0.00000000,0)</f>
        <v>#VALUE!</v>
      </c>
    </row>
    <row r="9932">
      <c r="A9932" s="11" t="s">
        <v>50</v>
      </c>
      <c r="B9932" s="12">
        <v>867.0428</v>
      </c>
      <c r="C9932" s="12">
        <v>0</v>
      </c>
      <c r="D9932" s="13">
        <v>0</v>
      </c>
      <c r="E9932" s="12">
        <v>0</v>
      </c>
      <c r="F9932" s="14">
        <v>0</v>
      </c>
      <c r="G9932" s="13">
        <v>0</v>
      </c>
      <c r="H9932" s="14">
        <v>0</v>
      </c>
      <c r="I9932" s="14" t="e">
        <f>=Round(0.00000000,0)</f>
        <v>#VALUE!</v>
      </c>
      <c r="J9932" s="14" t="e">
        <f>=Round(0.00000000,0)</f>
        <v>#VALUE!</v>
      </c>
    </row>
    <row r="9933">
      <c r="A9933" s="11" t="s">
        <v>51</v>
      </c>
      <c r="B9933" s="12">
        <v>856.1286</v>
      </c>
      <c r="C9933" s="12">
        <v>0</v>
      </c>
      <c r="D9933" s="13">
        <v>0</v>
      </c>
      <c r="E9933" s="12">
        <v>0</v>
      </c>
      <c r="F9933" s="14">
        <v>0</v>
      </c>
      <c r="G9933" s="13">
        <v>0</v>
      </c>
      <c r="H9933" s="14">
        <v>0</v>
      </c>
      <c r="I9933" s="14" t="e">
        <f>=Round(0.00000000,0)</f>
        <v>#VALUE!</v>
      </c>
      <c r="J9933" s="14" t="e">
        <f>=Round(0.00000000,0)</f>
        <v>#VALUE!</v>
      </c>
    </row>
    <row r="9934">
      <c r="A9934" s="11" t="s">
        <v>52</v>
      </c>
      <c r="B9934" s="12">
        <v>855.6337</v>
      </c>
      <c r="C9934" s="12">
        <v>0</v>
      </c>
      <c r="D9934" s="13">
        <v>0</v>
      </c>
      <c r="E9934" s="12">
        <v>0</v>
      </c>
      <c r="F9934" s="14">
        <v>0</v>
      </c>
      <c r="G9934" s="13">
        <v>0</v>
      </c>
      <c r="H9934" s="14">
        <v>0</v>
      </c>
      <c r="I9934" s="14" t="e">
        <f>=Round(0.00000000,0)</f>
        <v>#VALUE!</v>
      </c>
      <c r="J9934" s="14" t="e">
        <f>=Round(0.00000000,0)</f>
        <v>#VALUE!</v>
      </c>
    </row>
    <row r="9935">
      <c r="A9935" s="11" t="s">
        <v>53</v>
      </c>
      <c r="B9935" s="12">
        <v>842.6556</v>
      </c>
      <c r="C9935" s="12">
        <v>0</v>
      </c>
      <c r="D9935" s="13">
        <v>0</v>
      </c>
      <c r="E9935" s="12">
        <v>0</v>
      </c>
      <c r="F9935" s="14">
        <v>0</v>
      </c>
      <c r="G9935" s="13">
        <v>0</v>
      </c>
      <c r="H9935" s="14">
        <v>0</v>
      </c>
      <c r="I9935" s="14" t="e">
        <f>=Round(0.00000000,0)</f>
        <v>#VALUE!</v>
      </c>
      <c r="J9935" s="14" t="e">
        <f>=Round(0.00000000,0)</f>
        <v>#VALUE!</v>
      </c>
    </row>
    <row r="9936">
      <c r="A9936" s="11" t="s">
        <v>54</v>
      </c>
      <c r="B9936" s="12">
        <v>825.5963</v>
      </c>
      <c r="C9936" s="12">
        <v>0</v>
      </c>
      <c r="D9936" s="13">
        <v>0</v>
      </c>
      <c r="E9936" s="12">
        <v>0</v>
      </c>
      <c r="F9936" s="14">
        <v>0</v>
      </c>
      <c r="G9936" s="13">
        <v>0</v>
      </c>
      <c r="H9936" s="14">
        <v>0</v>
      </c>
      <c r="I9936" s="14" t="e">
        <f>=Round(0.00000000,0)</f>
        <v>#VALUE!</v>
      </c>
      <c r="J9936" s="14" t="e">
        <f>=Round(0.00000000,0)</f>
        <v>#VALUE!</v>
      </c>
    </row>
    <row r="9937">
      <c r="A9937" s="11" t="s">
        <v>55</v>
      </c>
      <c r="B9937" s="12">
        <v>819.7367</v>
      </c>
      <c r="C9937" s="12">
        <v>0</v>
      </c>
      <c r="D9937" s="13">
        <v>0</v>
      </c>
      <c r="E9937" s="12">
        <v>0</v>
      </c>
      <c r="F9937" s="14">
        <v>0</v>
      </c>
      <c r="G9937" s="13">
        <v>0</v>
      </c>
      <c r="H9937" s="14">
        <v>0</v>
      </c>
      <c r="I9937" s="14" t="e">
        <f>=Round(0.00000000,0)</f>
        <v>#VALUE!</v>
      </c>
      <c r="J9937" s="14" t="e">
        <f>=Round(0.00000000,0)</f>
        <v>#VALUE!</v>
      </c>
    </row>
    <row r="9938" ht="-1">
      <c r="A9938" s="15"/>
      <c r="B9938" s="16" t="s">
        <v>56</v>
      </c>
      <c r="C9938" s="15"/>
      <c r="D9938" s="15"/>
      <c r="E9938" s="15"/>
      <c r="F9938" s="15"/>
      <c r="G9938" s="15"/>
      <c r="H9938" s="15"/>
      <c r="I9938" s="17" t="e">
        <f>=Round(SUM(I9912:I9937),0)</f>
        <v>#VALUE!</v>
      </c>
      <c r="J9938" s="17" t="e">
        <f>=Round(SUM(J9912:J9937),0)</f>
        <v>#VALUE!</v>
      </c>
    </row>
    <row r="9939">
      <c r="A9939" s="1" t="s">
        <v>0</v>
      </c>
      <c r="B9939" s="1"/>
      <c r="C9939" s="1"/>
      <c r="D9939" s="1"/>
    </row>
    <row r="9940">
      <c r="A9940" s="0" t="s">
        <v>1</v>
      </c>
      <c r="C9940" s="0" t="s">
        <v>346</v>
      </c>
      <c r="H9940" s="2" t="s">
        <v>3</v>
      </c>
    </row>
    <row r="9941">
      <c r="A9941" s="0" t="s">
        <v>4</v>
      </c>
      <c r="C9941" s="0" t="s">
        <v>350</v>
      </c>
      <c r="H9941" s="3" t="s">
        <v>6</v>
      </c>
    </row>
    <row r="9942">
      <c r="A9942" s="0" t="s">
        <v>7</v>
      </c>
      <c r="C9942" s="4" t="s">
        <v>188</v>
      </c>
      <c r="H9942" s="2" t="s">
        <v>9</v>
      </c>
    </row>
    <row r="9943">
      <c r="A9943" s="0" t="s">
        <v>10</v>
      </c>
      <c r="C9943" s="4" t="s">
        <v>11</v>
      </c>
      <c r="H9943" s="2" t="s">
        <v>12</v>
      </c>
    </row>
    <row r="9944">
      <c r="A9944" s="0" t="s">
        <v>13</v>
      </c>
      <c r="C9944" s="0" t="s">
        <v>14</v>
      </c>
    </row>
    <row r="9945">
      <c r="A9945" s="0" t="s">
        <v>15</v>
      </c>
      <c r="C9945" s="0" t="s">
        <v>16</v>
      </c>
    </row>
    <row r="9946">
      <c r="A9946" s="0" t="s">
        <v>17</v>
      </c>
      <c r="C9946" s="0" t="s">
        <v>18</v>
      </c>
    </row>
    <row r="9949">
      <c r="A9949" s="5" t="s">
        <v>19</v>
      </c>
      <c r="B9949" s="5" t="s">
        <v>20</v>
      </c>
      <c r="C9949" s="7" t="s">
        <v>21</v>
      </c>
      <c r="D9949" s="9"/>
      <c r="E9949" s="7" t="s">
        <v>22</v>
      </c>
      <c r="F9949" s="9"/>
      <c r="G9949" s="5" t="s">
        <v>23</v>
      </c>
      <c r="H9949" s="5" t="s">
        <v>24</v>
      </c>
      <c r="I9949" s="5" t="s">
        <v>189</v>
      </c>
      <c r="J9949" s="5" t="s">
        <v>26</v>
      </c>
    </row>
    <row r="9950">
      <c r="A9950" s="6"/>
      <c r="B9950" s="6"/>
      <c r="C9950" s="8" t="s">
        <v>27</v>
      </c>
      <c r="D9950" s="8" t="s">
        <v>28</v>
      </c>
      <c r="E9950" s="8" t="s">
        <v>27</v>
      </c>
      <c r="F9950" s="8" t="s">
        <v>28</v>
      </c>
      <c r="G9950" s="6"/>
      <c r="H9950" s="6"/>
      <c r="I9950" s="10" t="s">
        <v>29</v>
      </c>
      <c r="J9950" s="6"/>
    </row>
    <row r="9951">
      <c r="A9951" s="11" t="s">
        <v>30</v>
      </c>
      <c r="B9951" s="12">
        <v>881.125</v>
      </c>
      <c r="C9951" s="12">
        <v>0</v>
      </c>
      <c r="D9951" s="13">
        <v>0</v>
      </c>
      <c r="E9951" s="12">
        <v>0</v>
      </c>
      <c r="F9951" s="14">
        <v>0</v>
      </c>
      <c r="G9951" s="13">
        <v>497996.7086</v>
      </c>
      <c r="H9951" s="14">
        <v>438797349.865175</v>
      </c>
      <c r="I9951" s="14" t="e">
        <f>=Round(13317.10660000,0)</f>
        <v>#VALUE!</v>
      </c>
      <c r="J9951" s="14" t="e">
        <f>=Round(0.00000000,0)</f>
        <v>#VALUE!</v>
      </c>
    </row>
    <row r="9952">
      <c r="A9952" s="11" t="s">
        <v>31</v>
      </c>
      <c r="B9952" s="12">
        <v>886.6761</v>
      </c>
      <c r="C9952" s="12">
        <v>0</v>
      </c>
      <c r="D9952" s="13">
        <v>0</v>
      </c>
      <c r="E9952" s="12">
        <v>0</v>
      </c>
      <c r="F9952" s="14">
        <v>0</v>
      </c>
      <c r="G9952" s="13">
        <v>497996.7086</v>
      </c>
      <c r="H9952" s="14">
        <v>441561779.394284</v>
      </c>
      <c r="I9952" s="14" t="e">
        <f>=Round(13187.89850000,0)</f>
        <v>#VALUE!</v>
      </c>
      <c r="J9952" s="14" t="e">
        <f>=Round(0.00000000,0)</f>
        <v>#VALUE!</v>
      </c>
    </row>
    <row r="9953">
      <c r="A9953" s="11" t="s">
        <v>32</v>
      </c>
      <c r="B9953" s="12">
        <v>891.97</v>
      </c>
      <c r="C9953" s="12">
        <v>0</v>
      </c>
      <c r="D9953" s="13">
        <v>0</v>
      </c>
      <c r="E9953" s="12">
        <v>0</v>
      </c>
      <c r="F9953" s="14">
        <v>0</v>
      </c>
      <c r="G9953" s="13">
        <v>497996.7086</v>
      </c>
      <c r="H9953" s="14">
        <v>444198124.169942</v>
      </c>
      <c r="I9953" s="14" t="e">
        <f>=Round(13270.98240000,0)</f>
        <v>#VALUE!</v>
      </c>
      <c r="J9953" s="14" t="e">
        <f>=Round(0.00000000,0)</f>
        <v>#VALUE!</v>
      </c>
    </row>
    <row r="9954">
      <c r="A9954" s="11" t="s">
        <v>33</v>
      </c>
      <c r="B9954" s="12">
        <v>890.3961</v>
      </c>
      <c r="C9954" s="12">
        <v>0</v>
      </c>
      <c r="D9954" s="13">
        <v>0</v>
      </c>
      <c r="E9954" s="12">
        <v>0</v>
      </c>
      <c r="F9954" s="14">
        <v>0</v>
      </c>
      <c r="G9954" s="13">
        <v>497996.7086</v>
      </c>
      <c r="H9954" s="14">
        <v>443414327.150276</v>
      </c>
      <c r="I9954" s="14" t="e">
        <f>=Round(13350.21680000,0)</f>
        <v>#VALUE!</v>
      </c>
      <c r="J9954" s="14" t="e">
        <f>=Round(0.00000000,0)</f>
        <v>#VALUE!</v>
      </c>
    </row>
    <row r="9955">
      <c r="A9955" s="11" t="s">
        <v>34</v>
      </c>
      <c r="B9955" s="12">
        <v>890.7405</v>
      </c>
      <c r="C9955" s="12">
        <v>0</v>
      </c>
      <c r="D9955" s="13">
        <v>0</v>
      </c>
      <c r="E9955" s="12">
        <v>0</v>
      </c>
      <c r="F9955" s="14">
        <v>0</v>
      </c>
      <c r="G9955" s="13">
        <v>497996.7086</v>
      </c>
      <c r="H9955" s="14">
        <v>443585837.216718</v>
      </c>
      <c r="I9955" s="14" t="e">
        <f>=Round(13326.66010000,0)</f>
        <v>#VALUE!</v>
      </c>
      <c r="J9955" s="14" t="e">
        <f>=Round(0.00000000,0)</f>
        <v>#VALUE!</v>
      </c>
    </row>
    <row r="9956">
      <c r="A9956" s="11" t="s">
        <v>35</v>
      </c>
      <c r="B9956" s="12">
        <v>890.7405</v>
      </c>
      <c r="C9956" s="12">
        <v>0</v>
      </c>
      <c r="D9956" s="13">
        <v>0</v>
      </c>
      <c r="E9956" s="12">
        <v>0</v>
      </c>
      <c r="F9956" s="14">
        <v>0</v>
      </c>
      <c r="G9956" s="13">
        <v>497996.7086</v>
      </c>
      <c r="H9956" s="14">
        <v>443585837.216718</v>
      </c>
      <c r="I9956" s="14" t="e">
        <f>=Round(13331.81480000,0)</f>
        <v>#VALUE!</v>
      </c>
      <c r="J9956" s="14" t="e">
        <f>=Round(0.00000000,0)</f>
        <v>#VALUE!</v>
      </c>
    </row>
    <row r="9957">
      <c r="A9957" s="11" t="s">
        <v>36</v>
      </c>
      <c r="B9957" s="12">
        <v>890.7405</v>
      </c>
      <c r="C9957" s="12">
        <v>0</v>
      </c>
      <c r="D9957" s="13">
        <v>0</v>
      </c>
      <c r="E9957" s="12">
        <v>0</v>
      </c>
      <c r="F9957" s="14">
        <v>0</v>
      </c>
      <c r="G9957" s="13">
        <v>497996.7086</v>
      </c>
      <c r="H9957" s="14">
        <v>443585837.216718</v>
      </c>
      <c r="I9957" s="14" t="e">
        <f>=Round(13331.81480000,0)</f>
        <v>#VALUE!</v>
      </c>
      <c r="J9957" s="14" t="e">
        <f>=Round(0.00000000,0)</f>
        <v>#VALUE!</v>
      </c>
    </row>
    <row r="9958">
      <c r="A9958" s="11" t="s">
        <v>37</v>
      </c>
      <c r="B9958" s="12">
        <v>883.3838</v>
      </c>
      <c r="C9958" s="12">
        <v>0</v>
      </c>
      <c r="D9958" s="13">
        <v>0</v>
      </c>
      <c r="E9958" s="12">
        <v>0</v>
      </c>
      <c r="F9958" s="14">
        <v>0</v>
      </c>
      <c r="G9958" s="13">
        <v>497996.7086</v>
      </c>
      <c r="H9958" s="14">
        <v>439922224.830561</v>
      </c>
      <c r="I9958" s="14" t="e">
        <f>=Round(13331.81480000,0)</f>
        <v>#VALUE!</v>
      </c>
      <c r="J9958" s="14" t="e">
        <f>=Round(0.00000000,0)</f>
        <v>#VALUE!</v>
      </c>
    </row>
    <row r="9959">
      <c r="A9959" s="11" t="s">
        <v>38</v>
      </c>
      <c r="B9959" s="12">
        <v>881.5037</v>
      </c>
      <c r="C9959" s="12">
        <v>0</v>
      </c>
      <c r="D9959" s="13">
        <v>0</v>
      </c>
      <c r="E9959" s="12">
        <v>0</v>
      </c>
      <c r="F9959" s="14">
        <v>0</v>
      </c>
      <c r="G9959" s="13">
        <v>497996.7086</v>
      </c>
      <c r="H9959" s="14">
        <v>438985941.218722</v>
      </c>
      <c r="I9959" s="14" t="e">
        <f>=Round(13221.70620000,0)</f>
        <v>#VALUE!</v>
      </c>
      <c r="J9959" s="14" t="e">
        <f>=Round(0.00000000,0)</f>
        <v>#VALUE!</v>
      </c>
    </row>
    <row r="9960">
      <c r="A9960" s="11" t="s">
        <v>39</v>
      </c>
      <c r="B9960" s="12">
        <v>875.392</v>
      </c>
      <c r="C9960" s="12">
        <v>0</v>
      </c>
      <c r="D9960" s="13">
        <v>0</v>
      </c>
      <c r="E9960" s="12">
        <v>0</v>
      </c>
      <c r="F9960" s="14">
        <v>0</v>
      </c>
      <c r="G9960" s="13">
        <v>497996.7086</v>
      </c>
      <c r="H9960" s="14">
        <v>435942334.734771</v>
      </c>
      <c r="I9960" s="14" t="e">
        <f>=Round(13193.56650000,0)</f>
        <v>#VALUE!</v>
      </c>
      <c r="J9960" s="14" t="e">
        <f>=Round(0.00000000,0)</f>
        <v>#VALUE!</v>
      </c>
    </row>
    <row r="9961">
      <c r="A9961" s="11" t="s">
        <v>40</v>
      </c>
      <c r="B9961" s="12">
        <v>870.0291</v>
      </c>
      <c r="C9961" s="12">
        <v>0</v>
      </c>
      <c r="D9961" s="13">
        <v>0</v>
      </c>
      <c r="E9961" s="12">
        <v>0</v>
      </c>
      <c r="F9961" s="14">
        <v>0</v>
      </c>
      <c r="G9961" s="13">
        <v>497996.7086</v>
      </c>
      <c r="H9961" s="14">
        <v>433271628.18622</v>
      </c>
      <c r="I9961" s="14" t="e">
        <f>=Round(13102.09200000,0)</f>
        <v>#VALUE!</v>
      </c>
      <c r="J9961" s="14" t="e">
        <f>=Round(0.00000000,0)</f>
        <v>#VALUE!</v>
      </c>
    </row>
    <row r="9962">
      <c r="A9962" s="11" t="s">
        <v>41</v>
      </c>
      <c r="B9962" s="12">
        <v>867.6424</v>
      </c>
      <c r="C9962" s="12">
        <v>0</v>
      </c>
      <c r="D9962" s="13">
        <v>0</v>
      </c>
      <c r="E9962" s="12">
        <v>0</v>
      </c>
      <c r="F9962" s="14">
        <v>0</v>
      </c>
      <c r="G9962" s="13">
        <v>497996.7086</v>
      </c>
      <c r="H9962" s="14">
        <v>432083059.441805</v>
      </c>
      <c r="I9962" s="14" t="e">
        <f>=Round(13021.82490000,0)</f>
        <v>#VALUE!</v>
      </c>
      <c r="J9962" s="14" t="e">
        <f>=Round(0.00000000,0)</f>
        <v>#VALUE!</v>
      </c>
    </row>
    <row r="9963">
      <c r="A9963" s="11" t="s">
        <v>42</v>
      </c>
      <c r="B9963" s="12">
        <v>867.6424</v>
      </c>
      <c r="C9963" s="12">
        <v>0</v>
      </c>
      <c r="D9963" s="13">
        <v>0</v>
      </c>
      <c r="E9963" s="12">
        <v>0</v>
      </c>
      <c r="F9963" s="14">
        <v>0</v>
      </c>
      <c r="G9963" s="13">
        <v>497996.7086</v>
      </c>
      <c r="H9963" s="14">
        <v>432083059.441805</v>
      </c>
      <c r="I9963" s="14" t="e">
        <f>=Round(12986.10290000,0)</f>
        <v>#VALUE!</v>
      </c>
      <c r="J9963" s="14" t="e">
        <f>=Round(0.00000000,0)</f>
        <v>#VALUE!</v>
      </c>
    </row>
    <row r="9964">
      <c r="A9964" s="11" t="s">
        <v>43</v>
      </c>
      <c r="B9964" s="12">
        <v>867.6424</v>
      </c>
      <c r="C9964" s="12">
        <v>0</v>
      </c>
      <c r="D9964" s="13">
        <v>0</v>
      </c>
      <c r="E9964" s="12">
        <v>0</v>
      </c>
      <c r="F9964" s="14">
        <v>0</v>
      </c>
      <c r="G9964" s="13">
        <v>497996.7086</v>
      </c>
      <c r="H9964" s="14">
        <v>432083059.441805</v>
      </c>
      <c r="I9964" s="14" t="e">
        <f>=Round(12986.10290000,0)</f>
        <v>#VALUE!</v>
      </c>
      <c r="J9964" s="14" t="e">
        <f>=Round(0.00000000,0)</f>
        <v>#VALUE!</v>
      </c>
    </row>
    <row r="9965">
      <c r="A9965" s="11" t="s">
        <v>44</v>
      </c>
      <c r="B9965" s="12">
        <v>866.052</v>
      </c>
      <c r="C9965" s="12">
        <v>0</v>
      </c>
      <c r="D9965" s="13">
        <v>0</v>
      </c>
      <c r="E9965" s="12">
        <v>0</v>
      </c>
      <c r="F9965" s="14">
        <v>0</v>
      </c>
      <c r="G9965" s="13">
        <v>497996.7086</v>
      </c>
      <c r="H9965" s="14">
        <v>431291045.476447</v>
      </c>
      <c r="I9965" s="14" t="e">
        <f>=Round(12986.10290000,0)</f>
        <v>#VALUE!</v>
      </c>
      <c r="J9965" s="14" t="e">
        <f>=Round(0.00000000,0)</f>
        <v>#VALUE!</v>
      </c>
    </row>
    <row r="9966">
      <c r="A9966" s="11" t="s">
        <v>45</v>
      </c>
      <c r="B9966" s="12">
        <v>866.5847</v>
      </c>
      <c r="C9966" s="12">
        <v>0</v>
      </c>
      <c r="D9966" s="13">
        <v>0</v>
      </c>
      <c r="E9966" s="12">
        <v>0</v>
      </c>
      <c r="F9966" s="14">
        <v>0</v>
      </c>
      <c r="G9966" s="13">
        <v>497996.7086</v>
      </c>
      <c r="H9966" s="14">
        <v>431556328.323118</v>
      </c>
      <c r="I9966" s="14" t="e">
        <f>=Round(12962.29920000,0)</f>
        <v>#VALUE!</v>
      </c>
      <c r="J9966" s="14" t="e">
        <f>=Round(0.00000000,0)</f>
        <v>#VALUE!</v>
      </c>
    </row>
    <row r="9967">
      <c r="A9967" s="11" t="s">
        <v>46</v>
      </c>
      <c r="B9967" s="12">
        <v>871.7338</v>
      </c>
      <c r="C9967" s="12">
        <v>0</v>
      </c>
      <c r="D9967" s="13">
        <v>0</v>
      </c>
      <c r="E9967" s="12">
        <v>0</v>
      </c>
      <c r="F9967" s="14">
        <v>0</v>
      </c>
      <c r="G9967" s="13">
        <v>497996.7086</v>
      </c>
      <c r="H9967" s="14">
        <v>434120563.175371</v>
      </c>
      <c r="I9967" s="14" t="e">
        <f>=Round(12970.27220000,0)</f>
        <v>#VALUE!</v>
      </c>
      <c r="J9967" s="14" t="e">
        <f>=Round(0.00000000,0)</f>
        <v>#VALUE!</v>
      </c>
    </row>
    <row r="9968">
      <c r="A9968" s="11" t="s">
        <v>47</v>
      </c>
      <c r="B9968" s="12">
        <v>874.0726</v>
      </c>
      <c r="C9968" s="12">
        <v>0</v>
      </c>
      <c r="D9968" s="13">
        <v>0</v>
      </c>
      <c r="E9968" s="12">
        <v>0</v>
      </c>
      <c r="F9968" s="14">
        <v>0</v>
      </c>
      <c r="G9968" s="13">
        <v>497996.7086</v>
      </c>
      <c r="H9968" s="14">
        <v>435285277.877444</v>
      </c>
      <c r="I9968" s="14" t="e">
        <f>=Round(13047.33930000,0)</f>
        <v>#VALUE!</v>
      </c>
      <c r="J9968" s="14" t="e">
        <f>=Round(0.00000000,0)</f>
        <v>#VALUE!</v>
      </c>
    </row>
    <row r="9969">
      <c r="A9969" s="11" t="s">
        <v>48</v>
      </c>
      <c r="B9969" s="12">
        <v>867.0428</v>
      </c>
      <c r="C9969" s="12">
        <v>0</v>
      </c>
      <c r="D9969" s="13">
        <v>0</v>
      </c>
      <c r="E9969" s="12">
        <v>0</v>
      </c>
      <c r="F9969" s="14">
        <v>0</v>
      </c>
      <c r="G9969" s="13">
        <v>497996.7086</v>
      </c>
      <c r="H9969" s="14">
        <v>431784460.615328</v>
      </c>
      <c r="I9969" s="14" t="e">
        <f>=Round(13082.34440000,0)</f>
        <v>#VALUE!</v>
      </c>
      <c r="J9969" s="14" t="e">
        <f>=Round(0.00000000,0)</f>
        <v>#VALUE!</v>
      </c>
    </row>
    <row r="9970">
      <c r="A9970" s="11" t="s">
        <v>49</v>
      </c>
      <c r="B9970" s="12">
        <v>867.0428</v>
      </c>
      <c r="C9970" s="12">
        <v>0</v>
      </c>
      <c r="D9970" s="13">
        <v>0</v>
      </c>
      <c r="E9970" s="12">
        <v>0</v>
      </c>
      <c r="F9970" s="14">
        <v>0</v>
      </c>
      <c r="G9970" s="13">
        <v>497996.7086</v>
      </c>
      <c r="H9970" s="14">
        <v>431784460.615328</v>
      </c>
      <c r="I9970" s="14" t="e">
        <f>=Round(12977.12860000,0)</f>
        <v>#VALUE!</v>
      </c>
      <c r="J9970" s="14" t="e">
        <f>=Round(0.00000000,0)</f>
        <v>#VALUE!</v>
      </c>
    </row>
    <row r="9971">
      <c r="A9971" s="11" t="s">
        <v>50</v>
      </c>
      <c r="B9971" s="12">
        <v>867.0428</v>
      </c>
      <c r="C9971" s="12">
        <v>0</v>
      </c>
      <c r="D9971" s="13">
        <v>0</v>
      </c>
      <c r="E9971" s="12">
        <v>0</v>
      </c>
      <c r="F9971" s="14">
        <v>0</v>
      </c>
      <c r="G9971" s="13">
        <v>497996.7086</v>
      </c>
      <c r="H9971" s="14">
        <v>431784460.615328</v>
      </c>
      <c r="I9971" s="14" t="e">
        <f>=Round(12977.12860000,0)</f>
        <v>#VALUE!</v>
      </c>
      <c r="J9971" s="14" t="e">
        <f>=Round(0.00000000,0)</f>
        <v>#VALUE!</v>
      </c>
    </row>
    <row r="9972">
      <c r="A9972" s="11" t="s">
        <v>51</v>
      </c>
      <c r="B9972" s="12">
        <v>856.1286</v>
      </c>
      <c r="C9972" s="12">
        <v>0</v>
      </c>
      <c r="D9972" s="13">
        <v>0</v>
      </c>
      <c r="E9972" s="12">
        <v>0</v>
      </c>
      <c r="F9972" s="14">
        <v>0</v>
      </c>
      <c r="G9972" s="13">
        <v>497996.7086</v>
      </c>
      <c r="H9972" s="14">
        <v>426349224.938326</v>
      </c>
      <c r="I9972" s="14" t="e">
        <f>=Round(12977.12860000,0)</f>
        <v>#VALUE!</v>
      </c>
      <c r="J9972" s="14" t="e">
        <f>=Round(0.00000000,0)</f>
        <v>#VALUE!</v>
      </c>
    </row>
    <row r="9973">
      <c r="A9973" s="11" t="s">
        <v>52</v>
      </c>
      <c r="B9973" s="12">
        <v>855.6337</v>
      </c>
      <c r="C9973" s="12">
        <v>0</v>
      </c>
      <c r="D9973" s="13">
        <v>0</v>
      </c>
      <c r="E9973" s="12">
        <v>0</v>
      </c>
      <c r="F9973" s="14">
        <v>0</v>
      </c>
      <c r="G9973" s="13">
        <v>497996.7086</v>
      </c>
      <c r="H9973" s="14">
        <v>426102766.36724</v>
      </c>
      <c r="I9973" s="14" t="e">
        <f>=Round(12813.77450000,0)</f>
        <v>#VALUE!</v>
      </c>
      <c r="J9973" s="14" t="e">
        <f>=Round(0.00000000,0)</f>
        <v>#VALUE!</v>
      </c>
    </row>
    <row r="9974">
      <c r="A9974" s="11" t="s">
        <v>53</v>
      </c>
      <c r="B9974" s="12">
        <v>842.6556</v>
      </c>
      <c r="C9974" s="12">
        <v>0</v>
      </c>
      <c r="D9974" s="13">
        <v>0</v>
      </c>
      <c r="E9974" s="12">
        <v>0</v>
      </c>
      <c r="F9974" s="14">
        <v>0</v>
      </c>
      <c r="G9974" s="13">
        <v>497996.7086</v>
      </c>
      <c r="H9974" s="14">
        <v>419639715.283358</v>
      </c>
      <c r="I9974" s="14" t="e">
        <f>=Round(12806.36730000,0)</f>
        <v>#VALUE!</v>
      </c>
      <c r="J9974" s="14" t="e">
        <f>=Round(0.00000000,0)</f>
        <v>#VALUE!</v>
      </c>
    </row>
    <row r="9975">
      <c r="A9975" s="11" t="s">
        <v>54</v>
      </c>
      <c r="B9975" s="12">
        <v>825.5963</v>
      </c>
      <c r="C9975" s="12">
        <v>0</v>
      </c>
      <c r="D9975" s="13">
        <v>0</v>
      </c>
      <c r="E9975" s="12">
        <v>0</v>
      </c>
      <c r="F9975" s="14">
        <v>0</v>
      </c>
      <c r="G9975" s="13">
        <v>497996.7086</v>
      </c>
      <c r="H9975" s="14">
        <v>411144240.032338</v>
      </c>
      <c r="I9975" s="14" t="e">
        <f>=Round(12612.12260000,0)</f>
        <v>#VALUE!</v>
      </c>
      <c r="J9975" s="14" t="e">
        <f>=Round(0.00000000,0)</f>
        <v>#VALUE!</v>
      </c>
    </row>
    <row r="9976">
      <c r="A9976" s="11" t="s">
        <v>55</v>
      </c>
      <c r="B9976" s="12">
        <v>819.7367</v>
      </c>
      <c r="C9976" s="12">
        <v>0</v>
      </c>
      <c r="D9976" s="13">
        <v>0</v>
      </c>
      <c r="E9976" s="12">
        <v>0</v>
      </c>
      <c r="F9976" s="14">
        <v>0</v>
      </c>
      <c r="G9976" s="13">
        <v>497996.7086</v>
      </c>
      <c r="H9976" s="14">
        <v>408226178.518626</v>
      </c>
      <c r="I9976" s="14" t="e">
        <f>=Round(12356.79410000,0)</f>
        <v>#VALUE!</v>
      </c>
      <c r="J9976" s="14" t="e">
        <f>=Round(0.00000000,0)</f>
        <v>#VALUE!</v>
      </c>
    </row>
    <row r="9977" ht="-1">
      <c r="A9977" s="15"/>
      <c r="B9977" s="16" t="s">
        <v>56</v>
      </c>
      <c r="C9977" s="15"/>
      <c r="D9977" s="15"/>
      <c r="E9977" s="15"/>
      <c r="F9977" s="15"/>
      <c r="G9977" s="15"/>
      <c r="H9977" s="15"/>
      <c r="I9977" s="17" t="e">
        <f>=Round(SUM(I9951:I9976),0)</f>
        <v>#VALUE!</v>
      </c>
      <c r="J9977" s="17" t="e">
        <f>=Round(SUM(J9951:J9976),0)</f>
        <v>#VALUE!</v>
      </c>
    </row>
    <row r="9978">
      <c r="A9978" s="1" t="s">
        <v>0</v>
      </c>
      <c r="B9978" s="1"/>
      <c r="C9978" s="1"/>
      <c r="D9978" s="1"/>
    </row>
    <row r="9979">
      <c r="A9979" s="0" t="s">
        <v>1</v>
      </c>
      <c r="C9979" s="0" t="s">
        <v>346</v>
      </c>
      <c r="H9979" s="2" t="s">
        <v>3</v>
      </c>
    </row>
    <row r="9980">
      <c r="A9980" s="0" t="s">
        <v>4</v>
      </c>
      <c r="C9980" s="0" t="s">
        <v>351</v>
      </c>
      <c r="H9980" s="3" t="s">
        <v>6</v>
      </c>
    </row>
    <row r="9981">
      <c r="A9981" s="0" t="s">
        <v>7</v>
      </c>
      <c r="C9981" s="4" t="s">
        <v>188</v>
      </c>
      <c r="H9981" s="2" t="s">
        <v>9</v>
      </c>
    </row>
    <row r="9982">
      <c r="A9982" s="0" t="s">
        <v>10</v>
      </c>
      <c r="C9982" s="4" t="s">
        <v>11</v>
      </c>
      <c r="H9982" s="2" t="s">
        <v>12</v>
      </c>
    </row>
    <row r="9983">
      <c r="A9983" s="0" t="s">
        <v>13</v>
      </c>
      <c r="C9983" s="0" t="s">
        <v>14</v>
      </c>
    </row>
    <row r="9984">
      <c r="A9984" s="0" t="s">
        <v>15</v>
      </c>
      <c r="C9984" s="0" t="s">
        <v>16</v>
      </c>
    </row>
    <row r="9985">
      <c r="A9985" s="0" t="s">
        <v>17</v>
      </c>
      <c r="C9985" s="0" t="s">
        <v>18</v>
      </c>
    </row>
    <row r="9988">
      <c r="A9988" s="5" t="s">
        <v>19</v>
      </c>
      <c r="B9988" s="5" t="s">
        <v>20</v>
      </c>
      <c r="C9988" s="7" t="s">
        <v>21</v>
      </c>
      <c r="D9988" s="9"/>
      <c r="E9988" s="7" t="s">
        <v>22</v>
      </c>
      <c r="F9988" s="9"/>
      <c r="G9988" s="5" t="s">
        <v>23</v>
      </c>
      <c r="H9988" s="5" t="s">
        <v>24</v>
      </c>
      <c r="I9988" s="5" t="s">
        <v>189</v>
      </c>
      <c r="J9988" s="5" t="s">
        <v>26</v>
      </c>
    </row>
    <row r="9989">
      <c r="A9989" s="6"/>
      <c r="B9989" s="6"/>
      <c r="C9989" s="8" t="s">
        <v>27</v>
      </c>
      <c r="D9989" s="8" t="s">
        <v>28</v>
      </c>
      <c r="E9989" s="8" t="s">
        <v>27</v>
      </c>
      <c r="F9989" s="8" t="s">
        <v>28</v>
      </c>
      <c r="G9989" s="6"/>
      <c r="H9989" s="6"/>
      <c r="I9989" s="10" t="s">
        <v>29</v>
      </c>
      <c r="J9989" s="6"/>
    </row>
    <row r="9990">
      <c r="A9990" s="11" t="s">
        <v>30</v>
      </c>
      <c r="B9990" s="12">
        <v>881.125</v>
      </c>
      <c r="C9990" s="12">
        <v>0</v>
      </c>
      <c r="D9990" s="13">
        <v>0</v>
      </c>
      <c r="E9990" s="12">
        <v>0</v>
      </c>
      <c r="F9990" s="14">
        <v>0</v>
      </c>
      <c r="G9990" s="13">
        <v>250498.8434</v>
      </c>
      <c r="H9990" s="14">
        <v>220720793.390825</v>
      </c>
      <c r="I9990" s="14" t="e">
        <f>=Round(6698.67840000,0)</f>
        <v>#VALUE!</v>
      </c>
      <c r="J9990" s="14" t="e">
        <f>=Round(0.00000000,0)</f>
        <v>#VALUE!</v>
      </c>
    </row>
    <row r="9991">
      <c r="A9991" s="11" t="s">
        <v>31</v>
      </c>
      <c r="B9991" s="12">
        <v>886.6761</v>
      </c>
      <c r="C9991" s="12">
        <v>0</v>
      </c>
      <c r="D9991" s="13">
        <v>0</v>
      </c>
      <c r="E9991" s="12">
        <v>0</v>
      </c>
      <c r="F9991" s="14">
        <v>0</v>
      </c>
      <c r="G9991" s="13">
        <v>250498.8434</v>
      </c>
      <c r="H9991" s="14">
        <v>222111337.520423</v>
      </c>
      <c r="I9991" s="14" t="e">
        <f>=Round(6633.68500000,0)</f>
        <v>#VALUE!</v>
      </c>
      <c r="J9991" s="14" t="e">
        <f>=Round(0.00000000,0)</f>
        <v>#VALUE!</v>
      </c>
    </row>
    <row r="9992">
      <c r="A9992" s="11" t="s">
        <v>32</v>
      </c>
      <c r="B9992" s="12">
        <v>891.97</v>
      </c>
      <c r="C9992" s="12">
        <v>0</v>
      </c>
      <c r="D9992" s="13">
        <v>0</v>
      </c>
      <c r="E9992" s="12">
        <v>0</v>
      </c>
      <c r="F9992" s="14">
        <v>0</v>
      </c>
      <c r="G9992" s="13">
        <v>250498.8434</v>
      </c>
      <c r="H9992" s="14">
        <v>223437453.347498</v>
      </c>
      <c r="I9992" s="14" t="e">
        <f>=Round(6675.47740000,0)</f>
        <v>#VALUE!</v>
      </c>
      <c r="J9992" s="14" t="e">
        <f>=Round(0.00000000,0)</f>
        <v>#VALUE!</v>
      </c>
    </row>
    <row r="9993">
      <c r="A9993" s="11" t="s">
        <v>33</v>
      </c>
      <c r="B9993" s="12">
        <v>890.3961</v>
      </c>
      <c r="C9993" s="12">
        <v>0</v>
      </c>
      <c r="D9993" s="13">
        <v>0</v>
      </c>
      <c r="E9993" s="12">
        <v>0</v>
      </c>
      <c r="F9993" s="14">
        <v>0</v>
      </c>
      <c r="G9993" s="13">
        <v>250498.8434</v>
      </c>
      <c r="H9993" s="14">
        <v>223043193.217871</v>
      </c>
      <c r="I9993" s="14" t="e">
        <f>=Round(6715.33330000,0)</f>
        <v>#VALUE!</v>
      </c>
      <c r="J9993" s="14" t="e">
        <f>=Round(0.00000000,0)</f>
        <v>#VALUE!</v>
      </c>
    </row>
    <row r="9994">
      <c r="A9994" s="11" t="s">
        <v>34</v>
      </c>
      <c r="B9994" s="12">
        <v>890.7405</v>
      </c>
      <c r="C9994" s="12">
        <v>0</v>
      </c>
      <c r="D9994" s="13">
        <v>0</v>
      </c>
      <c r="E9994" s="12">
        <v>0</v>
      </c>
      <c r="F9994" s="14">
        <v>0</v>
      </c>
      <c r="G9994" s="13">
        <v>250498.8434</v>
      </c>
      <c r="H9994" s="14">
        <v>223129465.019538</v>
      </c>
      <c r="I9994" s="14" t="e">
        <f>=Round(6703.48390000,0)</f>
        <v>#VALUE!</v>
      </c>
      <c r="J9994" s="14" t="e">
        <f>=Round(0.00000000,0)</f>
        <v>#VALUE!</v>
      </c>
    </row>
    <row r="9995">
      <c r="A9995" s="11" t="s">
        <v>35</v>
      </c>
      <c r="B9995" s="12">
        <v>890.7405</v>
      </c>
      <c r="C9995" s="12">
        <v>0</v>
      </c>
      <c r="D9995" s="13">
        <v>0</v>
      </c>
      <c r="E9995" s="12">
        <v>0</v>
      </c>
      <c r="F9995" s="14">
        <v>0</v>
      </c>
      <c r="G9995" s="13">
        <v>250498.8434</v>
      </c>
      <c r="H9995" s="14">
        <v>223129465.019538</v>
      </c>
      <c r="I9995" s="14" t="e">
        <f>=Round(6706.07680000,0)</f>
        <v>#VALUE!</v>
      </c>
      <c r="J9995" s="14" t="e">
        <f>=Round(0.00000000,0)</f>
        <v>#VALUE!</v>
      </c>
    </row>
    <row r="9996">
      <c r="A9996" s="11" t="s">
        <v>36</v>
      </c>
      <c r="B9996" s="12">
        <v>890.7405</v>
      </c>
      <c r="C9996" s="12">
        <v>0</v>
      </c>
      <c r="D9996" s="13">
        <v>0</v>
      </c>
      <c r="E9996" s="12">
        <v>0</v>
      </c>
      <c r="F9996" s="14">
        <v>0</v>
      </c>
      <c r="G9996" s="13">
        <v>250498.8434</v>
      </c>
      <c r="H9996" s="14">
        <v>223129465.019538</v>
      </c>
      <c r="I9996" s="14" t="e">
        <f>=Round(6706.07680000,0)</f>
        <v>#VALUE!</v>
      </c>
      <c r="J9996" s="14" t="e">
        <f>=Round(0.00000000,0)</f>
        <v>#VALUE!</v>
      </c>
    </row>
    <row r="9997">
      <c r="A9997" s="11" t="s">
        <v>37</v>
      </c>
      <c r="B9997" s="12">
        <v>883.3838</v>
      </c>
      <c r="C9997" s="12">
        <v>0</v>
      </c>
      <c r="D9997" s="13">
        <v>0</v>
      </c>
      <c r="E9997" s="12">
        <v>0</v>
      </c>
      <c r="F9997" s="14">
        <v>0</v>
      </c>
      <c r="G9997" s="13">
        <v>250498.8434</v>
      </c>
      <c r="H9997" s="14">
        <v>221286620.178297</v>
      </c>
      <c r="I9997" s="14" t="e">
        <f>=Round(6706.07680000,0)</f>
        <v>#VALUE!</v>
      </c>
      <c r="J9997" s="14" t="e">
        <f>=Round(0.00000000,0)</f>
        <v>#VALUE!</v>
      </c>
    </row>
    <row r="9998">
      <c r="A9998" s="11" t="s">
        <v>38</v>
      </c>
      <c r="B9998" s="12">
        <v>881.5037</v>
      </c>
      <c r="C9998" s="12">
        <v>0</v>
      </c>
      <c r="D9998" s="13">
        <v>0</v>
      </c>
      <c r="E9998" s="12">
        <v>0</v>
      </c>
      <c r="F9998" s="14">
        <v>0</v>
      </c>
      <c r="G9998" s="13">
        <v>250498.8434</v>
      </c>
      <c r="H9998" s="14">
        <v>220815657.302821</v>
      </c>
      <c r="I9998" s="14" t="e">
        <f>=Round(6650.69080000,0)</f>
        <v>#VALUE!</v>
      </c>
      <c r="J9998" s="14" t="e">
        <f>=Round(0.00000000,0)</f>
        <v>#VALUE!</v>
      </c>
    </row>
    <row r="9999">
      <c r="A9999" s="11" t="s">
        <v>39</v>
      </c>
      <c r="B9999" s="12">
        <v>875.392</v>
      </c>
      <c r="C9999" s="12">
        <v>0</v>
      </c>
      <c r="D9999" s="13">
        <v>0</v>
      </c>
      <c r="E9999" s="12">
        <v>0</v>
      </c>
      <c r="F9999" s="14">
        <v>0</v>
      </c>
      <c r="G9999" s="13">
        <v>250498.8434</v>
      </c>
      <c r="H9999" s="14">
        <v>219284683.521613</v>
      </c>
      <c r="I9999" s="14" t="e">
        <f>=Round(6636.53610000,0)</f>
        <v>#VALUE!</v>
      </c>
      <c r="J9999" s="14" t="e">
        <f>=Round(0.00000000,0)</f>
        <v>#VALUE!</v>
      </c>
    </row>
    <row r="10000">
      <c r="A10000" s="11" t="s">
        <v>40</v>
      </c>
      <c r="B10000" s="12">
        <v>870.0291</v>
      </c>
      <c r="C10000" s="12">
        <v>0</v>
      </c>
      <c r="D10000" s="13">
        <v>0</v>
      </c>
      <c r="E10000" s="12">
        <v>0</v>
      </c>
      <c r="F10000" s="14">
        <v>0</v>
      </c>
      <c r="G10000" s="13">
        <v>250498.8434</v>
      </c>
      <c r="H10000" s="14">
        <v>217941283.274343</v>
      </c>
      <c r="I10000" s="14" t="e">
        <f>=Round(6590.52330000,0)</f>
        <v>#VALUE!</v>
      </c>
      <c r="J10000" s="14" t="e">
        <f>=Round(0.00000000,0)</f>
        <v>#VALUE!</v>
      </c>
    </row>
    <row r="10001">
      <c r="A10001" s="11" t="s">
        <v>41</v>
      </c>
      <c r="B10001" s="12">
        <v>867.6424</v>
      </c>
      <c r="C10001" s="12">
        <v>0</v>
      </c>
      <c r="D10001" s="13">
        <v>0</v>
      </c>
      <c r="E10001" s="12">
        <v>0</v>
      </c>
      <c r="F10001" s="14">
        <v>0</v>
      </c>
      <c r="G10001" s="13">
        <v>250498.8434</v>
      </c>
      <c r="H10001" s="14">
        <v>217343417.6848</v>
      </c>
      <c r="I10001" s="14" t="e">
        <f>=Round(6550.14790000,0)</f>
        <v>#VALUE!</v>
      </c>
      <c r="J10001" s="14" t="e">
        <f>=Round(0.00000000,0)</f>
        <v>#VALUE!</v>
      </c>
    </row>
    <row r="10002">
      <c r="A10002" s="11" t="s">
        <v>42</v>
      </c>
      <c r="B10002" s="12">
        <v>867.6424</v>
      </c>
      <c r="C10002" s="12">
        <v>0</v>
      </c>
      <c r="D10002" s="13">
        <v>0</v>
      </c>
      <c r="E10002" s="12">
        <v>0</v>
      </c>
      <c r="F10002" s="14">
        <v>0</v>
      </c>
      <c r="G10002" s="13">
        <v>250498.8434</v>
      </c>
      <c r="H10002" s="14">
        <v>217343417.6848</v>
      </c>
      <c r="I10002" s="14" t="e">
        <f>=Round(6532.17920000,0)</f>
        <v>#VALUE!</v>
      </c>
      <c r="J10002" s="14" t="e">
        <f>=Round(0.00000000,0)</f>
        <v>#VALUE!</v>
      </c>
    </row>
    <row r="10003">
      <c r="A10003" s="11" t="s">
        <v>43</v>
      </c>
      <c r="B10003" s="12">
        <v>867.6424</v>
      </c>
      <c r="C10003" s="12">
        <v>0</v>
      </c>
      <c r="D10003" s="13">
        <v>0</v>
      </c>
      <c r="E10003" s="12">
        <v>0</v>
      </c>
      <c r="F10003" s="14">
        <v>0</v>
      </c>
      <c r="G10003" s="13">
        <v>250498.8434</v>
      </c>
      <c r="H10003" s="14">
        <v>217343417.6848</v>
      </c>
      <c r="I10003" s="14" t="e">
        <f>=Round(6532.17920000,0)</f>
        <v>#VALUE!</v>
      </c>
      <c r="J10003" s="14" t="e">
        <f>=Round(0.00000000,0)</f>
        <v>#VALUE!</v>
      </c>
    </row>
    <row r="10004">
      <c r="A10004" s="11" t="s">
        <v>44</v>
      </c>
      <c r="B10004" s="12">
        <v>866.052</v>
      </c>
      <c r="C10004" s="12">
        <v>0</v>
      </c>
      <c r="D10004" s="13">
        <v>0</v>
      </c>
      <c r="E10004" s="12">
        <v>0</v>
      </c>
      <c r="F10004" s="14">
        <v>0</v>
      </c>
      <c r="G10004" s="13">
        <v>250498.8434</v>
      </c>
      <c r="H10004" s="14">
        <v>216945024.324257</v>
      </c>
      <c r="I10004" s="14" t="e">
        <f>=Round(6532.17920000,0)</f>
        <v>#VALUE!</v>
      </c>
      <c r="J10004" s="14" t="e">
        <f>=Round(0.00000000,0)</f>
        <v>#VALUE!</v>
      </c>
    </row>
    <row r="10005">
      <c r="A10005" s="11" t="s">
        <v>45</v>
      </c>
      <c r="B10005" s="12">
        <v>866.5847</v>
      </c>
      <c r="C10005" s="12">
        <v>0</v>
      </c>
      <c r="D10005" s="13">
        <v>0</v>
      </c>
      <c r="E10005" s="12">
        <v>0</v>
      </c>
      <c r="F10005" s="14">
        <v>0</v>
      </c>
      <c r="G10005" s="13">
        <v>250498.8434</v>
      </c>
      <c r="H10005" s="14">
        <v>217078465.058136</v>
      </c>
      <c r="I10005" s="14" t="e">
        <f>=Round(6520.20560000,0)</f>
        <v>#VALUE!</v>
      </c>
      <c r="J10005" s="14" t="e">
        <f>=Round(0.00000000,0)</f>
        <v>#VALUE!</v>
      </c>
    </row>
    <row r="10006">
      <c r="A10006" s="11" t="s">
        <v>46</v>
      </c>
      <c r="B10006" s="12">
        <v>871.7338</v>
      </c>
      <c r="C10006" s="12">
        <v>0</v>
      </c>
      <c r="D10006" s="13">
        <v>0</v>
      </c>
      <c r="E10006" s="12">
        <v>0</v>
      </c>
      <c r="F10006" s="14">
        <v>0</v>
      </c>
      <c r="G10006" s="13">
        <v>250498.8434</v>
      </c>
      <c r="H10006" s="14">
        <v>218368308.652687</v>
      </c>
      <c r="I10006" s="14" t="e">
        <f>=Round(6524.21620000,0)</f>
        <v>#VALUE!</v>
      </c>
      <c r="J10006" s="14" t="e">
        <f>=Round(0.00000000,0)</f>
        <v>#VALUE!</v>
      </c>
    </row>
    <row r="10007">
      <c r="A10007" s="11" t="s">
        <v>47</v>
      </c>
      <c r="B10007" s="12">
        <v>874.0726</v>
      </c>
      <c r="C10007" s="12">
        <v>0</v>
      </c>
      <c r="D10007" s="13">
        <v>0</v>
      </c>
      <c r="E10007" s="12">
        <v>0</v>
      </c>
      <c r="F10007" s="14">
        <v>0</v>
      </c>
      <c r="G10007" s="13">
        <v>250498.8434</v>
      </c>
      <c r="H10007" s="14">
        <v>218954175.347631</v>
      </c>
      <c r="I10007" s="14" t="e">
        <f>=Round(6562.98200000,0)</f>
        <v>#VALUE!</v>
      </c>
      <c r="J10007" s="14" t="e">
        <f>=Round(0.00000000,0)</f>
        <v>#VALUE!</v>
      </c>
    </row>
    <row r="10008">
      <c r="A10008" s="11" t="s">
        <v>48</v>
      </c>
      <c r="B10008" s="12">
        <v>867.0428</v>
      </c>
      <c r="C10008" s="12">
        <v>0</v>
      </c>
      <c r="D10008" s="13">
        <v>0</v>
      </c>
      <c r="E10008" s="12">
        <v>0</v>
      </c>
      <c r="F10008" s="14">
        <v>0</v>
      </c>
      <c r="G10008" s="13">
        <v>250498.8434</v>
      </c>
      <c r="H10008" s="14">
        <v>217193218.578298</v>
      </c>
      <c r="I10008" s="14" t="e">
        <f>=Round(6580.59000000,0)</f>
        <v>#VALUE!</v>
      </c>
      <c r="J10008" s="14" t="e">
        <f>=Round(0.00000000,0)</f>
        <v>#VALUE!</v>
      </c>
    </row>
    <row r="10009">
      <c r="A10009" s="11" t="s">
        <v>49</v>
      </c>
      <c r="B10009" s="12">
        <v>867.0428</v>
      </c>
      <c r="C10009" s="12">
        <v>0</v>
      </c>
      <c r="D10009" s="13">
        <v>0</v>
      </c>
      <c r="E10009" s="12">
        <v>0</v>
      </c>
      <c r="F10009" s="14">
        <v>0</v>
      </c>
      <c r="G10009" s="13">
        <v>250498.8434</v>
      </c>
      <c r="H10009" s="14">
        <v>217193218.578298</v>
      </c>
      <c r="I10009" s="14" t="e">
        <f>=Round(6527.66500000,0)</f>
        <v>#VALUE!</v>
      </c>
      <c r="J10009" s="14" t="e">
        <f>=Round(0.00000000,0)</f>
        <v>#VALUE!</v>
      </c>
    </row>
    <row r="10010">
      <c r="A10010" s="11" t="s">
        <v>50</v>
      </c>
      <c r="B10010" s="12">
        <v>867.0428</v>
      </c>
      <c r="C10010" s="12">
        <v>0</v>
      </c>
      <c r="D10010" s="13">
        <v>0</v>
      </c>
      <c r="E10010" s="12">
        <v>0</v>
      </c>
      <c r="F10010" s="14">
        <v>0</v>
      </c>
      <c r="G10010" s="13">
        <v>250498.8434</v>
      </c>
      <c r="H10010" s="14">
        <v>217193218.578298</v>
      </c>
      <c r="I10010" s="14" t="e">
        <f>=Round(6527.66500000,0)</f>
        <v>#VALUE!</v>
      </c>
      <c r="J10010" s="14" t="e">
        <f>=Round(0.00000000,0)</f>
        <v>#VALUE!</v>
      </c>
    </row>
    <row r="10011">
      <c r="A10011" s="11" t="s">
        <v>51</v>
      </c>
      <c r="B10011" s="12">
        <v>856.1286</v>
      </c>
      <c r="C10011" s="12">
        <v>0</v>
      </c>
      <c r="D10011" s="13">
        <v>0</v>
      </c>
      <c r="E10011" s="12">
        <v>0</v>
      </c>
      <c r="F10011" s="14">
        <v>0</v>
      </c>
      <c r="G10011" s="13">
        <v>250498.8434</v>
      </c>
      <c r="H10011" s="14">
        <v>214459224.101661</v>
      </c>
      <c r="I10011" s="14" t="e">
        <f>=Round(6527.66500000,0)</f>
        <v>#VALUE!</v>
      </c>
      <c r="J10011" s="14" t="e">
        <f>=Round(0.00000000,0)</f>
        <v>#VALUE!</v>
      </c>
    </row>
    <row r="10012">
      <c r="A10012" s="11" t="s">
        <v>52</v>
      </c>
      <c r="B10012" s="12">
        <v>855.6337</v>
      </c>
      <c r="C10012" s="12">
        <v>0</v>
      </c>
      <c r="D10012" s="13">
        <v>0</v>
      </c>
      <c r="E10012" s="12">
        <v>0</v>
      </c>
      <c r="F10012" s="14">
        <v>0</v>
      </c>
      <c r="G10012" s="13">
        <v>250498.8434</v>
      </c>
      <c r="H10012" s="14">
        <v>214335252.224063</v>
      </c>
      <c r="I10012" s="14" t="e">
        <f>=Round(6445.49580000,0)</f>
        <v>#VALUE!</v>
      </c>
      <c r="J10012" s="14" t="e">
        <f>=Round(0.00000000,0)</f>
        <v>#VALUE!</v>
      </c>
    </row>
    <row r="10013">
      <c r="A10013" s="11" t="s">
        <v>53</v>
      </c>
      <c r="B10013" s="12">
        <v>842.6556</v>
      </c>
      <c r="C10013" s="12">
        <v>0</v>
      </c>
      <c r="D10013" s="13">
        <v>0</v>
      </c>
      <c r="E10013" s="12">
        <v>0</v>
      </c>
      <c r="F10013" s="14">
        <v>0</v>
      </c>
      <c r="G10013" s="13">
        <v>250498.8434</v>
      </c>
      <c r="H10013" s="14">
        <v>211084253.184533</v>
      </c>
      <c r="I10013" s="14" t="e">
        <f>=Round(6441.76990000,0)</f>
        <v>#VALUE!</v>
      </c>
      <c r="J10013" s="14" t="e">
        <f>=Round(0.00000000,0)</f>
        <v>#VALUE!</v>
      </c>
    </row>
    <row r="10014">
      <c r="A10014" s="11" t="s">
        <v>54</v>
      </c>
      <c r="B10014" s="12">
        <v>825.5963</v>
      </c>
      <c r="C10014" s="12">
        <v>0</v>
      </c>
      <c r="D10014" s="13">
        <v>0</v>
      </c>
      <c r="E10014" s="12">
        <v>0</v>
      </c>
      <c r="F10014" s="14">
        <v>0</v>
      </c>
      <c r="G10014" s="13">
        <v>250498.8434</v>
      </c>
      <c r="H10014" s="14">
        <v>206810918.265319</v>
      </c>
      <c r="I10014" s="14" t="e">
        <f>=Round(6344.06230000,0)</f>
        <v>#VALUE!</v>
      </c>
      <c r="J10014" s="14" t="e">
        <f>=Round(0.00000000,0)</f>
        <v>#VALUE!</v>
      </c>
    </row>
    <row r="10015">
      <c r="A10015" s="11" t="s">
        <v>55</v>
      </c>
      <c r="B10015" s="12">
        <v>819.7367</v>
      </c>
      <c r="C10015" s="12">
        <v>0</v>
      </c>
      <c r="D10015" s="13">
        <v>0</v>
      </c>
      <c r="E10015" s="12">
        <v>0</v>
      </c>
      <c r="F10015" s="14">
        <v>0</v>
      </c>
      <c r="G10015" s="13">
        <v>250498.8434</v>
      </c>
      <c r="H10015" s="14">
        <v>205343095.242533</v>
      </c>
      <c r="I10015" s="14" t="e">
        <f>=Round(6215.62870000,0)</f>
        <v>#VALUE!</v>
      </c>
      <c r="J10015" s="14" t="e">
        <f>=Round(0.00000000,0)</f>
        <v>#VALUE!</v>
      </c>
    </row>
    <row r="10016" ht="-1">
      <c r="A10016" s="15"/>
      <c r="B10016" s="16" t="s">
        <v>56</v>
      </c>
      <c r="C10016" s="15"/>
      <c r="D10016" s="15"/>
      <c r="E10016" s="15"/>
      <c r="F10016" s="15"/>
      <c r="G10016" s="15"/>
      <c r="H10016" s="15"/>
      <c r="I10016" s="17" t="e">
        <f>=Round(SUM(I9990:I10015),0)</f>
        <v>#VALUE!</v>
      </c>
      <c r="J10016" s="17" t="e">
        <f>=Round(SUM(J9990:J10015),0)</f>
        <v>#VALUE!</v>
      </c>
    </row>
    <row r="10017">
      <c r="A10017" s="1" t="s">
        <v>0</v>
      </c>
      <c r="B10017" s="1"/>
      <c r="C10017" s="1"/>
      <c r="D10017" s="1"/>
    </row>
    <row r="10018">
      <c r="A10018" s="0" t="s">
        <v>1</v>
      </c>
      <c r="C10018" s="0" t="s">
        <v>346</v>
      </c>
      <c r="H10018" s="2" t="s">
        <v>3</v>
      </c>
    </row>
    <row r="10019">
      <c r="A10019" s="0" t="s">
        <v>4</v>
      </c>
      <c r="C10019" s="0" t="s">
        <v>127</v>
      </c>
      <c r="H10019" s="3" t="s">
        <v>6</v>
      </c>
    </row>
    <row r="10020">
      <c r="A10020" s="0" t="s">
        <v>7</v>
      </c>
      <c r="C10020" s="4" t="s">
        <v>188</v>
      </c>
      <c r="H10020" s="2" t="s">
        <v>9</v>
      </c>
    </row>
    <row r="10021">
      <c r="A10021" s="0" t="s">
        <v>10</v>
      </c>
      <c r="C10021" s="4" t="s">
        <v>124</v>
      </c>
      <c r="H10021" s="2" t="s">
        <v>12</v>
      </c>
    </row>
    <row r="10022">
      <c r="A10022" s="0" t="s">
        <v>13</v>
      </c>
      <c r="C10022" s="0" t="s">
        <v>14</v>
      </c>
    </row>
    <row r="10023">
      <c r="A10023" s="0" t="s">
        <v>15</v>
      </c>
      <c r="C10023" s="0" t="s">
        <v>16</v>
      </c>
    </row>
    <row r="10024">
      <c r="A10024" s="0" t="s">
        <v>17</v>
      </c>
      <c r="C10024" s="0" t="s">
        <v>18</v>
      </c>
    </row>
    <row r="10027">
      <c r="A10027" s="5" t="s">
        <v>19</v>
      </c>
      <c r="B10027" s="5" t="s">
        <v>20</v>
      </c>
      <c r="C10027" s="7" t="s">
        <v>21</v>
      </c>
      <c r="D10027" s="9"/>
      <c r="E10027" s="7" t="s">
        <v>22</v>
      </c>
      <c r="F10027" s="9"/>
      <c r="G10027" s="5" t="s">
        <v>23</v>
      </c>
      <c r="H10027" s="5" t="s">
        <v>24</v>
      </c>
      <c r="I10027" s="5" t="s">
        <v>189</v>
      </c>
      <c r="J10027" s="5" t="s">
        <v>125</v>
      </c>
    </row>
    <row r="10028">
      <c r="A10028" s="6"/>
      <c r="B10028" s="6"/>
      <c r="C10028" s="8" t="s">
        <v>27</v>
      </c>
      <c r="D10028" s="8" t="s">
        <v>28</v>
      </c>
      <c r="E10028" s="8" t="s">
        <v>27</v>
      </c>
      <c r="F10028" s="8" t="s">
        <v>28</v>
      </c>
      <c r="G10028" s="6"/>
      <c r="H10028" s="6"/>
      <c r="I10028" s="10" t="s">
        <v>29</v>
      </c>
      <c r="J10028" s="6"/>
    </row>
    <row r="10029">
      <c r="A10029" s="11" t="s">
        <v>30</v>
      </c>
      <c r="B10029" s="12">
        <v>881.125</v>
      </c>
      <c r="C10029" s="12">
        <v>3246.418</v>
      </c>
      <c r="D10029" s="13">
        <v>2860500</v>
      </c>
      <c r="E10029" s="12">
        <v>0</v>
      </c>
      <c r="F10029" s="14">
        <v>0</v>
      </c>
      <c r="G10029" s="13">
        <v>194786.9973</v>
      </c>
      <c r="H10029" s="14">
        <v>171631692.995963</v>
      </c>
      <c r="I10029" s="14" t="e">
        <f>=Round(5205.51050000,0)</f>
        <v>#VALUE!</v>
      </c>
      <c r="J10029" s="14" t="e">
        <f>=Round(2366.13880000,0)</f>
        <v>#VALUE!</v>
      </c>
    </row>
    <row r="10030">
      <c r="A10030" s="11" t="s">
        <v>31</v>
      </c>
      <c r="B10030" s="12">
        <v>886.6761</v>
      </c>
      <c r="C10030" s="12">
        <v>366.5375</v>
      </c>
      <c r="D10030" s="13">
        <v>325000</v>
      </c>
      <c r="E10030" s="12">
        <v>0</v>
      </c>
      <c r="F10030" s="14">
        <v>0</v>
      </c>
      <c r="G10030" s="13">
        <v>198033.4153</v>
      </c>
      <c r="H10030" s="14">
        <v>175591496.347884</v>
      </c>
      <c r="I10030" s="14" t="e">
        <f>=Round(5158.32960000,0)</f>
        <v>#VALUE!</v>
      </c>
      <c r="J10030" s="14" t="e">
        <f>=Round(2344.69290000,0)</f>
        <v>#VALUE!</v>
      </c>
    </row>
    <row r="10031">
      <c r="A10031" s="11" t="s">
        <v>32</v>
      </c>
      <c r="B10031" s="12">
        <v>891.97</v>
      </c>
      <c r="C10031" s="12">
        <v>112.672</v>
      </c>
      <c r="D10031" s="13">
        <v>100500</v>
      </c>
      <c r="E10031" s="12">
        <v>12.54</v>
      </c>
      <c r="F10031" s="14">
        <v>11185</v>
      </c>
      <c r="G10031" s="13">
        <v>198399.9528</v>
      </c>
      <c r="H10031" s="14">
        <v>176966805.899016</v>
      </c>
      <c r="I10031" s="14" t="e">
        <f>=Round(5277.34010000,0)</f>
        <v>#VALUE!</v>
      </c>
      <c r="J10031" s="14" t="e">
        <f>=Round(2398.78850000,0)</f>
        <v>#VALUE!</v>
      </c>
    </row>
    <row r="10032">
      <c r="A10032" s="11" t="s">
        <v>33</v>
      </c>
      <c r="B10032" s="12">
        <v>890.3961</v>
      </c>
      <c r="C10032" s="12">
        <v>133.3676</v>
      </c>
      <c r="D10032" s="13">
        <v>118750</v>
      </c>
      <c r="E10032" s="12">
        <v>0</v>
      </c>
      <c r="F10032" s="14">
        <v>0</v>
      </c>
      <c r="G10032" s="13">
        <v>198500.0848</v>
      </c>
      <c r="H10032" s="14">
        <v>176743701.355589</v>
      </c>
      <c r="I10032" s="14" t="e">
        <f>=Round(5318.67450000,0)</f>
        <v>#VALUE!</v>
      </c>
      <c r="J10032" s="14" t="e">
        <f>=Round(2417.57690000,0)</f>
        <v>#VALUE!</v>
      </c>
    </row>
    <row r="10033">
      <c r="A10033" s="11" t="s">
        <v>34</v>
      </c>
      <c r="B10033" s="12">
        <v>890.7405</v>
      </c>
      <c r="C10033" s="12">
        <v>0</v>
      </c>
      <c r="D10033" s="13">
        <v>0</v>
      </c>
      <c r="E10033" s="12">
        <v>0</v>
      </c>
      <c r="F10033" s="14">
        <v>0</v>
      </c>
      <c r="G10033" s="13">
        <v>198633.4524</v>
      </c>
      <c r="H10033" s="14">
        <v>176930860.707502</v>
      </c>
      <c r="I10033" s="14" t="e">
        <f>=Round(5311.96920000,0)</f>
        <v>#VALUE!</v>
      </c>
      <c r="J10033" s="14" t="e">
        <f>=Round(2414.52900000,0)</f>
        <v>#VALUE!</v>
      </c>
    </row>
    <row r="10034">
      <c r="A10034" s="11" t="s">
        <v>35</v>
      </c>
      <c r="B10034" s="12">
        <v>890.7405</v>
      </c>
      <c r="C10034" s="12">
        <v>0</v>
      </c>
      <c r="D10034" s="13">
        <v>0</v>
      </c>
      <c r="E10034" s="12">
        <v>0</v>
      </c>
      <c r="F10034" s="14">
        <v>0</v>
      </c>
      <c r="G10034" s="13">
        <v>198633.4524</v>
      </c>
      <c r="H10034" s="14">
        <v>176930860.707502</v>
      </c>
      <c r="I10034" s="14" t="e">
        <f>=Round(5317.59420000,0)</f>
        <v>#VALUE!</v>
      </c>
      <c r="J10034" s="14" t="e">
        <f>=Round(2417.08580000,0)</f>
        <v>#VALUE!</v>
      </c>
    </row>
    <row r="10035">
      <c r="A10035" s="11" t="s">
        <v>36</v>
      </c>
      <c r="B10035" s="12">
        <v>890.7405</v>
      </c>
      <c r="C10035" s="12">
        <v>0</v>
      </c>
      <c r="D10035" s="13">
        <v>0</v>
      </c>
      <c r="E10035" s="12">
        <v>0</v>
      </c>
      <c r="F10035" s="14">
        <v>0</v>
      </c>
      <c r="G10035" s="13">
        <v>198633.4524</v>
      </c>
      <c r="H10035" s="14">
        <v>176930860.707502</v>
      </c>
      <c r="I10035" s="14" t="e">
        <f>=Round(5317.59420000,0)</f>
        <v>#VALUE!</v>
      </c>
      <c r="J10035" s="14" t="e">
        <f>=Round(2417.08580000,0)</f>
        <v>#VALUE!</v>
      </c>
    </row>
    <row r="10036">
      <c r="A10036" s="11" t="s">
        <v>37</v>
      </c>
      <c r="B10036" s="12">
        <v>883.3838</v>
      </c>
      <c r="C10036" s="12">
        <v>0</v>
      </c>
      <c r="D10036" s="13">
        <v>0</v>
      </c>
      <c r="E10036" s="12">
        <v>0</v>
      </c>
      <c r="F10036" s="14">
        <v>0</v>
      </c>
      <c r="G10036" s="13">
        <v>198633.4524</v>
      </c>
      <c r="H10036" s="14">
        <v>175469573.988231</v>
      </c>
      <c r="I10036" s="14" t="e">
        <f>=Round(5317.59420000,0)</f>
        <v>#VALUE!</v>
      </c>
      <c r="J10036" s="14" t="e">
        <f>=Round(2417.08580000,0)</f>
        <v>#VALUE!</v>
      </c>
    </row>
    <row r="10037">
      <c r="A10037" s="11" t="s">
        <v>38</v>
      </c>
      <c r="B10037" s="12">
        <v>881.5037</v>
      </c>
      <c r="C10037" s="12">
        <v>1582.5232</v>
      </c>
      <c r="D10037" s="13">
        <v>1395000</v>
      </c>
      <c r="E10037" s="12">
        <v>541.5312</v>
      </c>
      <c r="F10037" s="14">
        <v>477362</v>
      </c>
      <c r="G10037" s="13">
        <v>198633.4524</v>
      </c>
      <c r="H10037" s="14">
        <v>175096123.234374</v>
      </c>
      <c r="I10037" s="14" t="e">
        <f>=Round(5273.67570000,0)</f>
        <v>#VALUE!</v>
      </c>
      <c r="J10037" s="14" t="e">
        <f>=Round(2397.12290000,0)</f>
        <v>#VALUE!</v>
      </c>
    </row>
    <row r="10038">
      <c r="A10038" s="11" t="s">
        <v>39</v>
      </c>
      <c r="B10038" s="12">
        <v>875.392</v>
      </c>
      <c r="C10038" s="12">
        <v>22.8469</v>
      </c>
      <c r="D10038" s="13">
        <v>20000</v>
      </c>
      <c r="E10038" s="12">
        <v>0</v>
      </c>
      <c r="F10038" s="14">
        <v>0</v>
      </c>
      <c r="G10038" s="13">
        <v>199674.4444</v>
      </c>
      <c r="H10038" s="14">
        <v>174793411.232205</v>
      </c>
      <c r="I10038" s="14" t="e">
        <f>=Round(5262.45180000,0)</f>
        <v>#VALUE!</v>
      </c>
      <c r="J10038" s="14" t="e">
        <f>=Round(2392.02110000,0)</f>
        <v>#VALUE!</v>
      </c>
    </row>
    <row r="10039">
      <c r="A10039" s="11" t="s">
        <v>40</v>
      </c>
      <c r="B10039" s="12">
        <v>870.0291</v>
      </c>
      <c r="C10039" s="12">
        <v>0</v>
      </c>
      <c r="D10039" s="13">
        <v>0</v>
      </c>
      <c r="E10039" s="12">
        <v>0</v>
      </c>
      <c r="F10039" s="14">
        <v>0</v>
      </c>
      <c r="G10039" s="13">
        <v>199697.2913</v>
      </c>
      <c r="H10039" s="14">
        <v>173742454.622177</v>
      </c>
      <c r="I10039" s="14" t="e">
        <f>=Round(5253.35390000,0)</f>
        <v>#VALUE!</v>
      </c>
      <c r="J10039" s="14" t="e">
        <f>=Round(2387.88570000,0)</f>
        <v>#VALUE!</v>
      </c>
    </row>
    <row r="10040">
      <c r="A10040" s="11" t="s">
        <v>41</v>
      </c>
      <c r="B10040" s="12">
        <v>867.6424</v>
      </c>
      <c r="C10040" s="12">
        <v>0</v>
      </c>
      <c r="D10040" s="13">
        <v>0</v>
      </c>
      <c r="E10040" s="12">
        <v>0</v>
      </c>
      <c r="F10040" s="14">
        <v>0</v>
      </c>
      <c r="G10040" s="13">
        <v>199697.2913</v>
      </c>
      <c r="H10040" s="14">
        <v>173265837.097031</v>
      </c>
      <c r="I10040" s="14" t="e">
        <f>=Round(5221.76780000,0)</f>
        <v>#VALUE!</v>
      </c>
      <c r="J10040" s="14" t="e">
        <f>=Round(2373.52840000,0)</f>
        <v>#VALUE!</v>
      </c>
    </row>
    <row r="10041">
      <c r="A10041" s="11" t="s">
        <v>42</v>
      </c>
      <c r="B10041" s="12">
        <v>867.6424</v>
      </c>
      <c r="C10041" s="12">
        <v>0</v>
      </c>
      <c r="D10041" s="13">
        <v>0</v>
      </c>
      <c r="E10041" s="12">
        <v>0</v>
      </c>
      <c r="F10041" s="14">
        <v>0</v>
      </c>
      <c r="G10041" s="13">
        <v>199697.2913</v>
      </c>
      <c r="H10041" s="14">
        <v>173265837.097031</v>
      </c>
      <c r="I10041" s="14" t="e">
        <f>=Round(5207.44320000,0)</f>
        <v>#VALUE!</v>
      </c>
      <c r="J10041" s="14" t="e">
        <f>=Round(2367.01730000,0)</f>
        <v>#VALUE!</v>
      </c>
    </row>
    <row r="10042">
      <c r="A10042" s="11" t="s">
        <v>43</v>
      </c>
      <c r="B10042" s="12">
        <v>867.6424</v>
      </c>
      <c r="C10042" s="12">
        <v>0</v>
      </c>
      <c r="D10042" s="13">
        <v>0</v>
      </c>
      <c r="E10042" s="12">
        <v>0</v>
      </c>
      <c r="F10042" s="14">
        <v>0</v>
      </c>
      <c r="G10042" s="13">
        <v>199697.2913</v>
      </c>
      <c r="H10042" s="14">
        <v>173265837.097031</v>
      </c>
      <c r="I10042" s="14" t="e">
        <f>=Round(5207.44320000,0)</f>
        <v>#VALUE!</v>
      </c>
      <c r="J10042" s="14" t="e">
        <f>=Round(2367.01730000,0)</f>
        <v>#VALUE!</v>
      </c>
    </row>
    <row r="10043">
      <c r="A10043" s="11" t="s">
        <v>44</v>
      </c>
      <c r="B10043" s="12">
        <v>866.052</v>
      </c>
      <c r="C10043" s="12">
        <v>161.6531</v>
      </c>
      <c r="D10043" s="13">
        <v>140000</v>
      </c>
      <c r="E10043" s="12">
        <v>126.7447</v>
      </c>
      <c r="F10043" s="14">
        <v>109768</v>
      </c>
      <c r="G10043" s="13">
        <v>199697.2913</v>
      </c>
      <c r="H10043" s="14">
        <v>172948238.524948</v>
      </c>
      <c r="I10043" s="14" t="e">
        <f>=Round(5207.44320000,0)</f>
        <v>#VALUE!</v>
      </c>
      <c r="J10043" s="14" t="e">
        <f>=Round(2367.01730000,0)</f>
        <v>#VALUE!</v>
      </c>
    </row>
    <row r="10044">
      <c r="A10044" s="11" t="s">
        <v>45</v>
      </c>
      <c r="B10044" s="12">
        <v>866.5847</v>
      </c>
      <c r="C10044" s="12">
        <v>0</v>
      </c>
      <c r="D10044" s="13">
        <v>0</v>
      </c>
      <c r="E10044" s="12">
        <v>0</v>
      </c>
      <c r="F10044" s="14">
        <v>0</v>
      </c>
      <c r="G10044" s="13">
        <v>199732.1997</v>
      </c>
      <c r="H10044" s="14">
        <v>173084868.357365</v>
      </c>
      <c r="I10044" s="14" t="e">
        <f>=Round(5197.89790000,0)</f>
        <v>#VALUE!</v>
      </c>
      <c r="J10044" s="14" t="e">
        <f>=Round(2362.67850000,0)</f>
        <v>#VALUE!</v>
      </c>
    </row>
    <row r="10045">
      <c r="A10045" s="11" t="s">
        <v>46</v>
      </c>
      <c r="B10045" s="12">
        <v>871.7338</v>
      </c>
      <c r="C10045" s="12">
        <v>114.7139</v>
      </c>
      <c r="D10045" s="13">
        <v>100000</v>
      </c>
      <c r="E10045" s="12">
        <v>0</v>
      </c>
      <c r="F10045" s="14">
        <v>0</v>
      </c>
      <c r="G10045" s="13">
        <v>199732.1997</v>
      </c>
      <c r="H10045" s="14">
        <v>174113309.42684</v>
      </c>
      <c r="I10045" s="14" t="e">
        <f>=Round(5202.00420000,0)</f>
        <v>#VALUE!</v>
      </c>
      <c r="J10045" s="14" t="e">
        <f>=Round(2364.54500000,0)</f>
        <v>#VALUE!</v>
      </c>
    </row>
    <row r="10046">
      <c r="A10046" s="11" t="s">
        <v>47</v>
      </c>
      <c r="B10046" s="12">
        <v>874.0726</v>
      </c>
      <c r="C10046" s="12">
        <v>0</v>
      </c>
      <c r="D10046" s="13">
        <v>0</v>
      </c>
      <c r="E10046" s="12">
        <v>0</v>
      </c>
      <c r="F10046" s="14">
        <v>0</v>
      </c>
      <c r="G10046" s="13">
        <v>199846.9136</v>
      </c>
      <c r="H10046" s="14">
        <v>174680711.372327</v>
      </c>
      <c r="I10046" s="14" t="e">
        <f>=Round(5232.91370000,0)</f>
        <v>#VALUE!</v>
      </c>
      <c r="J10046" s="14" t="e">
        <f>=Round(2378.59470000,0)</f>
        <v>#VALUE!</v>
      </c>
    </row>
    <row r="10047">
      <c r="A10047" s="11" t="s">
        <v>48</v>
      </c>
      <c r="B10047" s="12">
        <v>867.0428</v>
      </c>
      <c r="C10047" s="12">
        <v>0</v>
      </c>
      <c r="D10047" s="13">
        <v>0</v>
      </c>
      <c r="E10047" s="12">
        <v>0</v>
      </c>
      <c r="F10047" s="14">
        <v>0</v>
      </c>
      <c r="G10047" s="13">
        <v>199846.9136</v>
      </c>
      <c r="H10047" s="14">
        <v>173275827.539102</v>
      </c>
      <c r="I10047" s="14" t="e">
        <f>=Round(5249.96670000,0)</f>
        <v>#VALUE!</v>
      </c>
      <c r="J10047" s="14" t="e">
        <f>=Round(2386.34610000,0)</f>
        <v>#VALUE!</v>
      </c>
    </row>
    <row r="10048">
      <c r="A10048" s="11" t="s">
        <v>49</v>
      </c>
      <c r="B10048" s="12">
        <v>867.0428</v>
      </c>
      <c r="C10048" s="12">
        <v>0</v>
      </c>
      <c r="D10048" s="13">
        <v>0</v>
      </c>
      <c r="E10048" s="12">
        <v>0</v>
      </c>
      <c r="F10048" s="14">
        <v>0</v>
      </c>
      <c r="G10048" s="13">
        <v>199846.9136</v>
      </c>
      <c r="H10048" s="14">
        <v>173275827.539102</v>
      </c>
      <c r="I10048" s="14" t="e">
        <f>=Round(5207.74350000,0)</f>
        <v>#VALUE!</v>
      </c>
      <c r="J10048" s="14" t="e">
        <f>=Round(2367.15370000,0)</f>
        <v>#VALUE!</v>
      </c>
    </row>
    <row r="10049">
      <c r="A10049" s="11" t="s">
        <v>50</v>
      </c>
      <c r="B10049" s="12">
        <v>867.0428</v>
      </c>
      <c r="C10049" s="12">
        <v>0</v>
      </c>
      <c r="D10049" s="13">
        <v>0</v>
      </c>
      <c r="E10049" s="12">
        <v>0</v>
      </c>
      <c r="F10049" s="14">
        <v>0</v>
      </c>
      <c r="G10049" s="13">
        <v>199846.9136</v>
      </c>
      <c r="H10049" s="14">
        <v>173275827.539102</v>
      </c>
      <c r="I10049" s="14" t="e">
        <f>=Round(5207.74350000,0)</f>
        <v>#VALUE!</v>
      </c>
      <c r="J10049" s="14" t="e">
        <f>=Round(2367.15370000,0)</f>
        <v>#VALUE!</v>
      </c>
    </row>
    <row r="10050">
      <c r="A10050" s="11" t="s">
        <v>51</v>
      </c>
      <c r="B10050" s="12">
        <v>856.1286</v>
      </c>
      <c r="C10050" s="12">
        <v>0</v>
      </c>
      <c r="D10050" s="13">
        <v>0</v>
      </c>
      <c r="E10050" s="12">
        <v>0</v>
      </c>
      <c r="F10050" s="14">
        <v>0</v>
      </c>
      <c r="G10050" s="13">
        <v>199846.9136</v>
      </c>
      <c r="H10050" s="14">
        <v>171094658.354689</v>
      </c>
      <c r="I10050" s="14" t="e">
        <f>=Round(5207.74350000,0)</f>
        <v>#VALUE!</v>
      </c>
      <c r="J10050" s="14" t="e">
        <f>=Round(2367.15370000,0)</f>
        <v>#VALUE!</v>
      </c>
    </row>
    <row r="10051">
      <c r="A10051" s="11" t="s">
        <v>52</v>
      </c>
      <c r="B10051" s="12">
        <v>855.6337</v>
      </c>
      <c r="C10051" s="12">
        <v>11.6872</v>
      </c>
      <c r="D10051" s="13">
        <v>10000</v>
      </c>
      <c r="E10051" s="12">
        <v>0</v>
      </c>
      <c r="F10051" s="14">
        <v>0</v>
      </c>
      <c r="G10051" s="13">
        <v>199846.9136</v>
      </c>
      <c r="H10051" s="14">
        <v>170995754.117148</v>
      </c>
      <c r="I10051" s="14" t="e">
        <f>=Round(5142.18920000,0)</f>
        <v>#VALUE!</v>
      </c>
      <c r="J10051" s="14" t="e">
        <f>=Round(2337.35640000,0)</f>
        <v>#VALUE!</v>
      </c>
    </row>
    <row r="10052">
      <c r="A10052" s="11" t="s">
        <v>53</v>
      </c>
      <c r="B10052" s="12">
        <v>842.6556</v>
      </c>
      <c r="C10052" s="12">
        <v>0</v>
      </c>
      <c r="D10052" s="13">
        <v>0</v>
      </c>
      <c r="E10052" s="12">
        <v>0</v>
      </c>
      <c r="F10052" s="14">
        <v>0</v>
      </c>
      <c r="G10052" s="13">
        <v>199858.6008</v>
      </c>
      <c r="H10052" s="14">
        <v>168411969.172284</v>
      </c>
      <c r="I10052" s="14" t="e">
        <f>=Round(5139.21670000,0)</f>
        <v>#VALUE!</v>
      </c>
      <c r="J10052" s="14" t="e">
        <f>=Round(2336.00520000,0)</f>
        <v>#VALUE!</v>
      </c>
    </row>
    <row r="10053">
      <c r="A10053" s="11" t="s">
        <v>54</v>
      </c>
      <c r="B10053" s="12">
        <v>825.5963</v>
      </c>
      <c r="C10053" s="12">
        <v>1332.8924</v>
      </c>
      <c r="D10053" s="13">
        <v>1100431</v>
      </c>
      <c r="E10053" s="12">
        <v>0</v>
      </c>
      <c r="F10053" s="14">
        <v>0</v>
      </c>
      <c r="G10053" s="13">
        <v>199858.6008</v>
      </c>
      <c r="H10053" s="14">
        <v>165002521.343657</v>
      </c>
      <c r="I10053" s="14" t="e">
        <f>=Round(5061.56190000,0)</f>
        <v>#VALUE!</v>
      </c>
      <c r="J10053" s="14" t="e">
        <f>=Round(2300.70770000,0)</f>
        <v>#VALUE!</v>
      </c>
    </row>
    <row r="10054">
      <c r="A10054" s="11" t="s">
        <v>55</v>
      </c>
      <c r="B10054" s="12">
        <v>819.7367</v>
      </c>
      <c r="C10054" s="12">
        <v>640.4495</v>
      </c>
      <c r="D10054" s="13">
        <v>525000</v>
      </c>
      <c r="E10054" s="12">
        <v>0.0001</v>
      </c>
      <c r="F10054" s="14">
        <v>0</v>
      </c>
      <c r="G10054" s="13">
        <v>201191.4932</v>
      </c>
      <c r="H10054" s="14">
        <v>164924050.70384</v>
      </c>
      <c r="I10054" s="14" t="e">
        <f>=Round(4959.09220000,0)</f>
        <v>#VALUE!</v>
      </c>
      <c r="J10054" s="14" t="e">
        <f>=Round(2254.13060000,0)</f>
        <v>#VALUE!</v>
      </c>
    </row>
    <row r="10055" ht="-1">
      <c r="A10055" s="15"/>
      <c r="B10055" s="16" t="s">
        <v>56</v>
      </c>
      <c r="C10055" s="15"/>
      <c r="D10055" s="15"/>
      <c r="E10055" s="15"/>
      <c r="F10055" s="15"/>
      <c r="G10055" s="15"/>
      <c r="H10055" s="15"/>
      <c r="I10055" s="17" t="e">
        <f>=Round(SUM(I10029:I10054),0)</f>
        <v>#VALUE!</v>
      </c>
      <c r="J10055" s="17" t="e">
        <f>=Round(SUM(J10029:J10054),0)</f>
        <v>#VALUE!</v>
      </c>
    </row>
    <row r="10056">
      <c r="A10056" s="1" t="s">
        <v>0</v>
      </c>
      <c r="B10056" s="1"/>
      <c r="C10056" s="1"/>
      <c r="D10056" s="1"/>
    </row>
    <row r="10057">
      <c r="A10057" s="0" t="s">
        <v>1</v>
      </c>
      <c r="C10057" s="0" t="s">
        <v>346</v>
      </c>
      <c r="H10057" s="2" t="s">
        <v>3</v>
      </c>
    </row>
    <row r="10058">
      <c r="A10058" s="0" t="s">
        <v>4</v>
      </c>
      <c r="C10058" s="0" t="s">
        <v>352</v>
      </c>
      <c r="H10058" s="3" t="s">
        <v>6</v>
      </c>
    </row>
    <row r="10059">
      <c r="A10059" s="0" t="s">
        <v>7</v>
      </c>
      <c r="C10059" s="4" t="s">
        <v>188</v>
      </c>
      <c r="H10059" s="2" t="s">
        <v>9</v>
      </c>
    </row>
    <row r="10060">
      <c r="A10060" s="0" t="s">
        <v>10</v>
      </c>
      <c r="C10060" s="4" t="s">
        <v>124</v>
      </c>
      <c r="H10060" s="2" t="s">
        <v>12</v>
      </c>
    </row>
    <row r="10061">
      <c r="A10061" s="0" t="s">
        <v>13</v>
      </c>
      <c r="C10061" s="0" t="s">
        <v>14</v>
      </c>
    </row>
    <row r="10062">
      <c r="A10062" s="0" t="s">
        <v>15</v>
      </c>
      <c r="C10062" s="0" t="s">
        <v>16</v>
      </c>
    </row>
    <row r="10063">
      <c r="A10063" s="0" t="s">
        <v>17</v>
      </c>
      <c r="C10063" s="0" t="s">
        <v>18</v>
      </c>
    </row>
    <row r="10066">
      <c r="A10066" s="5" t="s">
        <v>19</v>
      </c>
      <c r="B10066" s="5" t="s">
        <v>20</v>
      </c>
      <c r="C10066" s="7" t="s">
        <v>21</v>
      </c>
      <c r="D10066" s="9"/>
      <c r="E10066" s="7" t="s">
        <v>22</v>
      </c>
      <c r="F10066" s="9"/>
      <c r="G10066" s="5" t="s">
        <v>23</v>
      </c>
      <c r="H10066" s="5" t="s">
        <v>24</v>
      </c>
      <c r="I10066" s="5" t="s">
        <v>189</v>
      </c>
      <c r="J10066" s="5" t="s">
        <v>125</v>
      </c>
    </row>
    <row r="10067">
      <c r="A10067" s="6"/>
      <c r="B10067" s="6"/>
      <c r="C10067" s="8" t="s">
        <v>27</v>
      </c>
      <c r="D10067" s="8" t="s">
        <v>28</v>
      </c>
      <c r="E10067" s="8" t="s">
        <v>27</v>
      </c>
      <c r="F10067" s="8" t="s">
        <v>28</v>
      </c>
      <c r="G10067" s="6"/>
      <c r="H10067" s="6"/>
      <c r="I10067" s="10" t="s">
        <v>29</v>
      </c>
      <c r="J10067" s="6"/>
    </row>
    <row r="10068">
      <c r="A10068" s="11" t="s">
        <v>30</v>
      </c>
      <c r="B10068" s="12">
        <v>881.125</v>
      </c>
      <c r="C10068" s="12">
        <v>389.9231</v>
      </c>
      <c r="D10068" s="13">
        <v>343571</v>
      </c>
      <c r="E10068" s="12">
        <v>671.7382</v>
      </c>
      <c r="F10068" s="14">
        <v>591885</v>
      </c>
      <c r="G10068" s="13">
        <v>21021.0781</v>
      </c>
      <c r="H10068" s="14">
        <v>18522197.440863</v>
      </c>
      <c r="I10068" s="14" t="e">
        <f>=Round(557.27710000,0)</f>
        <v>#VALUE!</v>
      </c>
      <c r="J10068" s="14" t="e">
        <f>=Round(253.30750000,0)</f>
        <v>#VALUE!</v>
      </c>
    </row>
    <row r="10069">
      <c r="A10069" s="11" t="s">
        <v>31</v>
      </c>
      <c r="B10069" s="12">
        <v>886.6761</v>
      </c>
      <c r="C10069" s="12">
        <v>656.1361</v>
      </c>
      <c r="D10069" s="13">
        <v>581780</v>
      </c>
      <c r="E10069" s="12">
        <v>0</v>
      </c>
      <c r="F10069" s="14">
        <v>0</v>
      </c>
      <c r="G10069" s="13">
        <v>20739.263</v>
      </c>
      <c r="H10069" s="14">
        <v>18389008.833714</v>
      </c>
      <c r="I10069" s="14" t="e">
        <f>=Round(556.67810000,0)</f>
        <v>#VALUE!</v>
      </c>
      <c r="J10069" s="14" t="e">
        <f>=Round(253.03520000,0)</f>
        <v>#VALUE!</v>
      </c>
    </row>
    <row r="10070">
      <c r="A10070" s="11" t="s">
        <v>32</v>
      </c>
      <c r="B10070" s="12">
        <v>891.97</v>
      </c>
      <c r="C10070" s="12">
        <v>1435.0258</v>
      </c>
      <c r="D10070" s="13">
        <v>1280000</v>
      </c>
      <c r="E10070" s="12">
        <v>69.7975</v>
      </c>
      <c r="F10070" s="14">
        <v>62257</v>
      </c>
      <c r="G10070" s="13">
        <v>21395.3991</v>
      </c>
      <c r="H10070" s="14">
        <v>19084054.135227</v>
      </c>
      <c r="I10070" s="14" t="e">
        <f>=Round(552.67510000,0)</f>
        <v>#VALUE!</v>
      </c>
      <c r="J10070" s="14" t="e">
        <f>=Round(251.21570000,0)</f>
        <v>#VALUE!</v>
      </c>
    </row>
    <row r="10071">
      <c r="A10071" s="11" t="s">
        <v>33</v>
      </c>
      <c r="B10071" s="12">
        <v>890.3961</v>
      </c>
      <c r="C10071" s="12">
        <v>1869.9544</v>
      </c>
      <c r="D10071" s="13">
        <v>1665000</v>
      </c>
      <c r="E10071" s="12">
        <v>11.247</v>
      </c>
      <c r="F10071" s="14">
        <v>10014</v>
      </c>
      <c r="G10071" s="13">
        <v>22760.6274</v>
      </c>
      <c r="H10071" s="14">
        <v>20265973.870513</v>
      </c>
      <c r="I10071" s="14" t="e">
        <f>=Round(573.56450000,0)</f>
        <v>#VALUE!</v>
      </c>
      <c r="J10071" s="14" t="e">
        <f>=Round(260.71090000,0)</f>
        <v>#VALUE!</v>
      </c>
    </row>
    <row r="10072">
      <c r="A10072" s="11" t="s">
        <v>34</v>
      </c>
      <c r="B10072" s="12">
        <v>890.7405</v>
      </c>
      <c r="C10072" s="12">
        <v>404.1581</v>
      </c>
      <c r="D10072" s="13">
        <v>360000</v>
      </c>
      <c r="E10072" s="12">
        <v>138.0853</v>
      </c>
      <c r="F10072" s="14">
        <v>122998</v>
      </c>
      <c r="G10072" s="13">
        <v>24619.3348</v>
      </c>
      <c r="H10072" s="14">
        <v>21929438.589419</v>
      </c>
      <c r="I10072" s="14" t="e">
        <f>=Round(609.08660000,0)</f>
        <v>#VALUE!</v>
      </c>
      <c r="J10072" s="14" t="e">
        <f>=Round(276.85730000,0)</f>
        <v>#VALUE!</v>
      </c>
    </row>
    <row r="10073">
      <c r="A10073" s="11" t="s">
        <v>35</v>
      </c>
      <c r="B10073" s="12">
        <v>890.7405</v>
      </c>
      <c r="C10073" s="12">
        <v>0</v>
      </c>
      <c r="D10073" s="13">
        <v>0</v>
      </c>
      <c r="E10073" s="12">
        <v>0</v>
      </c>
      <c r="F10073" s="14">
        <v>0</v>
      </c>
      <c r="G10073" s="13">
        <v>24619.3348</v>
      </c>
      <c r="H10073" s="14">
        <v>21929438.589419</v>
      </c>
      <c r="I10073" s="14" t="e">
        <f>=Round(659.08150000,0)</f>
        <v>#VALUE!</v>
      </c>
      <c r="J10073" s="14" t="e">
        <f>=Round(299.58220000,0)</f>
        <v>#VALUE!</v>
      </c>
    </row>
    <row r="10074">
      <c r="A10074" s="11" t="s">
        <v>36</v>
      </c>
      <c r="B10074" s="12">
        <v>890.7405</v>
      </c>
      <c r="C10074" s="12">
        <v>0</v>
      </c>
      <c r="D10074" s="13">
        <v>0</v>
      </c>
      <c r="E10074" s="12">
        <v>0</v>
      </c>
      <c r="F10074" s="14">
        <v>0</v>
      </c>
      <c r="G10074" s="13">
        <v>24619.3348</v>
      </c>
      <c r="H10074" s="14">
        <v>21929438.589419</v>
      </c>
      <c r="I10074" s="14" t="e">
        <f>=Round(659.08150000,0)</f>
        <v>#VALUE!</v>
      </c>
      <c r="J10074" s="14" t="e">
        <f>=Round(299.58220000,0)</f>
        <v>#VALUE!</v>
      </c>
    </row>
    <row r="10075">
      <c r="A10075" s="11" t="s">
        <v>37</v>
      </c>
      <c r="B10075" s="12">
        <v>883.3838</v>
      </c>
      <c r="C10075" s="12">
        <v>387.1477</v>
      </c>
      <c r="D10075" s="13">
        <v>342000</v>
      </c>
      <c r="E10075" s="12">
        <v>282.501</v>
      </c>
      <c r="F10075" s="14">
        <v>249557</v>
      </c>
      <c r="G10075" s="13">
        <v>24885.4076</v>
      </c>
      <c r="H10075" s="14">
        <v>21983365.930237</v>
      </c>
      <c r="I10075" s="14" t="e">
        <f>=Round(659.08150000,0)</f>
        <v>#VALUE!</v>
      </c>
      <c r="J10075" s="14" t="e">
        <f>=Round(299.58220000,0)</f>
        <v>#VALUE!</v>
      </c>
    </row>
    <row r="10076">
      <c r="A10076" s="11" t="s">
        <v>38</v>
      </c>
      <c r="B10076" s="12">
        <v>881.5037</v>
      </c>
      <c r="C10076" s="12">
        <v>102.0985</v>
      </c>
      <c r="D10076" s="13">
        <v>90000</v>
      </c>
      <c r="E10076" s="12">
        <v>340.912</v>
      </c>
      <c r="F10076" s="14">
        <v>300515</v>
      </c>
      <c r="G10076" s="13">
        <v>24990.0543</v>
      </c>
      <c r="H10076" s="14">
        <v>22028825.328651</v>
      </c>
      <c r="I10076" s="14" t="e">
        <f>=Round(660.70230000,0)</f>
        <v>#VALUE!</v>
      </c>
      <c r="J10076" s="14" t="e">
        <f>=Round(300.31890000,0)</f>
        <v>#VALUE!</v>
      </c>
    </row>
    <row r="10077">
      <c r="A10077" s="11" t="s">
        <v>39</v>
      </c>
      <c r="B10077" s="12">
        <v>875.392</v>
      </c>
      <c r="C10077" s="12">
        <v>379.5845</v>
      </c>
      <c r="D10077" s="13">
        <v>332285</v>
      </c>
      <c r="E10077" s="12">
        <v>0</v>
      </c>
      <c r="F10077" s="14">
        <v>0</v>
      </c>
      <c r="G10077" s="13">
        <v>24751.2408</v>
      </c>
      <c r="H10077" s="14">
        <v>21667038.186394</v>
      </c>
      <c r="I10077" s="14" t="e">
        <f>=Round(662.06850000,0)</f>
        <v>#VALUE!</v>
      </c>
      <c r="J10077" s="14" t="e">
        <f>=Round(300.93990000,0)</f>
        <v>#VALUE!</v>
      </c>
    </row>
    <row r="10078">
      <c r="A10078" s="11" t="s">
        <v>40</v>
      </c>
      <c r="B10078" s="12">
        <v>870.0291</v>
      </c>
      <c r="C10078" s="12">
        <v>159.6453</v>
      </c>
      <c r="D10078" s="13">
        <v>138896</v>
      </c>
      <c r="E10078" s="12">
        <v>161.2212</v>
      </c>
      <c r="F10078" s="14">
        <v>140267</v>
      </c>
      <c r="G10078" s="13">
        <v>25130.8253</v>
      </c>
      <c r="H10078" s="14">
        <v>21864549.318016</v>
      </c>
      <c r="I10078" s="14" t="e">
        <f>=Round(651.19510000,0)</f>
        <v>#VALUE!</v>
      </c>
      <c r="J10078" s="14" t="e">
        <f>=Round(295.99750000,0)</f>
        <v>#VALUE!</v>
      </c>
    </row>
    <row r="10079">
      <c r="A10079" s="11" t="s">
        <v>41</v>
      </c>
      <c r="B10079" s="12">
        <v>867.6424</v>
      </c>
      <c r="C10079" s="12">
        <v>11.5255</v>
      </c>
      <c r="D10079" s="13">
        <v>10000</v>
      </c>
      <c r="E10079" s="12">
        <v>57.4221</v>
      </c>
      <c r="F10079" s="14">
        <v>49822</v>
      </c>
      <c r="G10079" s="13">
        <v>25129.2494</v>
      </c>
      <c r="H10079" s="14">
        <v>21803202.259615</v>
      </c>
      <c r="I10079" s="14" t="e">
        <f>=Round(657.13130000,0)</f>
        <v>#VALUE!</v>
      </c>
      <c r="J10079" s="14" t="e">
        <f>=Round(298.69570000,0)</f>
        <v>#VALUE!</v>
      </c>
    </row>
    <row r="10080">
      <c r="A10080" s="11" t="s">
        <v>42</v>
      </c>
      <c r="B10080" s="12">
        <v>867.6424</v>
      </c>
      <c r="C10080" s="12">
        <v>0</v>
      </c>
      <c r="D10080" s="13">
        <v>0</v>
      </c>
      <c r="E10080" s="12">
        <v>0</v>
      </c>
      <c r="F10080" s="14">
        <v>0</v>
      </c>
      <c r="G10080" s="13">
        <v>25129.2494</v>
      </c>
      <c r="H10080" s="14">
        <v>21803202.259615</v>
      </c>
      <c r="I10080" s="14" t="e">
        <f>=Round(655.28750000,0)</f>
        <v>#VALUE!</v>
      </c>
      <c r="J10080" s="14" t="e">
        <f>=Round(297.85770000,0)</f>
        <v>#VALUE!</v>
      </c>
    </row>
    <row r="10081">
      <c r="A10081" s="11" t="s">
        <v>43</v>
      </c>
      <c r="B10081" s="12">
        <v>867.6424</v>
      </c>
      <c r="C10081" s="12">
        <v>0</v>
      </c>
      <c r="D10081" s="13">
        <v>0</v>
      </c>
      <c r="E10081" s="12">
        <v>0</v>
      </c>
      <c r="F10081" s="14">
        <v>0</v>
      </c>
      <c r="G10081" s="13">
        <v>25129.2494</v>
      </c>
      <c r="H10081" s="14">
        <v>21803202.259615</v>
      </c>
      <c r="I10081" s="14" t="e">
        <f>=Round(655.28750000,0)</f>
        <v>#VALUE!</v>
      </c>
      <c r="J10081" s="14" t="e">
        <f>=Round(297.85770000,0)</f>
        <v>#VALUE!</v>
      </c>
    </row>
    <row r="10082">
      <c r="A10082" s="11" t="s">
        <v>44</v>
      </c>
      <c r="B10082" s="12">
        <v>866.052</v>
      </c>
      <c r="C10082" s="12">
        <v>142.7951</v>
      </c>
      <c r="D10082" s="13">
        <v>123668</v>
      </c>
      <c r="E10082" s="12">
        <v>255.5916</v>
      </c>
      <c r="F10082" s="14">
        <v>221356</v>
      </c>
      <c r="G10082" s="13">
        <v>25083.3528</v>
      </c>
      <c r="H10082" s="14">
        <v>21723487.859146</v>
      </c>
      <c r="I10082" s="14" t="e">
        <f>=Round(655.28750000,0)</f>
        <v>#VALUE!</v>
      </c>
      <c r="J10082" s="14" t="e">
        <f>=Round(297.85770000,0)</f>
        <v>#VALUE!</v>
      </c>
    </row>
    <row r="10083">
      <c r="A10083" s="11" t="s">
        <v>45</v>
      </c>
      <c r="B10083" s="12">
        <v>866.5847</v>
      </c>
      <c r="C10083" s="12">
        <v>807.7687</v>
      </c>
      <c r="D10083" s="13">
        <v>700000</v>
      </c>
      <c r="E10083" s="12">
        <v>131.2798</v>
      </c>
      <c r="F10083" s="14">
        <v>113765</v>
      </c>
      <c r="G10083" s="13">
        <v>24970.5563</v>
      </c>
      <c r="H10083" s="14">
        <v>21639102.040069</v>
      </c>
      <c r="I10083" s="14" t="e">
        <f>=Round(652.89170000,0)</f>
        <v>#VALUE!</v>
      </c>
      <c r="J10083" s="14" t="e">
        <f>=Round(296.76870000,0)</f>
        <v>#VALUE!</v>
      </c>
    </row>
    <row r="10084">
      <c r="A10084" s="11" t="s">
        <v>46</v>
      </c>
      <c r="B10084" s="12">
        <v>871.7338</v>
      </c>
      <c r="C10084" s="12">
        <v>57.357</v>
      </c>
      <c r="D10084" s="13">
        <v>50000</v>
      </c>
      <c r="E10084" s="12">
        <v>21.4137</v>
      </c>
      <c r="F10084" s="14">
        <v>18667</v>
      </c>
      <c r="G10084" s="13">
        <v>25647.0452</v>
      </c>
      <c r="H10084" s="14">
        <v>22357396.170968</v>
      </c>
      <c r="I10084" s="14" t="e">
        <f>=Round(650.35550000,0)</f>
        <v>#VALUE!</v>
      </c>
      <c r="J10084" s="14" t="e">
        <f>=Round(295.61590000,0)</f>
        <v>#VALUE!</v>
      </c>
    </row>
    <row r="10085">
      <c r="A10085" s="11" t="s">
        <v>47</v>
      </c>
      <c r="B10085" s="12">
        <v>874.0726</v>
      </c>
      <c r="C10085" s="12">
        <v>75.051</v>
      </c>
      <c r="D10085" s="13">
        <v>65600</v>
      </c>
      <c r="E10085" s="12">
        <v>32.0995</v>
      </c>
      <c r="F10085" s="14">
        <v>28057</v>
      </c>
      <c r="G10085" s="13">
        <v>25682.9885</v>
      </c>
      <c r="H10085" s="14">
        <v>22448796.533965</v>
      </c>
      <c r="I10085" s="14" t="e">
        <f>=Round(671.94360000,0)</f>
        <v>#VALUE!</v>
      </c>
      <c r="J10085" s="14" t="e">
        <f>=Round(305.42860000,0)</f>
        <v>#VALUE!</v>
      </c>
    </row>
    <row r="10086">
      <c r="A10086" s="11" t="s">
        <v>48</v>
      </c>
      <c r="B10086" s="12">
        <v>867.0428</v>
      </c>
      <c r="C10086" s="12">
        <v>23.067</v>
      </c>
      <c r="D10086" s="13">
        <v>20000</v>
      </c>
      <c r="E10086" s="12">
        <v>85.9066</v>
      </c>
      <c r="F10086" s="14">
        <v>74485</v>
      </c>
      <c r="G10086" s="13">
        <v>25725.94</v>
      </c>
      <c r="H10086" s="14">
        <v>22305491.050232</v>
      </c>
      <c r="I10086" s="14" t="e">
        <f>=Round(674.69060000,0)</f>
        <v>#VALUE!</v>
      </c>
      <c r="J10086" s="14" t="e">
        <f>=Round(306.67720000,0)</f>
        <v>#VALUE!</v>
      </c>
    </row>
    <row r="10087">
      <c r="A10087" s="11" t="s">
        <v>49</v>
      </c>
      <c r="B10087" s="12">
        <v>867.0428</v>
      </c>
      <c r="C10087" s="12">
        <v>0</v>
      </c>
      <c r="D10087" s="13">
        <v>0</v>
      </c>
      <c r="E10087" s="12">
        <v>0</v>
      </c>
      <c r="F10087" s="14">
        <v>0</v>
      </c>
      <c r="G10087" s="13">
        <v>25725.94</v>
      </c>
      <c r="H10087" s="14">
        <v>22305491.050232</v>
      </c>
      <c r="I10087" s="14" t="e">
        <f>=Round(670.38360000,0)</f>
        <v>#VALUE!</v>
      </c>
      <c r="J10087" s="14" t="e">
        <f>=Round(304.71950000,0)</f>
        <v>#VALUE!</v>
      </c>
    </row>
    <row r="10088">
      <c r="A10088" s="11" t="s">
        <v>50</v>
      </c>
      <c r="B10088" s="12">
        <v>867.0428</v>
      </c>
      <c r="C10088" s="12">
        <v>0</v>
      </c>
      <c r="D10088" s="13">
        <v>0</v>
      </c>
      <c r="E10088" s="12">
        <v>0</v>
      </c>
      <c r="F10088" s="14">
        <v>0</v>
      </c>
      <c r="G10088" s="13">
        <v>25725.94</v>
      </c>
      <c r="H10088" s="14">
        <v>22305491.050232</v>
      </c>
      <c r="I10088" s="14" t="e">
        <f>=Round(670.38360000,0)</f>
        <v>#VALUE!</v>
      </c>
      <c r="J10088" s="14" t="e">
        <f>=Round(304.71950000,0)</f>
        <v>#VALUE!</v>
      </c>
    </row>
    <row r="10089">
      <c r="A10089" s="11" t="s">
        <v>51</v>
      </c>
      <c r="B10089" s="12">
        <v>856.1286</v>
      </c>
      <c r="C10089" s="12">
        <v>753.6835</v>
      </c>
      <c r="D10089" s="13">
        <v>645250</v>
      </c>
      <c r="E10089" s="12">
        <v>54.4094</v>
      </c>
      <c r="F10089" s="14">
        <v>46581</v>
      </c>
      <c r="G10089" s="13">
        <v>25663.1004</v>
      </c>
      <c r="H10089" s="14">
        <v>21970914.217111</v>
      </c>
      <c r="I10089" s="14" t="e">
        <f>=Round(670.38360000,0)</f>
        <v>#VALUE!</v>
      </c>
      <c r="J10089" s="14" t="e">
        <f>=Round(304.71950000,0)</f>
        <v>#VALUE!</v>
      </c>
    </row>
    <row r="10090">
      <c r="A10090" s="11" t="s">
        <v>52</v>
      </c>
      <c r="B10090" s="12">
        <v>855.6337</v>
      </c>
      <c r="C10090" s="12">
        <v>186.9959</v>
      </c>
      <c r="D10090" s="13">
        <v>160000</v>
      </c>
      <c r="E10090" s="12">
        <v>758.7228</v>
      </c>
      <c r="F10090" s="14">
        <v>649189</v>
      </c>
      <c r="G10090" s="13">
        <v>26362.3745</v>
      </c>
      <c r="H10090" s="14">
        <v>22556536.034221</v>
      </c>
      <c r="I10090" s="14" t="e">
        <f>=Round(660.32800000,0)</f>
        <v>#VALUE!</v>
      </c>
      <c r="J10090" s="14" t="e">
        <f>=Round(300.14880000,0)</f>
        <v>#VALUE!</v>
      </c>
    </row>
    <row r="10091">
      <c r="A10091" s="11" t="s">
        <v>53</v>
      </c>
      <c r="B10091" s="12">
        <v>842.6556</v>
      </c>
      <c r="C10091" s="12">
        <v>189.8759</v>
      </c>
      <c r="D10091" s="13">
        <v>160000</v>
      </c>
      <c r="E10091" s="12">
        <v>55.9</v>
      </c>
      <c r="F10091" s="14">
        <v>47104</v>
      </c>
      <c r="G10091" s="13">
        <v>25790.6476</v>
      </c>
      <c r="H10091" s="14">
        <v>21732633.627767</v>
      </c>
      <c r="I10091" s="14" t="e">
        <f>=Round(677.92870000,0)</f>
        <v>#VALUE!</v>
      </c>
      <c r="J10091" s="14" t="e">
        <f>=Round(308.14910000,0)</f>
        <v>#VALUE!</v>
      </c>
    </row>
    <row r="10092">
      <c r="A10092" s="11" t="s">
        <v>54</v>
      </c>
      <c r="B10092" s="12">
        <v>825.5963</v>
      </c>
      <c r="C10092" s="12">
        <v>60.5623</v>
      </c>
      <c r="D10092" s="13">
        <v>50000</v>
      </c>
      <c r="E10092" s="12">
        <v>106.4711</v>
      </c>
      <c r="F10092" s="14">
        <v>87902</v>
      </c>
      <c r="G10092" s="13">
        <v>25924.6235</v>
      </c>
      <c r="H10092" s="14">
        <v>21403273.240493</v>
      </c>
      <c r="I10092" s="14" t="e">
        <f>=Round(653.16660000,0)</f>
        <v>#VALUE!</v>
      </c>
      <c r="J10092" s="14" t="e">
        <f>=Round(296.89360000,0)</f>
        <v>#VALUE!</v>
      </c>
    </row>
    <row r="10093">
      <c r="A10093" s="11" t="s">
        <v>55</v>
      </c>
      <c r="B10093" s="12">
        <v>819.7367</v>
      </c>
      <c r="C10093" s="12">
        <v>525.9006</v>
      </c>
      <c r="D10093" s="13">
        <v>431100</v>
      </c>
      <c r="E10093" s="12">
        <v>907.353</v>
      </c>
      <c r="F10093" s="14">
        <v>743790</v>
      </c>
      <c r="G10093" s="13">
        <v>25878.7147</v>
      </c>
      <c r="H10093" s="14">
        <v>21213732.188419</v>
      </c>
      <c r="I10093" s="14" t="e">
        <f>=Round(643.26780000,0)</f>
        <v>#VALUE!</v>
      </c>
      <c r="J10093" s="14" t="e">
        <f>=Round(292.39420000,0)</f>
        <v>#VALUE!</v>
      </c>
    </row>
    <row r="10094" ht="-1">
      <c r="A10094" s="15"/>
      <c r="B10094" s="16" t="s">
        <v>56</v>
      </c>
      <c r="C10094" s="15"/>
      <c r="D10094" s="15"/>
      <c r="E10094" s="15"/>
      <c r="F10094" s="15"/>
      <c r="G10094" s="15"/>
      <c r="H10094" s="15"/>
      <c r="I10094" s="17" t="e">
        <f>=Round(SUM(I10068:I10093),0)</f>
        <v>#VALUE!</v>
      </c>
      <c r="J10094" s="17" t="e">
        <f>=Round(SUM(J10068:J10093),0)</f>
        <v>#VALUE!</v>
      </c>
    </row>
    <row r="10095">
      <c r="A10095" s="1" t="s">
        <v>0</v>
      </c>
      <c r="B10095" s="1"/>
      <c r="C10095" s="1"/>
      <c r="D10095" s="1"/>
    </row>
    <row r="10096">
      <c r="A10096" s="0" t="s">
        <v>1</v>
      </c>
      <c r="C10096" s="0" t="s">
        <v>353</v>
      </c>
      <c r="H10096" s="2" t="s">
        <v>3</v>
      </c>
    </row>
    <row r="10097">
      <c r="A10097" s="0" t="s">
        <v>4</v>
      </c>
      <c r="C10097" s="0" t="s">
        <v>126</v>
      </c>
      <c r="H10097" s="3" t="s">
        <v>6</v>
      </c>
    </row>
    <row r="10098">
      <c r="A10098" s="0" t="s">
        <v>7</v>
      </c>
      <c r="C10098" s="4" t="s">
        <v>226</v>
      </c>
      <c r="H10098" s="2" t="s">
        <v>9</v>
      </c>
    </row>
    <row r="10099">
      <c r="A10099" s="0" t="s">
        <v>10</v>
      </c>
      <c r="C10099" s="4" t="s">
        <v>124</v>
      </c>
      <c r="H10099" s="2" t="s">
        <v>12</v>
      </c>
    </row>
    <row r="10100">
      <c r="A10100" s="0" t="s">
        <v>13</v>
      </c>
      <c r="C10100" s="0" t="s">
        <v>14</v>
      </c>
    </row>
    <row r="10101">
      <c r="A10101" s="0" t="s">
        <v>15</v>
      </c>
      <c r="C10101" s="0" t="s">
        <v>16</v>
      </c>
    </row>
    <row r="10102">
      <c r="A10102" s="0" t="s">
        <v>17</v>
      </c>
      <c r="C10102" s="0" t="s">
        <v>18</v>
      </c>
    </row>
    <row r="10105">
      <c r="A10105" s="5" t="s">
        <v>19</v>
      </c>
      <c r="B10105" s="5" t="s">
        <v>20</v>
      </c>
      <c r="C10105" s="7" t="s">
        <v>21</v>
      </c>
      <c r="D10105" s="9"/>
      <c r="E10105" s="7" t="s">
        <v>22</v>
      </c>
      <c r="F10105" s="9"/>
      <c r="G10105" s="5" t="s">
        <v>23</v>
      </c>
      <c r="H10105" s="5" t="s">
        <v>24</v>
      </c>
      <c r="I10105" s="5" t="s">
        <v>227</v>
      </c>
      <c r="J10105" s="5" t="s">
        <v>125</v>
      </c>
    </row>
    <row r="10106">
      <c r="A10106" s="6"/>
      <c r="B10106" s="6"/>
      <c r="C10106" s="8" t="s">
        <v>27</v>
      </c>
      <c r="D10106" s="8" t="s">
        <v>28</v>
      </c>
      <c r="E10106" s="8" t="s">
        <v>27</v>
      </c>
      <c r="F10106" s="8" t="s">
        <v>28</v>
      </c>
      <c r="G10106" s="6"/>
      <c r="H10106" s="6"/>
      <c r="I10106" s="10" t="s">
        <v>29</v>
      </c>
      <c r="J10106" s="6"/>
    </row>
    <row r="10107">
      <c r="A10107" s="11" t="s">
        <v>30</v>
      </c>
      <c r="B10107" s="12">
        <v>998.082</v>
      </c>
      <c r="C10107" s="12">
        <v>0</v>
      </c>
      <c r="D10107" s="13">
        <v>0</v>
      </c>
      <c r="E10107" s="12">
        <v>0</v>
      </c>
      <c r="F10107" s="14">
        <v>0</v>
      </c>
      <c r="G10107" s="13">
        <v>120243586.1452</v>
      </c>
      <c r="H10107" s="14">
        <v>120012958946.97351</v>
      </c>
      <c r="I10107" s="14" t="e">
        <f>=Round(720912.33880000,0)</f>
        <v>#VALUE!</v>
      </c>
      <c r="J10107" s="14" t="e">
        <f>=Round(327687.09900000,0)</f>
        <v>#VALUE!</v>
      </c>
    </row>
    <row r="10108">
      <c r="A10108" s="11" t="s">
        <v>31</v>
      </c>
      <c r="B10108" s="12">
        <v>998.567</v>
      </c>
      <c r="C10108" s="12">
        <v>0</v>
      </c>
      <c r="D10108" s="13">
        <v>0</v>
      </c>
      <c r="E10108" s="12">
        <v>0</v>
      </c>
      <c r="F10108" s="14">
        <v>0</v>
      </c>
      <c r="G10108" s="13">
        <v>120243586.1452</v>
      </c>
      <c r="H10108" s="14">
        <v>120071277086.25392</v>
      </c>
      <c r="I10108" s="14" t="e">
        <f>=Round(721389.37070000,0)</f>
        <v>#VALUE!</v>
      </c>
      <c r="J10108" s="14" t="e">
        <f>=Round(327903.93150000,0)</f>
        <v>#VALUE!</v>
      </c>
    </row>
    <row r="10109">
      <c r="A10109" s="11" t="s">
        <v>32</v>
      </c>
      <c r="B10109" s="12">
        <v>999.126</v>
      </c>
      <c r="C10109" s="12">
        <v>0</v>
      </c>
      <c r="D10109" s="13">
        <v>0</v>
      </c>
      <c r="E10109" s="12">
        <v>0</v>
      </c>
      <c r="F10109" s="14">
        <v>0</v>
      </c>
      <c r="G10109" s="13">
        <v>120243586.1452</v>
      </c>
      <c r="H10109" s="14">
        <v>120138493250.90909</v>
      </c>
      <c r="I10109" s="14" t="e">
        <f>=Round(721739.91690000,0)</f>
        <v>#VALUE!</v>
      </c>
      <c r="J10109" s="14" t="e">
        <f>=Round(328063.27050000,0)</f>
        <v>#VALUE!</v>
      </c>
    </row>
    <row r="10110">
      <c r="A10110" s="11" t="s">
        <v>33</v>
      </c>
      <c r="B10110" s="12">
        <v>999.781</v>
      </c>
      <c r="C10110" s="12">
        <v>0</v>
      </c>
      <c r="D10110" s="13">
        <v>0</v>
      </c>
      <c r="E10110" s="12">
        <v>0</v>
      </c>
      <c r="F10110" s="14">
        <v>0</v>
      </c>
      <c r="G10110" s="13">
        <v>120243586.1452</v>
      </c>
      <c r="H10110" s="14">
        <v>120217252799.83421</v>
      </c>
      <c r="I10110" s="14" t="e">
        <f>=Round(722143.94850000,0)</f>
        <v>#VALUE!</v>
      </c>
      <c r="J10110" s="14" t="e">
        <f>=Round(328246.92110000,0)</f>
        <v>#VALUE!</v>
      </c>
    </row>
    <row r="10111">
      <c r="A10111" s="11" t="s">
        <v>34</v>
      </c>
      <c r="B10111" s="12">
        <v>999.834</v>
      </c>
      <c r="C10111" s="12">
        <v>0</v>
      </c>
      <c r="D10111" s="13">
        <v>0</v>
      </c>
      <c r="E10111" s="12">
        <v>0</v>
      </c>
      <c r="F10111" s="14">
        <v>0</v>
      </c>
      <c r="G10111" s="13">
        <v>120243586.1452</v>
      </c>
      <c r="H10111" s="14">
        <v>120223625709.8999</v>
      </c>
      <c r="I10111" s="14" t="e">
        <f>=Round(722617.36660000,0)</f>
        <v>#VALUE!</v>
      </c>
      <c r="J10111" s="14" t="e">
        <f>=Round(328462.11090000,0)</f>
        <v>#VALUE!</v>
      </c>
    </row>
    <row r="10112">
      <c r="A10112" s="11" t="s">
        <v>35</v>
      </c>
      <c r="B10112" s="12">
        <v>999.834</v>
      </c>
      <c r="C10112" s="12">
        <v>0</v>
      </c>
      <c r="D10112" s="13">
        <v>0</v>
      </c>
      <c r="E10112" s="12">
        <v>0</v>
      </c>
      <c r="F10112" s="14">
        <v>0</v>
      </c>
      <c r="G10112" s="13">
        <v>120243586.1452</v>
      </c>
      <c r="H10112" s="14">
        <v>120223625709.8999</v>
      </c>
      <c r="I10112" s="14" t="e">
        <f>=Round(722655.67370000,0)</f>
        <v>#VALUE!</v>
      </c>
      <c r="J10112" s="14" t="e">
        <f>=Round(328479.52320000,0)</f>
        <v>#VALUE!</v>
      </c>
    </row>
    <row r="10113">
      <c r="A10113" s="11" t="s">
        <v>36</v>
      </c>
      <c r="B10113" s="12">
        <v>999.834</v>
      </c>
      <c r="C10113" s="12">
        <v>0</v>
      </c>
      <c r="D10113" s="13">
        <v>0</v>
      </c>
      <c r="E10113" s="12">
        <v>0</v>
      </c>
      <c r="F10113" s="14">
        <v>0</v>
      </c>
      <c r="G10113" s="13">
        <v>120243586.1452</v>
      </c>
      <c r="H10113" s="14">
        <v>120223625709.8999</v>
      </c>
      <c r="I10113" s="14" t="e">
        <f>=Round(722655.67370000,0)</f>
        <v>#VALUE!</v>
      </c>
      <c r="J10113" s="14" t="e">
        <f>=Round(328479.52320000,0)</f>
        <v>#VALUE!</v>
      </c>
    </row>
    <row r="10114">
      <c r="A10114" s="11" t="s">
        <v>37</v>
      </c>
      <c r="B10114" s="12">
        <v>1000.55</v>
      </c>
      <c r="C10114" s="12">
        <v>0</v>
      </c>
      <c r="D10114" s="13">
        <v>0</v>
      </c>
      <c r="E10114" s="12">
        <v>0</v>
      </c>
      <c r="F10114" s="14">
        <v>0</v>
      </c>
      <c r="G10114" s="13">
        <v>120243586.1452</v>
      </c>
      <c r="H10114" s="14">
        <v>120309720117.57985</v>
      </c>
      <c r="I10114" s="14" t="e">
        <f>=Round(722655.67370000,0)</f>
        <v>#VALUE!</v>
      </c>
      <c r="J10114" s="14" t="e">
        <f>=Round(328479.52320000,0)</f>
        <v>#VALUE!</v>
      </c>
    </row>
    <row r="10115">
      <c r="A10115" s="11" t="s">
        <v>38</v>
      </c>
      <c r="B10115" s="12">
        <v>1000.896</v>
      </c>
      <c r="C10115" s="12">
        <v>0</v>
      </c>
      <c r="D10115" s="13">
        <v>0</v>
      </c>
      <c r="E10115" s="12">
        <v>0</v>
      </c>
      <c r="F10115" s="14">
        <v>0</v>
      </c>
      <c r="G10115" s="13">
        <v>120243586.1452</v>
      </c>
      <c r="H10115" s="14">
        <v>120351324398.38609</v>
      </c>
      <c r="I10115" s="14" t="e">
        <f>=Round(723173.18100000,0)</f>
        <v>#VALUE!</v>
      </c>
      <c r="J10115" s="14" t="e">
        <f>=Round(328714.75360000,0)</f>
        <v>#VALUE!</v>
      </c>
    </row>
    <row r="10116">
      <c r="A10116" s="11" t="s">
        <v>39</v>
      </c>
      <c r="B10116" s="12">
        <v>1001.775</v>
      </c>
      <c r="C10116" s="12">
        <v>0</v>
      </c>
      <c r="D10116" s="13">
        <v>0</v>
      </c>
      <c r="E10116" s="12">
        <v>0</v>
      </c>
      <c r="F10116" s="14">
        <v>0</v>
      </c>
      <c r="G10116" s="13">
        <v>120243586.1452</v>
      </c>
      <c r="H10116" s="14">
        <v>120457018510.60773</v>
      </c>
      <c r="I10116" s="14" t="e">
        <f>=Round(723423.26140000,0)</f>
        <v>#VALUE!</v>
      </c>
      <c r="J10116" s="14" t="e">
        <f>=Round(328828.42640000,0)</f>
        <v>#VALUE!</v>
      </c>
    </row>
    <row r="10117">
      <c r="A10117" s="11" t="s">
        <v>40</v>
      </c>
      <c r="B10117" s="12">
        <v>1002.041</v>
      </c>
      <c r="C10117" s="12">
        <v>0</v>
      </c>
      <c r="D10117" s="13">
        <v>0</v>
      </c>
      <c r="E10117" s="12">
        <v>0</v>
      </c>
      <c r="F10117" s="14">
        <v>0</v>
      </c>
      <c r="G10117" s="13">
        <v>120243586.1452</v>
      </c>
      <c r="H10117" s="14">
        <v>120489003304.52235</v>
      </c>
      <c r="I10117" s="14" t="e">
        <f>=Round(724058.58120000,0)</f>
        <v>#VALUE!</v>
      </c>
      <c r="J10117" s="14" t="e">
        <f>=Round(329117.20780000,0)</f>
        <v>#VALUE!</v>
      </c>
    </row>
    <row r="10118">
      <c r="A10118" s="11" t="s">
        <v>41</v>
      </c>
      <c r="B10118" s="12">
        <v>1002.556</v>
      </c>
      <c r="C10118" s="12">
        <v>0</v>
      </c>
      <c r="D10118" s="13">
        <v>0</v>
      </c>
      <c r="E10118" s="12">
        <v>0</v>
      </c>
      <c r="F10118" s="14">
        <v>0</v>
      </c>
      <c r="G10118" s="13">
        <v>120243586.1452</v>
      </c>
      <c r="H10118" s="14">
        <v>120550928751.38713</v>
      </c>
      <c r="I10118" s="14" t="e">
        <f>=Round(724250.83950000,0)</f>
        <v>#VALUE!</v>
      </c>
      <c r="J10118" s="14" t="e">
        <f>=Round(329204.59790000,0)</f>
        <v>#VALUE!</v>
      </c>
    </row>
    <row r="10119">
      <c r="A10119" s="11" t="s">
        <v>42</v>
      </c>
      <c r="B10119" s="12">
        <v>1002.556</v>
      </c>
      <c r="C10119" s="12">
        <v>0</v>
      </c>
      <c r="D10119" s="13">
        <v>0</v>
      </c>
      <c r="E10119" s="12">
        <v>0</v>
      </c>
      <c r="F10119" s="14">
        <v>0</v>
      </c>
      <c r="G10119" s="13">
        <v>120243586.1452</v>
      </c>
      <c r="H10119" s="14">
        <v>120550928751.38713</v>
      </c>
      <c r="I10119" s="14" t="e">
        <f>=Round(724623.06900000,0)</f>
        <v>#VALUE!</v>
      </c>
      <c r="J10119" s="14" t="e">
        <f>=Round(329373.79290000,0)</f>
        <v>#VALUE!</v>
      </c>
    </row>
    <row r="10120">
      <c r="A10120" s="11" t="s">
        <v>43</v>
      </c>
      <c r="B10120" s="12">
        <v>1002.556</v>
      </c>
      <c r="C10120" s="12">
        <v>0</v>
      </c>
      <c r="D10120" s="13">
        <v>0</v>
      </c>
      <c r="E10120" s="12">
        <v>0</v>
      </c>
      <c r="F10120" s="14">
        <v>0</v>
      </c>
      <c r="G10120" s="13">
        <v>120243586.1452</v>
      </c>
      <c r="H10120" s="14">
        <v>120550928751.38713</v>
      </c>
      <c r="I10120" s="14" t="e">
        <f>=Round(724623.06900000,0)</f>
        <v>#VALUE!</v>
      </c>
      <c r="J10120" s="14" t="e">
        <f>=Round(329373.79290000,0)</f>
        <v>#VALUE!</v>
      </c>
    </row>
    <row r="10121">
      <c r="A10121" s="11" t="s">
        <v>44</v>
      </c>
      <c r="B10121" s="12">
        <v>1003.675</v>
      </c>
      <c r="C10121" s="12">
        <v>0</v>
      </c>
      <c r="D10121" s="13">
        <v>0</v>
      </c>
      <c r="E10121" s="12">
        <v>0</v>
      </c>
      <c r="F10121" s="14">
        <v>0</v>
      </c>
      <c r="G10121" s="13">
        <v>120243586.1452</v>
      </c>
      <c r="H10121" s="14">
        <v>120685481324.28362</v>
      </c>
      <c r="I10121" s="14" t="e">
        <f>=Round(724623.06900000,0)</f>
        <v>#VALUE!</v>
      </c>
      <c r="J10121" s="14" t="e">
        <f>=Round(329373.79290000,0)</f>
        <v>#VALUE!</v>
      </c>
    </row>
    <row r="10122">
      <c r="A10122" s="11" t="s">
        <v>45</v>
      </c>
      <c r="B10122" s="12">
        <v>1004.045</v>
      </c>
      <c r="C10122" s="12">
        <v>0</v>
      </c>
      <c r="D10122" s="13">
        <v>0</v>
      </c>
      <c r="E10122" s="12">
        <v>0</v>
      </c>
      <c r="F10122" s="14">
        <v>0</v>
      </c>
      <c r="G10122" s="13">
        <v>120243586.1452</v>
      </c>
      <c r="H10122" s="14">
        <v>120729971451.15733</v>
      </c>
      <c r="I10122" s="14" t="e">
        <f>=Round(725431.85500000,0)</f>
        <v>#VALUE!</v>
      </c>
      <c r="J10122" s="14" t="e">
        <f>=Round(329741.42250000,0)</f>
        <v>#VALUE!</v>
      </c>
    </row>
    <row r="10123">
      <c r="A10123" s="11" t="s">
        <v>46</v>
      </c>
      <c r="B10123" s="12">
        <v>1004.572</v>
      </c>
      <c r="C10123" s="12">
        <v>0</v>
      </c>
      <c r="D10123" s="13">
        <v>0</v>
      </c>
      <c r="E10123" s="12">
        <v>0</v>
      </c>
      <c r="F10123" s="14">
        <v>0</v>
      </c>
      <c r="G10123" s="13">
        <v>120243586.1452</v>
      </c>
      <c r="H10123" s="14">
        <v>120793339821.05586</v>
      </c>
      <c r="I10123" s="14" t="e">
        <f>=Round(725699.28190000,0)</f>
        <v>#VALUE!</v>
      </c>
      <c r="J10123" s="14" t="e">
        <f>=Round(329862.98010000,0)</f>
        <v>#VALUE!</v>
      </c>
    </row>
    <row r="10124">
      <c r="A10124" s="11" t="s">
        <v>47</v>
      </c>
      <c r="B10124" s="12">
        <v>1004.679</v>
      </c>
      <c r="C10124" s="12">
        <v>0</v>
      </c>
      <c r="D10124" s="13">
        <v>0</v>
      </c>
      <c r="E10124" s="12">
        <v>0</v>
      </c>
      <c r="F10124" s="14">
        <v>0</v>
      </c>
      <c r="G10124" s="13">
        <v>120243586.1452</v>
      </c>
      <c r="H10124" s="14">
        <v>120806205884.77339</v>
      </c>
      <c r="I10124" s="14" t="e">
        <f>=Round(726080.18470000,0)</f>
        <v>#VALUE!</v>
      </c>
      <c r="J10124" s="14" t="e">
        <f>=Round(330036.11760000,0)</f>
        <v>#VALUE!</v>
      </c>
    </row>
    <row r="10125">
      <c r="A10125" s="11" t="s">
        <v>48</v>
      </c>
      <c r="B10125" s="12">
        <v>1005.083</v>
      </c>
      <c r="C10125" s="12">
        <v>0</v>
      </c>
      <c r="D10125" s="13">
        <v>0</v>
      </c>
      <c r="E10125" s="12">
        <v>0</v>
      </c>
      <c r="F10125" s="14">
        <v>0</v>
      </c>
      <c r="G10125" s="13">
        <v>120243586.1452</v>
      </c>
      <c r="H10125" s="14">
        <v>120854784293.57605</v>
      </c>
      <c r="I10125" s="14" t="e">
        <f>=Round(726157.52170000,0)</f>
        <v>#VALUE!</v>
      </c>
      <c r="J10125" s="14" t="e">
        <f>=Round(330071.27070000,0)</f>
        <v>#VALUE!</v>
      </c>
    </row>
    <row r="10126">
      <c r="A10126" s="11" t="s">
        <v>49</v>
      </c>
      <c r="B10126" s="12">
        <v>1005.083</v>
      </c>
      <c r="C10126" s="12">
        <v>0</v>
      </c>
      <c r="D10126" s="13">
        <v>0</v>
      </c>
      <c r="E10126" s="12">
        <v>0</v>
      </c>
      <c r="F10126" s="14">
        <v>0</v>
      </c>
      <c r="G10126" s="13">
        <v>120243586.1452</v>
      </c>
      <c r="H10126" s="14">
        <v>120854784293.57605</v>
      </c>
      <c r="I10126" s="14" t="e">
        <f>=Round(726449.52310000,0)</f>
        <v>#VALUE!</v>
      </c>
      <c r="J10126" s="14" t="e">
        <f>=Round(330203.99850000,0)</f>
        <v>#VALUE!</v>
      </c>
    </row>
    <row r="10127">
      <c r="A10127" s="11" t="s">
        <v>50</v>
      </c>
      <c r="B10127" s="12">
        <v>1005.083</v>
      </c>
      <c r="C10127" s="12">
        <v>0</v>
      </c>
      <c r="D10127" s="13">
        <v>0</v>
      </c>
      <c r="E10127" s="12">
        <v>0</v>
      </c>
      <c r="F10127" s="14">
        <v>0</v>
      </c>
      <c r="G10127" s="13">
        <v>120243586.1452</v>
      </c>
      <c r="H10127" s="14">
        <v>120854784293.57605</v>
      </c>
      <c r="I10127" s="14" t="e">
        <f>=Round(726449.52310000,0)</f>
        <v>#VALUE!</v>
      </c>
      <c r="J10127" s="14" t="e">
        <f>=Round(330203.99850000,0)</f>
        <v>#VALUE!</v>
      </c>
    </row>
    <row r="10128">
      <c r="A10128" s="11" t="s">
        <v>51</v>
      </c>
      <c r="B10128" s="12">
        <v>1005.927</v>
      </c>
      <c r="C10128" s="12">
        <v>0</v>
      </c>
      <c r="D10128" s="13">
        <v>0</v>
      </c>
      <c r="E10128" s="12">
        <v>0</v>
      </c>
      <c r="F10128" s="14">
        <v>0</v>
      </c>
      <c r="G10128" s="13">
        <v>120243586.1452</v>
      </c>
      <c r="H10128" s="14">
        <v>120956269880.28259</v>
      </c>
      <c r="I10128" s="14" t="e">
        <f>=Round(726449.52310000,0)</f>
        <v>#VALUE!</v>
      </c>
      <c r="J10128" s="14" t="e">
        <f>=Round(330203.99850000,0)</f>
        <v>#VALUE!</v>
      </c>
    </row>
    <row r="10129">
      <c r="A10129" s="11" t="s">
        <v>52</v>
      </c>
      <c r="B10129" s="12">
        <v>1006.206</v>
      </c>
      <c r="C10129" s="12">
        <v>0</v>
      </c>
      <c r="D10129" s="13">
        <v>0</v>
      </c>
      <c r="E10129" s="12">
        <v>0</v>
      </c>
      <c r="F10129" s="14">
        <v>0</v>
      </c>
      <c r="G10129" s="13">
        <v>120243586.1452</v>
      </c>
      <c r="H10129" s="14">
        <v>120989817840.81711</v>
      </c>
      <c r="I10129" s="14" t="e">
        <f>=Round(727059.54570000,0)</f>
        <v>#VALUE!</v>
      </c>
      <c r="J10129" s="14" t="e">
        <f>=Round(330481.28120000,0)</f>
        <v>#VALUE!</v>
      </c>
    </row>
    <row r="10130">
      <c r="A10130" s="11" t="s">
        <v>53</v>
      </c>
      <c r="B10130" s="12">
        <v>1006.364</v>
      </c>
      <c r="C10130" s="12">
        <v>0</v>
      </c>
      <c r="D10130" s="13">
        <v>0</v>
      </c>
      <c r="E10130" s="12">
        <v>0</v>
      </c>
      <c r="F10130" s="14">
        <v>0</v>
      </c>
      <c r="G10130" s="13">
        <v>120243586.1452</v>
      </c>
      <c r="H10130" s="14">
        <v>121008816327.42806</v>
      </c>
      <c r="I10130" s="14" t="e">
        <f>=Round(727261.20010000,0)</f>
        <v>#VALUE!</v>
      </c>
      <c r="J10130" s="14" t="e">
        <f>=Round(330572.94220000,0)</f>
        <v>#VALUE!</v>
      </c>
    </row>
    <row r="10131">
      <c r="A10131" s="11" t="s">
        <v>54</v>
      </c>
      <c r="B10131" s="12">
        <v>1006.711</v>
      </c>
      <c r="C10131" s="12">
        <v>0</v>
      </c>
      <c r="D10131" s="13">
        <v>0</v>
      </c>
      <c r="E10131" s="12">
        <v>0</v>
      </c>
      <c r="F10131" s="14">
        <v>0</v>
      </c>
      <c r="G10131" s="13">
        <v>120243586.1452</v>
      </c>
      <c r="H10131" s="14">
        <v>121050540851.82044</v>
      </c>
      <c r="I10131" s="14" t="e">
        <f>=Round(727375.39870000,0)</f>
        <v>#VALUE!</v>
      </c>
      <c r="J10131" s="14" t="e">
        <f>=Round(330624.85060000,0)</f>
        <v>#VALUE!</v>
      </c>
    </row>
    <row r="10132">
      <c r="A10132" s="11" t="s">
        <v>55</v>
      </c>
      <c r="B10132" s="12">
        <v>1006.355</v>
      </c>
      <c r="C10132" s="12">
        <v>0</v>
      </c>
      <c r="D10132" s="13">
        <v>0</v>
      </c>
      <c r="E10132" s="12">
        <v>0</v>
      </c>
      <c r="F10132" s="14">
        <v>0</v>
      </c>
      <c r="G10132" s="13">
        <v>120243586.1452</v>
      </c>
      <c r="H10132" s="14">
        <v>121007734135.15276</v>
      </c>
      <c r="I10132" s="14" t="e">
        <f>=Round(727626.20180000,0)</f>
        <v>#VALUE!</v>
      </c>
      <c r="J10132" s="14" t="e">
        <f>=Round(330738.85190000,0)</f>
        <v>#VALUE!</v>
      </c>
    </row>
    <row r="10133" ht="-1">
      <c r="A10133" s="15"/>
      <c r="B10133" s="16" t="s">
        <v>56</v>
      </c>
      <c r="C10133" s="15"/>
      <c r="D10133" s="15"/>
      <c r="E10133" s="15"/>
      <c r="F10133" s="15"/>
      <c r="G10133" s="15"/>
      <c r="H10133" s="15"/>
      <c r="I10133" s="17" t="e">
        <f>=Round(SUM(I10107:I10132),0)</f>
        <v>#VALUE!</v>
      </c>
      <c r="J10133" s="17" t="e">
        <f>=Round(SUM(J10107:J10132),0)</f>
        <v>#VALUE!</v>
      </c>
    </row>
    <row r="10134">
      <c r="A10134" s="1" t="s">
        <v>0</v>
      </c>
      <c r="B10134" s="1"/>
      <c r="C10134" s="1"/>
      <c r="D10134" s="1"/>
    </row>
    <row r="10135">
      <c r="A10135" s="0" t="s">
        <v>1</v>
      </c>
      <c r="C10135" s="0" t="s">
        <v>354</v>
      </c>
      <c r="H10135" s="2" t="s">
        <v>3</v>
      </c>
    </row>
    <row r="10136">
      <c r="A10136" s="0" t="s">
        <v>4</v>
      </c>
      <c r="C10136" s="0" t="s">
        <v>355</v>
      </c>
      <c r="H10136" s="3" t="s">
        <v>6</v>
      </c>
    </row>
    <row r="10137">
      <c r="A10137" s="0" t="s">
        <v>7</v>
      </c>
      <c r="C10137" s="4" t="s">
        <v>219</v>
      </c>
      <c r="H10137" s="2" t="s">
        <v>9</v>
      </c>
    </row>
    <row r="10138">
      <c r="A10138" s="0" t="s">
        <v>10</v>
      </c>
      <c r="C10138" s="4" t="s">
        <v>11</v>
      </c>
      <c r="H10138" s="2" t="s">
        <v>12</v>
      </c>
    </row>
    <row r="10139">
      <c r="A10139" s="0" t="s">
        <v>13</v>
      </c>
      <c r="C10139" s="0" t="s">
        <v>14</v>
      </c>
    </row>
    <row r="10140">
      <c r="A10140" s="0" t="s">
        <v>15</v>
      </c>
      <c r="C10140" s="0" t="s">
        <v>16</v>
      </c>
    </row>
    <row r="10141">
      <c r="A10141" s="0" t="s">
        <v>17</v>
      </c>
      <c r="C10141" s="0" t="s">
        <v>18</v>
      </c>
    </row>
    <row r="10144">
      <c r="A10144" s="5" t="s">
        <v>19</v>
      </c>
      <c r="B10144" s="5" t="s">
        <v>20</v>
      </c>
      <c r="C10144" s="7" t="s">
        <v>21</v>
      </c>
      <c r="D10144" s="9"/>
      <c r="E10144" s="7" t="s">
        <v>22</v>
      </c>
      <c r="F10144" s="9"/>
      <c r="G10144" s="5" t="s">
        <v>23</v>
      </c>
      <c r="H10144" s="5" t="s">
        <v>24</v>
      </c>
      <c r="I10144" s="5" t="s">
        <v>220</v>
      </c>
      <c r="J10144" s="5" t="s">
        <v>26</v>
      </c>
    </row>
    <row r="10145">
      <c r="A10145" s="6"/>
      <c r="B10145" s="6"/>
      <c r="C10145" s="8" t="s">
        <v>27</v>
      </c>
      <c r="D10145" s="8" t="s">
        <v>28</v>
      </c>
      <c r="E10145" s="8" t="s">
        <v>27</v>
      </c>
      <c r="F10145" s="8" t="s">
        <v>28</v>
      </c>
      <c r="G10145" s="6"/>
      <c r="H10145" s="6"/>
      <c r="I10145" s="10" t="s">
        <v>29</v>
      </c>
      <c r="J10145" s="6"/>
    </row>
    <row r="10146">
      <c r="A10146" s="11" t="s">
        <v>30</v>
      </c>
      <c r="B10146" s="12">
        <v>817.1218</v>
      </c>
      <c r="C10146" s="12">
        <v>0</v>
      </c>
      <c r="D10146" s="13">
        <v>0</v>
      </c>
      <c r="E10146" s="12">
        <v>0</v>
      </c>
      <c r="F10146" s="14">
        <v>0</v>
      </c>
      <c r="G10146" s="13">
        <v>230.8176</v>
      </c>
      <c r="H10146" s="14">
        <v>188606.092784</v>
      </c>
      <c r="I10146" s="14" t="e">
        <f>=Round(8.68340000,0)</f>
        <v>#VALUE!</v>
      </c>
      <c r="J10146" s="14" t="e">
        <f>=Round(0.00000000,0)</f>
        <v>#VALUE!</v>
      </c>
    </row>
    <row r="10147">
      <c r="A10147" s="11" t="s">
        <v>31</v>
      </c>
      <c r="B10147" s="12">
        <v>804.256</v>
      </c>
      <c r="C10147" s="12">
        <v>0</v>
      </c>
      <c r="D10147" s="13">
        <v>0</v>
      </c>
      <c r="E10147" s="12">
        <v>0</v>
      </c>
      <c r="F10147" s="14">
        <v>0</v>
      </c>
      <c r="G10147" s="13">
        <v>230.8176</v>
      </c>
      <c r="H10147" s="14">
        <v>185636.439706</v>
      </c>
      <c r="I10147" s="14" t="e">
        <f>=Round(8.50270000,0)</f>
        <v>#VALUE!</v>
      </c>
      <c r="J10147" s="14" t="e">
        <f>=Round(0.00000000,0)</f>
        <v>#VALUE!</v>
      </c>
    </row>
    <row r="10148">
      <c r="A10148" s="11" t="s">
        <v>32</v>
      </c>
      <c r="B10148" s="12">
        <v>795.4116</v>
      </c>
      <c r="C10148" s="12">
        <v>0</v>
      </c>
      <c r="D10148" s="13">
        <v>0</v>
      </c>
      <c r="E10148" s="12">
        <v>0</v>
      </c>
      <c r="F10148" s="14">
        <v>0</v>
      </c>
      <c r="G10148" s="13">
        <v>230.8176</v>
      </c>
      <c r="H10148" s="14">
        <v>183594.996524</v>
      </c>
      <c r="I10148" s="14" t="e">
        <f>=Round(8.36890000,0)</f>
        <v>#VALUE!</v>
      </c>
      <c r="J10148" s="14" t="e">
        <f>=Round(0.00000000,0)</f>
        <v>#VALUE!</v>
      </c>
    </row>
    <row r="10149">
      <c r="A10149" s="11" t="s">
        <v>33</v>
      </c>
      <c r="B10149" s="12">
        <v>796.8627</v>
      </c>
      <c r="C10149" s="12">
        <v>0</v>
      </c>
      <c r="D10149" s="13">
        <v>0</v>
      </c>
      <c r="E10149" s="12">
        <v>0</v>
      </c>
      <c r="F10149" s="14">
        <v>0</v>
      </c>
      <c r="G10149" s="13">
        <v>230.8176</v>
      </c>
      <c r="H10149" s="14">
        <v>183929.935944</v>
      </c>
      <c r="I10149" s="14" t="e">
        <f>=Round(8.27680000,0)</f>
        <v>#VALUE!</v>
      </c>
      <c r="J10149" s="14" t="e">
        <f>=Round(0.00000000,0)</f>
        <v>#VALUE!</v>
      </c>
    </row>
    <row r="10150">
      <c r="A10150" s="11" t="s">
        <v>34</v>
      </c>
      <c r="B10150" s="12">
        <v>813.7962</v>
      </c>
      <c r="C10150" s="12">
        <v>0</v>
      </c>
      <c r="D10150" s="13">
        <v>0</v>
      </c>
      <c r="E10150" s="12">
        <v>0</v>
      </c>
      <c r="F10150" s="14">
        <v>0</v>
      </c>
      <c r="G10150" s="13">
        <v>230.8176</v>
      </c>
      <c r="H10150" s="14">
        <v>187838.485773</v>
      </c>
      <c r="I10150" s="14" t="e">
        <f>=Round(8.29190000,0)</f>
        <v>#VALUE!</v>
      </c>
      <c r="J10150" s="14" t="e">
        <f>=Round(0.00000000,0)</f>
        <v>#VALUE!</v>
      </c>
    </row>
    <row r="10151">
      <c r="A10151" s="11" t="s">
        <v>35</v>
      </c>
      <c r="B10151" s="12">
        <v>813.7962</v>
      </c>
      <c r="C10151" s="12">
        <v>0</v>
      </c>
      <c r="D10151" s="13">
        <v>0</v>
      </c>
      <c r="E10151" s="12">
        <v>0</v>
      </c>
      <c r="F10151" s="14">
        <v>0</v>
      </c>
      <c r="G10151" s="13">
        <v>230.8176</v>
      </c>
      <c r="H10151" s="14">
        <v>187838.485773</v>
      </c>
      <c r="I10151" s="14" t="e">
        <f>=Round(8.46810000,0)</f>
        <v>#VALUE!</v>
      </c>
      <c r="J10151" s="14" t="e">
        <f>=Round(0.00000000,0)</f>
        <v>#VALUE!</v>
      </c>
    </row>
    <row r="10152">
      <c r="A10152" s="11" t="s">
        <v>36</v>
      </c>
      <c r="B10152" s="12">
        <v>813.7962</v>
      </c>
      <c r="C10152" s="12">
        <v>0</v>
      </c>
      <c r="D10152" s="13">
        <v>0</v>
      </c>
      <c r="E10152" s="12">
        <v>0</v>
      </c>
      <c r="F10152" s="14">
        <v>0</v>
      </c>
      <c r="G10152" s="13">
        <v>230.8176</v>
      </c>
      <c r="H10152" s="14">
        <v>187838.485773</v>
      </c>
      <c r="I10152" s="14" t="e">
        <f>=Round(8.46810000,0)</f>
        <v>#VALUE!</v>
      </c>
      <c r="J10152" s="14" t="e">
        <f>=Round(0.00000000,0)</f>
        <v>#VALUE!</v>
      </c>
    </row>
    <row r="10153">
      <c r="A10153" s="11" t="s">
        <v>37</v>
      </c>
      <c r="B10153" s="12">
        <v>800.4415</v>
      </c>
      <c r="C10153" s="12">
        <v>0</v>
      </c>
      <c r="D10153" s="13">
        <v>0</v>
      </c>
      <c r="E10153" s="12">
        <v>0</v>
      </c>
      <c r="F10153" s="14">
        <v>0</v>
      </c>
      <c r="G10153" s="13">
        <v>230.8176</v>
      </c>
      <c r="H10153" s="14">
        <v>184755.98597</v>
      </c>
      <c r="I10153" s="14" t="e">
        <f>=Round(8.46810000,0)</f>
        <v>#VALUE!</v>
      </c>
      <c r="J10153" s="14" t="e">
        <f>=Round(0.00000000,0)</f>
        <v>#VALUE!</v>
      </c>
    </row>
    <row r="10154">
      <c r="A10154" s="11" t="s">
        <v>38</v>
      </c>
      <c r="B10154" s="12">
        <v>800.3099</v>
      </c>
      <c r="C10154" s="12">
        <v>0</v>
      </c>
      <c r="D10154" s="13">
        <v>0</v>
      </c>
      <c r="E10154" s="12">
        <v>0</v>
      </c>
      <c r="F10154" s="14">
        <v>0</v>
      </c>
      <c r="G10154" s="13">
        <v>230.8176</v>
      </c>
      <c r="H10154" s="14">
        <v>184725.610374</v>
      </c>
      <c r="I10154" s="14" t="e">
        <f>=Round(8.32920000,0)</f>
        <v>#VALUE!</v>
      </c>
      <c r="J10154" s="14" t="e">
        <f>=Round(0.00000000,0)</f>
        <v>#VALUE!</v>
      </c>
    </row>
    <row r="10155">
      <c r="A10155" s="11" t="s">
        <v>39</v>
      </c>
      <c r="B10155" s="12">
        <v>788.3197</v>
      </c>
      <c r="C10155" s="12">
        <v>0</v>
      </c>
      <c r="D10155" s="13">
        <v>0</v>
      </c>
      <c r="E10155" s="12">
        <v>0</v>
      </c>
      <c r="F10155" s="14">
        <v>0</v>
      </c>
      <c r="G10155" s="13">
        <v>230.8176</v>
      </c>
      <c r="H10155" s="14">
        <v>181958.061187</v>
      </c>
      <c r="I10155" s="14" t="e">
        <f>=Round(8.32780000,0)</f>
        <v>#VALUE!</v>
      </c>
      <c r="J10155" s="14" t="e">
        <f>=Round(0.00000000,0)</f>
        <v>#VALUE!</v>
      </c>
    </row>
    <row r="10156">
      <c r="A10156" s="11" t="s">
        <v>40</v>
      </c>
      <c r="B10156" s="12">
        <v>767.5103</v>
      </c>
      <c r="C10156" s="12">
        <v>0</v>
      </c>
      <c r="D10156" s="13">
        <v>0</v>
      </c>
      <c r="E10156" s="12">
        <v>0</v>
      </c>
      <c r="F10156" s="14">
        <v>0</v>
      </c>
      <c r="G10156" s="13">
        <v>230.8176</v>
      </c>
      <c r="H10156" s="14">
        <v>177154.885421</v>
      </c>
      <c r="I10156" s="14" t="e">
        <f>=Round(8.20300000,0)</f>
        <v>#VALUE!</v>
      </c>
      <c r="J10156" s="14" t="e">
        <f>=Round(0.00000000,0)</f>
        <v>#VALUE!</v>
      </c>
    </row>
    <row r="10157">
      <c r="A10157" s="11" t="s">
        <v>41</v>
      </c>
      <c r="B10157" s="12">
        <v>753.8547</v>
      </c>
      <c r="C10157" s="12">
        <v>0</v>
      </c>
      <c r="D10157" s="13">
        <v>0</v>
      </c>
      <c r="E10157" s="12">
        <v>0</v>
      </c>
      <c r="F10157" s="14">
        <v>0</v>
      </c>
      <c r="G10157" s="13">
        <v>230.8176</v>
      </c>
      <c r="H10157" s="14">
        <v>174002.932603</v>
      </c>
      <c r="I10157" s="14" t="e">
        <f>=Round(7.98650000,0)</f>
        <v>#VALUE!</v>
      </c>
      <c r="J10157" s="14" t="e">
        <f>=Round(0.00000000,0)</f>
        <v>#VALUE!</v>
      </c>
    </row>
    <row r="10158">
      <c r="A10158" s="11" t="s">
        <v>42</v>
      </c>
      <c r="B10158" s="12">
        <v>753.8547</v>
      </c>
      <c r="C10158" s="12">
        <v>0</v>
      </c>
      <c r="D10158" s="13">
        <v>0</v>
      </c>
      <c r="E10158" s="12">
        <v>0</v>
      </c>
      <c r="F10158" s="14">
        <v>0</v>
      </c>
      <c r="G10158" s="13">
        <v>230.8176</v>
      </c>
      <c r="H10158" s="14">
        <v>174002.932603</v>
      </c>
      <c r="I10158" s="14" t="e">
        <f>=Round(7.84440000,0)</f>
        <v>#VALUE!</v>
      </c>
      <c r="J10158" s="14" t="e">
        <f>=Round(0.00000000,0)</f>
        <v>#VALUE!</v>
      </c>
    </row>
    <row r="10159">
      <c r="A10159" s="11" t="s">
        <v>43</v>
      </c>
      <c r="B10159" s="12">
        <v>753.8547</v>
      </c>
      <c r="C10159" s="12">
        <v>0</v>
      </c>
      <c r="D10159" s="13">
        <v>0</v>
      </c>
      <c r="E10159" s="12">
        <v>0</v>
      </c>
      <c r="F10159" s="14">
        <v>0</v>
      </c>
      <c r="G10159" s="13">
        <v>230.8176</v>
      </c>
      <c r="H10159" s="14">
        <v>174002.932603</v>
      </c>
      <c r="I10159" s="14" t="e">
        <f>=Round(7.84440000,0)</f>
        <v>#VALUE!</v>
      </c>
      <c r="J10159" s="14" t="e">
        <f>=Round(0.00000000,0)</f>
        <v>#VALUE!</v>
      </c>
    </row>
    <row r="10160">
      <c r="A10160" s="11" t="s">
        <v>44</v>
      </c>
      <c r="B10160" s="12">
        <v>727.6631</v>
      </c>
      <c r="C10160" s="12">
        <v>0</v>
      </c>
      <c r="D10160" s="13">
        <v>0</v>
      </c>
      <c r="E10160" s="12">
        <v>0</v>
      </c>
      <c r="F10160" s="14">
        <v>0</v>
      </c>
      <c r="G10160" s="13">
        <v>230.8176</v>
      </c>
      <c r="H10160" s="14">
        <v>167957.450351</v>
      </c>
      <c r="I10160" s="14" t="e">
        <f>=Round(7.84440000,0)</f>
        <v>#VALUE!</v>
      </c>
      <c r="J10160" s="14" t="e">
        <f>=Round(0.00000000,0)</f>
        <v>#VALUE!</v>
      </c>
    </row>
    <row r="10161">
      <c r="A10161" s="11" t="s">
        <v>45</v>
      </c>
      <c r="B10161" s="12">
        <v>759.8876</v>
      </c>
      <c r="C10161" s="12">
        <v>0</v>
      </c>
      <c r="D10161" s="13">
        <v>0</v>
      </c>
      <c r="E10161" s="12">
        <v>0</v>
      </c>
      <c r="F10161" s="14">
        <v>0</v>
      </c>
      <c r="G10161" s="13">
        <v>230.8176</v>
      </c>
      <c r="H10161" s="14">
        <v>175395.432102</v>
      </c>
      <c r="I10161" s="14" t="e">
        <f>=Round(7.57190000,0)</f>
        <v>#VALUE!</v>
      </c>
      <c r="J10161" s="14" t="e">
        <f>=Round(0.00000000,0)</f>
        <v>#VALUE!</v>
      </c>
    </row>
    <row r="10162">
      <c r="A10162" s="11" t="s">
        <v>46</v>
      </c>
      <c r="B10162" s="12">
        <v>777.7063</v>
      </c>
      <c r="C10162" s="12">
        <v>0</v>
      </c>
      <c r="D10162" s="13">
        <v>0</v>
      </c>
      <c r="E10162" s="12">
        <v>0</v>
      </c>
      <c r="F10162" s="14">
        <v>0</v>
      </c>
      <c r="G10162" s="13">
        <v>230.8176</v>
      </c>
      <c r="H10162" s="14">
        <v>179508.301671</v>
      </c>
      <c r="I10162" s="14" t="e">
        <f>=Round(7.90720000,0)</f>
        <v>#VALUE!</v>
      </c>
      <c r="J10162" s="14" t="e">
        <f>=Round(0.00000000,0)</f>
        <v>#VALUE!</v>
      </c>
    </row>
    <row r="10163">
      <c r="A10163" s="11" t="s">
        <v>47</v>
      </c>
      <c r="B10163" s="12">
        <v>805.2169</v>
      </c>
      <c r="C10163" s="12">
        <v>0</v>
      </c>
      <c r="D10163" s="13">
        <v>0</v>
      </c>
      <c r="E10163" s="12">
        <v>0</v>
      </c>
      <c r="F10163" s="14">
        <v>0</v>
      </c>
      <c r="G10163" s="13">
        <v>230.8176</v>
      </c>
      <c r="H10163" s="14">
        <v>185858.232337</v>
      </c>
      <c r="I10163" s="14" t="e">
        <f>=Round(8.09260000,0)</f>
        <v>#VALUE!</v>
      </c>
      <c r="J10163" s="14" t="e">
        <f>=Round(0.00000000,0)</f>
        <v>#VALUE!</v>
      </c>
    </row>
    <row r="10164">
      <c r="A10164" s="11" t="s">
        <v>48</v>
      </c>
      <c r="B10164" s="12">
        <v>819.447</v>
      </c>
      <c r="C10164" s="12">
        <v>0</v>
      </c>
      <c r="D10164" s="13">
        <v>0</v>
      </c>
      <c r="E10164" s="12">
        <v>0</v>
      </c>
      <c r="F10164" s="14">
        <v>0</v>
      </c>
      <c r="G10164" s="13">
        <v>230.8176</v>
      </c>
      <c r="H10164" s="14">
        <v>189142.789867</v>
      </c>
      <c r="I10164" s="14" t="e">
        <f>=Round(8.37890000,0)</f>
        <v>#VALUE!</v>
      </c>
      <c r="J10164" s="14" t="e">
        <f>=Round(0.00000000,0)</f>
        <v>#VALUE!</v>
      </c>
    </row>
    <row r="10165">
      <c r="A10165" s="11" t="s">
        <v>49</v>
      </c>
      <c r="B10165" s="12">
        <v>819.447</v>
      </c>
      <c r="C10165" s="12">
        <v>0</v>
      </c>
      <c r="D10165" s="13">
        <v>0</v>
      </c>
      <c r="E10165" s="12">
        <v>0</v>
      </c>
      <c r="F10165" s="14">
        <v>0</v>
      </c>
      <c r="G10165" s="13">
        <v>230.8176</v>
      </c>
      <c r="H10165" s="14">
        <v>189142.789867</v>
      </c>
      <c r="I10165" s="14" t="e">
        <f>=Round(8.52690000,0)</f>
        <v>#VALUE!</v>
      </c>
      <c r="J10165" s="14" t="e">
        <f>=Round(0.00000000,0)</f>
        <v>#VALUE!</v>
      </c>
    </row>
    <row r="10166">
      <c r="A10166" s="11" t="s">
        <v>50</v>
      </c>
      <c r="B10166" s="12">
        <v>819.447</v>
      </c>
      <c r="C10166" s="12">
        <v>0</v>
      </c>
      <c r="D10166" s="13">
        <v>0</v>
      </c>
      <c r="E10166" s="12">
        <v>0</v>
      </c>
      <c r="F10166" s="14">
        <v>0</v>
      </c>
      <c r="G10166" s="13">
        <v>230.8176</v>
      </c>
      <c r="H10166" s="14">
        <v>189142.789867</v>
      </c>
      <c r="I10166" s="14" t="e">
        <f>=Round(8.52690000,0)</f>
        <v>#VALUE!</v>
      </c>
      <c r="J10166" s="14" t="e">
        <f>=Round(0.00000000,0)</f>
        <v>#VALUE!</v>
      </c>
    </row>
    <row r="10167">
      <c r="A10167" s="11" t="s">
        <v>51</v>
      </c>
      <c r="B10167" s="12">
        <v>859.2617</v>
      </c>
      <c r="C10167" s="12">
        <v>0</v>
      </c>
      <c r="D10167" s="13">
        <v>0</v>
      </c>
      <c r="E10167" s="12">
        <v>0</v>
      </c>
      <c r="F10167" s="14">
        <v>0</v>
      </c>
      <c r="G10167" s="13">
        <v>230.8176</v>
      </c>
      <c r="H10167" s="14">
        <v>198332.723366</v>
      </c>
      <c r="I10167" s="14" t="e">
        <f>=Round(8.52690000,0)</f>
        <v>#VALUE!</v>
      </c>
      <c r="J10167" s="14" t="e">
        <f>=Round(0.00000000,0)</f>
        <v>#VALUE!</v>
      </c>
    </row>
    <row r="10168">
      <c r="A10168" s="11" t="s">
        <v>52</v>
      </c>
      <c r="B10168" s="12">
        <v>903.6329</v>
      </c>
      <c r="C10168" s="12">
        <v>0</v>
      </c>
      <c r="D10168" s="13">
        <v>0</v>
      </c>
      <c r="E10168" s="12">
        <v>0</v>
      </c>
      <c r="F10168" s="14">
        <v>0</v>
      </c>
      <c r="G10168" s="13">
        <v>230.8176</v>
      </c>
      <c r="H10168" s="14">
        <v>208574.377259</v>
      </c>
      <c r="I10168" s="14" t="e">
        <f>=Round(8.94120000,0)</f>
        <v>#VALUE!</v>
      </c>
      <c r="J10168" s="14" t="e">
        <f>=Round(0.00000000,0)</f>
        <v>#VALUE!</v>
      </c>
    </row>
    <row r="10169">
      <c r="A10169" s="11" t="s">
        <v>53</v>
      </c>
      <c r="B10169" s="12">
        <v>865.5295</v>
      </c>
      <c r="C10169" s="12">
        <v>0</v>
      </c>
      <c r="D10169" s="13">
        <v>0</v>
      </c>
      <c r="E10169" s="12">
        <v>0</v>
      </c>
      <c r="F10169" s="14">
        <v>0</v>
      </c>
      <c r="G10169" s="13">
        <v>230.8176</v>
      </c>
      <c r="H10169" s="14">
        <v>199779.441919</v>
      </c>
      <c r="I10169" s="14" t="e">
        <f>=Round(9.40290000,0)</f>
        <v>#VALUE!</v>
      </c>
      <c r="J10169" s="14" t="e">
        <f>=Round(0.00000000,0)</f>
        <v>#VALUE!</v>
      </c>
    </row>
    <row r="10170">
      <c r="A10170" s="11" t="s">
        <v>54</v>
      </c>
      <c r="B10170" s="12">
        <v>866.0858</v>
      </c>
      <c r="C10170" s="12">
        <v>0</v>
      </c>
      <c r="D10170" s="13">
        <v>0</v>
      </c>
      <c r="E10170" s="12">
        <v>0</v>
      </c>
      <c r="F10170" s="14">
        <v>0</v>
      </c>
      <c r="G10170" s="13">
        <v>230.8176</v>
      </c>
      <c r="H10170" s="14">
        <v>199907.84575</v>
      </c>
      <c r="I10170" s="14" t="e">
        <f>=Round(9.00650000,0)</f>
        <v>#VALUE!</v>
      </c>
      <c r="J10170" s="14" t="e">
        <f>=Round(0.00000000,0)</f>
        <v>#VALUE!</v>
      </c>
    </row>
    <row r="10171">
      <c r="A10171" s="11" t="s">
        <v>55</v>
      </c>
      <c r="B10171" s="12">
        <v>845.204</v>
      </c>
      <c r="C10171" s="12">
        <v>0</v>
      </c>
      <c r="D10171" s="13">
        <v>0</v>
      </c>
      <c r="E10171" s="12">
        <v>0</v>
      </c>
      <c r="F10171" s="14">
        <v>0</v>
      </c>
      <c r="G10171" s="13">
        <v>230.8176</v>
      </c>
      <c r="H10171" s="14">
        <v>195087.95879</v>
      </c>
      <c r="I10171" s="14" t="e">
        <f>=Round(9.01220000,0)</f>
        <v>#VALUE!</v>
      </c>
      <c r="J10171" s="14" t="e">
        <f>=Round(0.00000000,0)</f>
        <v>#VALUE!</v>
      </c>
    </row>
    <row r="10172" ht="-1">
      <c r="A10172" s="15"/>
      <c r="B10172" s="16" t="s">
        <v>56</v>
      </c>
      <c r="C10172" s="15"/>
      <c r="D10172" s="15"/>
      <c r="E10172" s="15"/>
      <c r="F10172" s="15"/>
      <c r="G10172" s="15"/>
      <c r="H10172" s="15"/>
      <c r="I10172" s="17" t="e">
        <f>=Round(SUM(I10146:I10171),0)</f>
        <v>#VALUE!</v>
      </c>
      <c r="J10172" s="17" t="e">
        <f>=Round(SUM(J10146:J10171),0)</f>
        <v>#VALUE!</v>
      </c>
    </row>
    <row r="10173">
      <c r="A10173" s="1" t="s">
        <v>0</v>
      </c>
      <c r="B10173" s="1"/>
      <c r="C10173" s="1"/>
      <c r="D10173" s="1"/>
    </row>
    <row r="10174">
      <c r="A10174" s="0" t="s">
        <v>1</v>
      </c>
      <c r="C10174" s="0" t="s">
        <v>354</v>
      </c>
      <c r="H10174" s="2" t="s">
        <v>3</v>
      </c>
    </row>
    <row r="10175">
      <c r="A10175" s="0" t="s">
        <v>4</v>
      </c>
      <c r="C10175" s="0" t="s">
        <v>356</v>
      </c>
      <c r="H10175" s="3" t="s">
        <v>6</v>
      </c>
    </row>
    <row r="10176">
      <c r="A10176" s="0" t="s">
        <v>7</v>
      </c>
      <c r="C10176" s="4" t="s">
        <v>219</v>
      </c>
      <c r="H10176" s="2" t="s">
        <v>9</v>
      </c>
    </row>
    <row r="10177">
      <c r="A10177" s="0" t="s">
        <v>10</v>
      </c>
      <c r="C10177" s="4" t="s">
        <v>11</v>
      </c>
      <c r="H10177" s="2" t="s">
        <v>12</v>
      </c>
    </row>
    <row r="10178">
      <c r="A10178" s="0" t="s">
        <v>13</v>
      </c>
      <c r="C10178" s="0" t="s">
        <v>14</v>
      </c>
    </row>
    <row r="10179">
      <c r="A10179" s="0" t="s">
        <v>15</v>
      </c>
      <c r="C10179" s="0" t="s">
        <v>16</v>
      </c>
    </row>
    <row r="10180">
      <c r="A10180" s="0" t="s">
        <v>17</v>
      </c>
      <c r="C10180" s="0" t="s">
        <v>18</v>
      </c>
    </row>
    <row r="10183">
      <c r="A10183" s="5" t="s">
        <v>19</v>
      </c>
      <c r="B10183" s="5" t="s">
        <v>20</v>
      </c>
      <c r="C10183" s="7" t="s">
        <v>21</v>
      </c>
      <c r="D10183" s="9"/>
      <c r="E10183" s="7" t="s">
        <v>22</v>
      </c>
      <c r="F10183" s="9"/>
      <c r="G10183" s="5" t="s">
        <v>23</v>
      </c>
      <c r="H10183" s="5" t="s">
        <v>24</v>
      </c>
      <c r="I10183" s="5" t="s">
        <v>220</v>
      </c>
      <c r="J10183" s="5" t="s">
        <v>26</v>
      </c>
    </row>
    <row r="10184">
      <c r="A10184" s="6"/>
      <c r="B10184" s="6"/>
      <c r="C10184" s="8" t="s">
        <v>27</v>
      </c>
      <c r="D10184" s="8" t="s">
        <v>28</v>
      </c>
      <c r="E10184" s="8" t="s">
        <v>27</v>
      </c>
      <c r="F10184" s="8" t="s">
        <v>28</v>
      </c>
      <c r="G10184" s="6"/>
      <c r="H10184" s="6"/>
      <c r="I10184" s="10" t="s">
        <v>29</v>
      </c>
      <c r="J10184" s="6"/>
    </row>
    <row r="10185">
      <c r="A10185" s="11" t="s">
        <v>30</v>
      </c>
      <c r="B10185" s="12">
        <v>817.1218</v>
      </c>
      <c r="C10185" s="12">
        <v>0</v>
      </c>
      <c r="D10185" s="13">
        <v>0</v>
      </c>
      <c r="E10185" s="12">
        <v>0</v>
      </c>
      <c r="F10185" s="14">
        <v>0</v>
      </c>
      <c r="G10185" s="13">
        <v>230.8176</v>
      </c>
      <c r="H10185" s="14">
        <v>188606.092784</v>
      </c>
      <c r="I10185" s="14" t="e">
        <f>=Round(8.68340000,0)</f>
        <v>#VALUE!</v>
      </c>
      <c r="J10185" s="14" t="e">
        <f>=Round(0.00000000,0)</f>
        <v>#VALUE!</v>
      </c>
    </row>
    <row r="10186">
      <c r="A10186" s="11" t="s">
        <v>31</v>
      </c>
      <c r="B10186" s="12">
        <v>804.256</v>
      </c>
      <c r="C10186" s="12">
        <v>0</v>
      </c>
      <c r="D10186" s="13">
        <v>0</v>
      </c>
      <c r="E10186" s="12">
        <v>0</v>
      </c>
      <c r="F10186" s="14">
        <v>0</v>
      </c>
      <c r="G10186" s="13">
        <v>230.8176</v>
      </c>
      <c r="H10186" s="14">
        <v>185636.439706</v>
      </c>
      <c r="I10186" s="14" t="e">
        <f>=Round(8.50270000,0)</f>
        <v>#VALUE!</v>
      </c>
      <c r="J10186" s="14" t="e">
        <f>=Round(0.00000000,0)</f>
        <v>#VALUE!</v>
      </c>
    </row>
    <row r="10187">
      <c r="A10187" s="11" t="s">
        <v>32</v>
      </c>
      <c r="B10187" s="12">
        <v>795.4116</v>
      </c>
      <c r="C10187" s="12">
        <v>0</v>
      </c>
      <c r="D10187" s="13">
        <v>0</v>
      </c>
      <c r="E10187" s="12">
        <v>0</v>
      </c>
      <c r="F10187" s="14">
        <v>0</v>
      </c>
      <c r="G10187" s="13">
        <v>230.8176</v>
      </c>
      <c r="H10187" s="14">
        <v>183594.996524</v>
      </c>
      <c r="I10187" s="14" t="e">
        <f>=Round(8.36890000,0)</f>
        <v>#VALUE!</v>
      </c>
      <c r="J10187" s="14" t="e">
        <f>=Round(0.00000000,0)</f>
        <v>#VALUE!</v>
      </c>
    </row>
    <row r="10188">
      <c r="A10188" s="11" t="s">
        <v>33</v>
      </c>
      <c r="B10188" s="12">
        <v>796.8627</v>
      </c>
      <c r="C10188" s="12">
        <v>0</v>
      </c>
      <c r="D10188" s="13">
        <v>0</v>
      </c>
      <c r="E10188" s="12">
        <v>0</v>
      </c>
      <c r="F10188" s="14">
        <v>0</v>
      </c>
      <c r="G10188" s="13">
        <v>230.8176</v>
      </c>
      <c r="H10188" s="14">
        <v>183929.935944</v>
      </c>
      <c r="I10188" s="14" t="e">
        <f>=Round(8.27680000,0)</f>
        <v>#VALUE!</v>
      </c>
      <c r="J10188" s="14" t="e">
        <f>=Round(0.00000000,0)</f>
        <v>#VALUE!</v>
      </c>
    </row>
    <row r="10189">
      <c r="A10189" s="11" t="s">
        <v>34</v>
      </c>
      <c r="B10189" s="12">
        <v>813.7962</v>
      </c>
      <c r="C10189" s="12">
        <v>0</v>
      </c>
      <c r="D10189" s="13">
        <v>0</v>
      </c>
      <c r="E10189" s="12">
        <v>0</v>
      </c>
      <c r="F10189" s="14">
        <v>0</v>
      </c>
      <c r="G10189" s="13">
        <v>230.8176</v>
      </c>
      <c r="H10189" s="14">
        <v>187838.485773</v>
      </c>
      <c r="I10189" s="14" t="e">
        <f>=Round(8.29190000,0)</f>
        <v>#VALUE!</v>
      </c>
      <c r="J10189" s="14" t="e">
        <f>=Round(0.00000000,0)</f>
        <v>#VALUE!</v>
      </c>
    </row>
    <row r="10190">
      <c r="A10190" s="11" t="s">
        <v>35</v>
      </c>
      <c r="B10190" s="12">
        <v>813.7962</v>
      </c>
      <c r="C10190" s="12">
        <v>0</v>
      </c>
      <c r="D10190" s="13">
        <v>0</v>
      </c>
      <c r="E10190" s="12">
        <v>0</v>
      </c>
      <c r="F10190" s="14">
        <v>0</v>
      </c>
      <c r="G10190" s="13">
        <v>230.8176</v>
      </c>
      <c r="H10190" s="14">
        <v>187838.485773</v>
      </c>
      <c r="I10190" s="14" t="e">
        <f>=Round(8.46810000,0)</f>
        <v>#VALUE!</v>
      </c>
      <c r="J10190" s="14" t="e">
        <f>=Round(0.00000000,0)</f>
        <v>#VALUE!</v>
      </c>
    </row>
    <row r="10191">
      <c r="A10191" s="11" t="s">
        <v>36</v>
      </c>
      <c r="B10191" s="12">
        <v>813.7962</v>
      </c>
      <c r="C10191" s="12">
        <v>0</v>
      </c>
      <c r="D10191" s="13">
        <v>0</v>
      </c>
      <c r="E10191" s="12">
        <v>0</v>
      </c>
      <c r="F10191" s="14">
        <v>0</v>
      </c>
      <c r="G10191" s="13">
        <v>230.8176</v>
      </c>
      <c r="H10191" s="14">
        <v>187838.485773</v>
      </c>
      <c r="I10191" s="14" t="e">
        <f>=Round(8.46810000,0)</f>
        <v>#VALUE!</v>
      </c>
      <c r="J10191" s="14" t="e">
        <f>=Round(0.00000000,0)</f>
        <v>#VALUE!</v>
      </c>
    </row>
    <row r="10192">
      <c r="A10192" s="11" t="s">
        <v>37</v>
      </c>
      <c r="B10192" s="12">
        <v>800.4415</v>
      </c>
      <c r="C10192" s="12">
        <v>0</v>
      </c>
      <c r="D10192" s="13">
        <v>0</v>
      </c>
      <c r="E10192" s="12">
        <v>0</v>
      </c>
      <c r="F10192" s="14">
        <v>0</v>
      </c>
      <c r="G10192" s="13">
        <v>230.8176</v>
      </c>
      <c r="H10192" s="14">
        <v>184755.98597</v>
      </c>
      <c r="I10192" s="14" t="e">
        <f>=Round(8.46810000,0)</f>
        <v>#VALUE!</v>
      </c>
      <c r="J10192" s="14" t="e">
        <f>=Round(0.00000000,0)</f>
        <v>#VALUE!</v>
      </c>
    </row>
    <row r="10193">
      <c r="A10193" s="11" t="s">
        <v>38</v>
      </c>
      <c r="B10193" s="12">
        <v>800.3099</v>
      </c>
      <c r="C10193" s="12">
        <v>0</v>
      </c>
      <c r="D10193" s="13">
        <v>0</v>
      </c>
      <c r="E10193" s="12">
        <v>0</v>
      </c>
      <c r="F10193" s="14">
        <v>0</v>
      </c>
      <c r="G10193" s="13">
        <v>230.8176</v>
      </c>
      <c r="H10193" s="14">
        <v>184725.610374</v>
      </c>
      <c r="I10193" s="14" t="e">
        <f>=Round(8.32920000,0)</f>
        <v>#VALUE!</v>
      </c>
      <c r="J10193" s="14" t="e">
        <f>=Round(0.00000000,0)</f>
        <v>#VALUE!</v>
      </c>
    </row>
    <row r="10194">
      <c r="A10194" s="11" t="s">
        <v>39</v>
      </c>
      <c r="B10194" s="12">
        <v>788.3197</v>
      </c>
      <c r="C10194" s="12">
        <v>0</v>
      </c>
      <c r="D10194" s="13">
        <v>0</v>
      </c>
      <c r="E10194" s="12">
        <v>0</v>
      </c>
      <c r="F10194" s="14">
        <v>0</v>
      </c>
      <c r="G10194" s="13">
        <v>230.8176</v>
      </c>
      <c r="H10194" s="14">
        <v>181958.061187</v>
      </c>
      <c r="I10194" s="14" t="e">
        <f>=Round(8.32780000,0)</f>
        <v>#VALUE!</v>
      </c>
      <c r="J10194" s="14" t="e">
        <f>=Round(0.00000000,0)</f>
        <v>#VALUE!</v>
      </c>
    </row>
    <row r="10195">
      <c r="A10195" s="11" t="s">
        <v>40</v>
      </c>
      <c r="B10195" s="12">
        <v>767.5103</v>
      </c>
      <c r="C10195" s="12">
        <v>0</v>
      </c>
      <c r="D10195" s="13">
        <v>0</v>
      </c>
      <c r="E10195" s="12">
        <v>0</v>
      </c>
      <c r="F10195" s="14">
        <v>0</v>
      </c>
      <c r="G10195" s="13">
        <v>230.8176</v>
      </c>
      <c r="H10195" s="14">
        <v>177154.885421</v>
      </c>
      <c r="I10195" s="14" t="e">
        <f>=Round(8.20300000,0)</f>
        <v>#VALUE!</v>
      </c>
      <c r="J10195" s="14" t="e">
        <f>=Round(0.00000000,0)</f>
        <v>#VALUE!</v>
      </c>
    </row>
    <row r="10196">
      <c r="A10196" s="11" t="s">
        <v>41</v>
      </c>
      <c r="B10196" s="12">
        <v>753.8547</v>
      </c>
      <c r="C10196" s="12">
        <v>0</v>
      </c>
      <c r="D10196" s="13">
        <v>0</v>
      </c>
      <c r="E10196" s="12">
        <v>0</v>
      </c>
      <c r="F10196" s="14">
        <v>0</v>
      </c>
      <c r="G10196" s="13">
        <v>230.8176</v>
      </c>
      <c r="H10196" s="14">
        <v>174002.932603</v>
      </c>
      <c r="I10196" s="14" t="e">
        <f>=Round(7.98650000,0)</f>
        <v>#VALUE!</v>
      </c>
      <c r="J10196" s="14" t="e">
        <f>=Round(0.00000000,0)</f>
        <v>#VALUE!</v>
      </c>
    </row>
    <row r="10197">
      <c r="A10197" s="11" t="s">
        <v>42</v>
      </c>
      <c r="B10197" s="12">
        <v>753.8547</v>
      </c>
      <c r="C10197" s="12">
        <v>0</v>
      </c>
      <c r="D10197" s="13">
        <v>0</v>
      </c>
      <c r="E10197" s="12">
        <v>0</v>
      </c>
      <c r="F10197" s="14">
        <v>0</v>
      </c>
      <c r="G10197" s="13">
        <v>230.8176</v>
      </c>
      <c r="H10197" s="14">
        <v>174002.932603</v>
      </c>
      <c r="I10197" s="14" t="e">
        <f>=Round(7.84440000,0)</f>
        <v>#VALUE!</v>
      </c>
      <c r="J10197" s="14" t="e">
        <f>=Round(0.00000000,0)</f>
        <v>#VALUE!</v>
      </c>
    </row>
    <row r="10198">
      <c r="A10198" s="11" t="s">
        <v>43</v>
      </c>
      <c r="B10198" s="12">
        <v>753.8547</v>
      </c>
      <c r="C10198" s="12">
        <v>0</v>
      </c>
      <c r="D10198" s="13">
        <v>0</v>
      </c>
      <c r="E10198" s="12">
        <v>0</v>
      </c>
      <c r="F10198" s="14">
        <v>0</v>
      </c>
      <c r="G10198" s="13">
        <v>230.8176</v>
      </c>
      <c r="H10198" s="14">
        <v>174002.932603</v>
      </c>
      <c r="I10198" s="14" t="e">
        <f>=Round(7.84440000,0)</f>
        <v>#VALUE!</v>
      </c>
      <c r="J10198" s="14" t="e">
        <f>=Round(0.00000000,0)</f>
        <v>#VALUE!</v>
      </c>
    </row>
    <row r="10199">
      <c r="A10199" s="11" t="s">
        <v>44</v>
      </c>
      <c r="B10199" s="12">
        <v>727.6631</v>
      </c>
      <c r="C10199" s="12">
        <v>0</v>
      </c>
      <c r="D10199" s="13">
        <v>0</v>
      </c>
      <c r="E10199" s="12">
        <v>0</v>
      </c>
      <c r="F10199" s="14">
        <v>0</v>
      </c>
      <c r="G10199" s="13">
        <v>230.8176</v>
      </c>
      <c r="H10199" s="14">
        <v>167957.450351</v>
      </c>
      <c r="I10199" s="14" t="e">
        <f>=Round(7.84440000,0)</f>
        <v>#VALUE!</v>
      </c>
      <c r="J10199" s="14" t="e">
        <f>=Round(0.00000000,0)</f>
        <v>#VALUE!</v>
      </c>
    </row>
    <row r="10200">
      <c r="A10200" s="11" t="s">
        <v>45</v>
      </c>
      <c r="B10200" s="12">
        <v>759.8876</v>
      </c>
      <c r="C10200" s="12">
        <v>0</v>
      </c>
      <c r="D10200" s="13">
        <v>0</v>
      </c>
      <c r="E10200" s="12">
        <v>0</v>
      </c>
      <c r="F10200" s="14">
        <v>0</v>
      </c>
      <c r="G10200" s="13">
        <v>230.8176</v>
      </c>
      <c r="H10200" s="14">
        <v>175395.432102</v>
      </c>
      <c r="I10200" s="14" t="e">
        <f>=Round(7.57190000,0)</f>
        <v>#VALUE!</v>
      </c>
      <c r="J10200" s="14" t="e">
        <f>=Round(0.00000000,0)</f>
        <v>#VALUE!</v>
      </c>
    </row>
    <row r="10201">
      <c r="A10201" s="11" t="s">
        <v>46</v>
      </c>
      <c r="B10201" s="12">
        <v>777.7063</v>
      </c>
      <c r="C10201" s="12">
        <v>0</v>
      </c>
      <c r="D10201" s="13">
        <v>0</v>
      </c>
      <c r="E10201" s="12">
        <v>0</v>
      </c>
      <c r="F10201" s="14">
        <v>0</v>
      </c>
      <c r="G10201" s="13">
        <v>230.8176</v>
      </c>
      <c r="H10201" s="14">
        <v>179508.301671</v>
      </c>
      <c r="I10201" s="14" t="e">
        <f>=Round(7.90720000,0)</f>
        <v>#VALUE!</v>
      </c>
      <c r="J10201" s="14" t="e">
        <f>=Round(0.00000000,0)</f>
        <v>#VALUE!</v>
      </c>
    </row>
    <row r="10202">
      <c r="A10202" s="11" t="s">
        <v>47</v>
      </c>
      <c r="B10202" s="12">
        <v>805.2169</v>
      </c>
      <c r="C10202" s="12">
        <v>0</v>
      </c>
      <c r="D10202" s="13">
        <v>0</v>
      </c>
      <c r="E10202" s="12">
        <v>0</v>
      </c>
      <c r="F10202" s="14">
        <v>0</v>
      </c>
      <c r="G10202" s="13">
        <v>230.8176</v>
      </c>
      <c r="H10202" s="14">
        <v>185858.232337</v>
      </c>
      <c r="I10202" s="14" t="e">
        <f>=Round(8.09260000,0)</f>
        <v>#VALUE!</v>
      </c>
      <c r="J10202" s="14" t="e">
        <f>=Round(0.00000000,0)</f>
        <v>#VALUE!</v>
      </c>
    </row>
    <row r="10203">
      <c r="A10203" s="11" t="s">
        <v>48</v>
      </c>
      <c r="B10203" s="12">
        <v>819.447</v>
      </c>
      <c r="C10203" s="12">
        <v>0</v>
      </c>
      <c r="D10203" s="13">
        <v>0</v>
      </c>
      <c r="E10203" s="12">
        <v>0</v>
      </c>
      <c r="F10203" s="14">
        <v>0</v>
      </c>
      <c r="G10203" s="13">
        <v>230.8176</v>
      </c>
      <c r="H10203" s="14">
        <v>189142.789867</v>
      </c>
      <c r="I10203" s="14" t="e">
        <f>=Round(8.37890000,0)</f>
        <v>#VALUE!</v>
      </c>
      <c r="J10203" s="14" t="e">
        <f>=Round(0.00000000,0)</f>
        <v>#VALUE!</v>
      </c>
    </row>
    <row r="10204">
      <c r="A10204" s="11" t="s">
        <v>49</v>
      </c>
      <c r="B10204" s="12">
        <v>819.447</v>
      </c>
      <c r="C10204" s="12">
        <v>0</v>
      </c>
      <c r="D10204" s="13">
        <v>0</v>
      </c>
      <c r="E10204" s="12">
        <v>0</v>
      </c>
      <c r="F10204" s="14">
        <v>0</v>
      </c>
      <c r="G10204" s="13">
        <v>230.8176</v>
      </c>
      <c r="H10204" s="14">
        <v>189142.789867</v>
      </c>
      <c r="I10204" s="14" t="e">
        <f>=Round(8.52690000,0)</f>
        <v>#VALUE!</v>
      </c>
      <c r="J10204" s="14" t="e">
        <f>=Round(0.00000000,0)</f>
        <v>#VALUE!</v>
      </c>
    </row>
    <row r="10205">
      <c r="A10205" s="11" t="s">
        <v>50</v>
      </c>
      <c r="B10205" s="12">
        <v>819.447</v>
      </c>
      <c r="C10205" s="12">
        <v>0</v>
      </c>
      <c r="D10205" s="13">
        <v>0</v>
      </c>
      <c r="E10205" s="12">
        <v>0</v>
      </c>
      <c r="F10205" s="14">
        <v>0</v>
      </c>
      <c r="G10205" s="13">
        <v>230.8176</v>
      </c>
      <c r="H10205" s="14">
        <v>189142.789867</v>
      </c>
      <c r="I10205" s="14" t="e">
        <f>=Round(8.52690000,0)</f>
        <v>#VALUE!</v>
      </c>
      <c r="J10205" s="14" t="e">
        <f>=Round(0.00000000,0)</f>
        <v>#VALUE!</v>
      </c>
    </row>
    <row r="10206">
      <c r="A10206" s="11" t="s">
        <v>51</v>
      </c>
      <c r="B10206" s="12">
        <v>859.2617</v>
      </c>
      <c r="C10206" s="12">
        <v>0</v>
      </c>
      <c r="D10206" s="13">
        <v>0</v>
      </c>
      <c r="E10206" s="12">
        <v>0</v>
      </c>
      <c r="F10206" s="14">
        <v>0</v>
      </c>
      <c r="G10206" s="13">
        <v>230.8176</v>
      </c>
      <c r="H10206" s="14">
        <v>198332.723366</v>
      </c>
      <c r="I10206" s="14" t="e">
        <f>=Round(8.52690000,0)</f>
        <v>#VALUE!</v>
      </c>
      <c r="J10206" s="14" t="e">
        <f>=Round(0.00000000,0)</f>
        <v>#VALUE!</v>
      </c>
    </row>
    <row r="10207">
      <c r="A10207" s="11" t="s">
        <v>52</v>
      </c>
      <c r="B10207" s="12">
        <v>903.6329</v>
      </c>
      <c r="C10207" s="12">
        <v>0</v>
      </c>
      <c r="D10207" s="13">
        <v>0</v>
      </c>
      <c r="E10207" s="12">
        <v>0</v>
      </c>
      <c r="F10207" s="14">
        <v>0</v>
      </c>
      <c r="G10207" s="13">
        <v>230.8176</v>
      </c>
      <c r="H10207" s="14">
        <v>208574.377259</v>
      </c>
      <c r="I10207" s="14" t="e">
        <f>=Round(8.94120000,0)</f>
        <v>#VALUE!</v>
      </c>
      <c r="J10207" s="14" t="e">
        <f>=Round(0.00000000,0)</f>
        <v>#VALUE!</v>
      </c>
    </row>
    <row r="10208">
      <c r="A10208" s="11" t="s">
        <v>53</v>
      </c>
      <c r="B10208" s="12">
        <v>865.5295</v>
      </c>
      <c r="C10208" s="12">
        <v>0</v>
      </c>
      <c r="D10208" s="13">
        <v>0</v>
      </c>
      <c r="E10208" s="12">
        <v>0</v>
      </c>
      <c r="F10208" s="14">
        <v>0</v>
      </c>
      <c r="G10208" s="13">
        <v>230.8176</v>
      </c>
      <c r="H10208" s="14">
        <v>199779.441919</v>
      </c>
      <c r="I10208" s="14" t="e">
        <f>=Round(9.40290000,0)</f>
        <v>#VALUE!</v>
      </c>
      <c r="J10208" s="14" t="e">
        <f>=Round(0.00000000,0)</f>
        <v>#VALUE!</v>
      </c>
    </row>
    <row r="10209">
      <c r="A10209" s="11" t="s">
        <v>54</v>
      </c>
      <c r="B10209" s="12">
        <v>866.0858</v>
      </c>
      <c r="C10209" s="12">
        <v>0</v>
      </c>
      <c r="D10209" s="13">
        <v>0</v>
      </c>
      <c r="E10209" s="12">
        <v>0</v>
      </c>
      <c r="F10209" s="14">
        <v>0</v>
      </c>
      <c r="G10209" s="13">
        <v>230.8176</v>
      </c>
      <c r="H10209" s="14">
        <v>199907.84575</v>
      </c>
      <c r="I10209" s="14" t="e">
        <f>=Round(9.00650000,0)</f>
        <v>#VALUE!</v>
      </c>
      <c r="J10209" s="14" t="e">
        <f>=Round(0.00000000,0)</f>
        <v>#VALUE!</v>
      </c>
    </row>
    <row r="10210">
      <c r="A10210" s="11" t="s">
        <v>55</v>
      </c>
      <c r="B10210" s="12">
        <v>845.204</v>
      </c>
      <c r="C10210" s="12">
        <v>0</v>
      </c>
      <c r="D10210" s="13">
        <v>0</v>
      </c>
      <c r="E10210" s="12">
        <v>0</v>
      </c>
      <c r="F10210" s="14">
        <v>0</v>
      </c>
      <c r="G10210" s="13">
        <v>230.8176</v>
      </c>
      <c r="H10210" s="14">
        <v>195087.95879</v>
      </c>
      <c r="I10210" s="14" t="e">
        <f>=Round(9.01220000,0)</f>
        <v>#VALUE!</v>
      </c>
      <c r="J10210" s="14" t="e">
        <f>=Round(0.00000000,0)</f>
        <v>#VALUE!</v>
      </c>
    </row>
    <row r="10211" ht="-1">
      <c r="A10211" s="15"/>
      <c r="B10211" s="16" t="s">
        <v>56</v>
      </c>
      <c r="C10211" s="15"/>
      <c r="D10211" s="15"/>
      <c r="E10211" s="15"/>
      <c r="F10211" s="15"/>
      <c r="G10211" s="15"/>
      <c r="H10211" s="15"/>
      <c r="I10211" s="17" t="e">
        <f>=Round(SUM(I10185:I10210),0)</f>
        <v>#VALUE!</v>
      </c>
      <c r="J10211" s="17" t="e">
        <f>=Round(SUM(J10185:J10210),0)</f>
        <v>#VALUE!</v>
      </c>
    </row>
    <row r="10212">
      <c r="A10212" s="1" t="s">
        <v>0</v>
      </c>
      <c r="B10212" s="1"/>
      <c r="C10212" s="1"/>
      <c r="D10212" s="1"/>
    </row>
    <row r="10213">
      <c r="A10213" s="0" t="s">
        <v>1</v>
      </c>
      <c r="C10213" s="0" t="s">
        <v>354</v>
      </c>
      <c r="H10213" s="2" t="s">
        <v>3</v>
      </c>
    </row>
    <row r="10214">
      <c r="A10214" s="0" t="s">
        <v>4</v>
      </c>
      <c r="C10214" s="0" t="s">
        <v>309</v>
      </c>
      <c r="H10214" s="3" t="s">
        <v>6</v>
      </c>
    </row>
    <row r="10215">
      <c r="A10215" s="0" t="s">
        <v>7</v>
      </c>
      <c r="C10215" s="4" t="s">
        <v>219</v>
      </c>
      <c r="H10215" s="2" t="s">
        <v>9</v>
      </c>
    </row>
    <row r="10216">
      <c r="A10216" s="0" t="s">
        <v>10</v>
      </c>
      <c r="C10216" s="4" t="s">
        <v>11</v>
      </c>
      <c r="H10216" s="2" t="s">
        <v>12</v>
      </c>
    </row>
    <row r="10217">
      <c r="A10217" s="0" t="s">
        <v>13</v>
      </c>
      <c r="C10217" s="0" t="s">
        <v>14</v>
      </c>
    </row>
    <row r="10218">
      <c r="A10218" s="0" t="s">
        <v>15</v>
      </c>
      <c r="C10218" s="0" t="s">
        <v>16</v>
      </c>
    </row>
    <row r="10219">
      <c r="A10219" s="0" t="s">
        <v>17</v>
      </c>
      <c r="C10219" s="0" t="s">
        <v>18</v>
      </c>
    </row>
    <row r="10222">
      <c r="A10222" s="5" t="s">
        <v>19</v>
      </c>
      <c r="B10222" s="5" t="s">
        <v>20</v>
      </c>
      <c r="C10222" s="7" t="s">
        <v>21</v>
      </c>
      <c r="D10222" s="9"/>
      <c r="E10222" s="7" t="s">
        <v>22</v>
      </c>
      <c r="F10222" s="9"/>
      <c r="G10222" s="5" t="s">
        <v>23</v>
      </c>
      <c r="H10222" s="5" t="s">
        <v>24</v>
      </c>
      <c r="I10222" s="5" t="s">
        <v>220</v>
      </c>
      <c r="J10222" s="5" t="s">
        <v>26</v>
      </c>
    </row>
    <row r="10223">
      <c r="A10223" s="6"/>
      <c r="B10223" s="6"/>
      <c r="C10223" s="8" t="s">
        <v>27</v>
      </c>
      <c r="D10223" s="8" t="s">
        <v>28</v>
      </c>
      <c r="E10223" s="8" t="s">
        <v>27</v>
      </c>
      <c r="F10223" s="8" t="s">
        <v>28</v>
      </c>
      <c r="G10223" s="6"/>
      <c r="H10223" s="6"/>
      <c r="I10223" s="10" t="s">
        <v>29</v>
      </c>
      <c r="J10223" s="6"/>
    </row>
    <row r="10224">
      <c r="A10224" s="11" t="s">
        <v>30</v>
      </c>
      <c r="B10224" s="12">
        <v>817.1218</v>
      </c>
      <c r="C10224" s="12">
        <v>0</v>
      </c>
      <c r="D10224" s="13">
        <v>0</v>
      </c>
      <c r="E10224" s="12">
        <v>0</v>
      </c>
      <c r="F10224" s="14">
        <v>0</v>
      </c>
      <c r="G10224" s="13">
        <v>14805216.404099999</v>
      </c>
      <c r="H10224" s="14">
        <v>12097665077.507721</v>
      </c>
      <c r="I10224" s="14" t="e">
        <f>=Round(556977.24700000,0)</f>
        <v>#VALUE!</v>
      </c>
      <c r="J10224" s="14" t="e">
        <f>=Round(0.00000000,0)</f>
        <v>#VALUE!</v>
      </c>
    </row>
    <row r="10225">
      <c r="A10225" s="11" t="s">
        <v>31</v>
      </c>
      <c r="B10225" s="12">
        <v>804.256</v>
      </c>
      <c r="C10225" s="12">
        <v>0</v>
      </c>
      <c r="D10225" s="13">
        <v>0</v>
      </c>
      <c r="E10225" s="12">
        <v>0</v>
      </c>
      <c r="F10225" s="14">
        <v>0</v>
      </c>
      <c r="G10225" s="13">
        <v>14805216.404099999</v>
      </c>
      <c r="H10225" s="14">
        <v>11907184124.295851</v>
      </c>
      <c r="I10225" s="14" t="e">
        <f>=Round(545386.54040000,0)</f>
        <v>#VALUE!</v>
      </c>
      <c r="J10225" s="14" t="e">
        <f>=Round(0.00000000,0)</f>
        <v>#VALUE!</v>
      </c>
    </row>
    <row r="10226">
      <c r="A10226" s="11" t="s">
        <v>32</v>
      </c>
      <c r="B10226" s="12">
        <v>795.4116</v>
      </c>
      <c r="C10226" s="12">
        <v>0</v>
      </c>
      <c r="D10226" s="13">
        <v>0</v>
      </c>
      <c r="E10226" s="12">
        <v>0</v>
      </c>
      <c r="F10226" s="14">
        <v>0</v>
      </c>
      <c r="G10226" s="13">
        <v>14805216.404099999</v>
      </c>
      <c r="H10226" s="14">
        <v>11776240868.331429</v>
      </c>
      <c r="I10226" s="14" t="e">
        <f>=Round(536799.28430000,0)</f>
        <v>#VALUE!</v>
      </c>
      <c r="J10226" s="14" t="e">
        <f>=Round(0.00000000,0)</f>
        <v>#VALUE!</v>
      </c>
    </row>
    <row r="10227">
      <c r="A10227" s="11" t="s">
        <v>33</v>
      </c>
      <c r="B10227" s="12">
        <v>796.8627</v>
      </c>
      <c r="C10227" s="12">
        <v>0</v>
      </c>
      <c r="D10227" s="13">
        <v>0</v>
      </c>
      <c r="E10227" s="12">
        <v>0</v>
      </c>
      <c r="F10227" s="14">
        <v>0</v>
      </c>
      <c r="G10227" s="13">
        <v>14805216.404099999</v>
      </c>
      <c r="H10227" s="14">
        <v>11797724717.855415</v>
      </c>
      <c r="I10227" s="14" t="e">
        <f>=Round(530896.10470000,0)</f>
        <v>#VALUE!</v>
      </c>
      <c r="J10227" s="14" t="e">
        <f>=Round(0.00000000,0)</f>
        <v>#VALUE!</v>
      </c>
    </row>
    <row r="10228">
      <c r="A10228" s="11" t="s">
        <v>34</v>
      </c>
      <c r="B10228" s="12">
        <v>813.7962</v>
      </c>
      <c r="C10228" s="12">
        <v>0</v>
      </c>
      <c r="D10228" s="13">
        <v>0</v>
      </c>
      <c r="E10228" s="12">
        <v>0</v>
      </c>
      <c r="F10228" s="14">
        <v>0</v>
      </c>
      <c r="G10228" s="13">
        <v>14805216.404099999</v>
      </c>
      <c r="H10228" s="14">
        <v>12048428849.834244</v>
      </c>
      <c r="I10228" s="14" t="e">
        <f>=Round(531864.63890000,0)</f>
        <v>#VALUE!</v>
      </c>
      <c r="J10228" s="14" t="e">
        <f>=Round(0.00000000,0)</f>
        <v>#VALUE!</v>
      </c>
    </row>
    <row r="10229">
      <c r="A10229" s="11" t="s">
        <v>35</v>
      </c>
      <c r="B10229" s="12">
        <v>813.7962</v>
      </c>
      <c r="C10229" s="12">
        <v>0</v>
      </c>
      <c r="D10229" s="13">
        <v>0</v>
      </c>
      <c r="E10229" s="12">
        <v>0</v>
      </c>
      <c r="F10229" s="14">
        <v>0</v>
      </c>
      <c r="G10229" s="13">
        <v>14805216.404099999</v>
      </c>
      <c r="H10229" s="14">
        <v>12048428849.834244</v>
      </c>
      <c r="I10229" s="14" t="e">
        <f>=Round(543166.87440000,0)</f>
        <v>#VALUE!</v>
      </c>
      <c r="J10229" s="14" t="e">
        <f>=Round(0.00000000,0)</f>
        <v>#VALUE!</v>
      </c>
    </row>
    <row r="10230">
      <c r="A10230" s="11" t="s">
        <v>36</v>
      </c>
      <c r="B10230" s="12">
        <v>813.7962</v>
      </c>
      <c r="C10230" s="12">
        <v>0</v>
      </c>
      <c r="D10230" s="13">
        <v>0</v>
      </c>
      <c r="E10230" s="12">
        <v>0</v>
      </c>
      <c r="F10230" s="14">
        <v>0</v>
      </c>
      <c r="G10230" s="13">
        <v>14805216.404099999</v>
      </c>
      <c r="H10230" s="14">
        <v>12048428849.834244</v>
      </c>
      <c r="I10230" s="14" t="e">
        <f>=Round(543166.87440000,0)</f>
        <v>#VALUE!</v>
      </c>
      <c r="J10230" s="14" t="e">
        <f>=Round(0.00000000,0)</f>
        <v>#VALUE!</v>
      </c>
    </row>
    <row r="10231">
      <c r="A10231" s="11" t="s">
        <v>37</v>
      </c>
      <c r="B10231" s="12">
        <v>800.4415</v>
      </c>
      <c r="C10231" s="12">
        <v>0</v>
      </c>
      <c r="D10231" s="13">
        <v>0</v>
      </c>
      <c r="E10231" s="12">
        <v>0</v>
      </c>
      <c r="F10231" s="14">
        <v>0</v>
      </c>
      <c r="G10231" s="13">
        <v>14805216.404099999</v>
      </c>
      <c r="H10231" s="14">
        <v>11850709626.322411</v>
      </c>
      <c r="I10231" s="14" t="e">
        <f>=Round(543166.87440000,0)</f>
        <v>#VALUE!</v>
      </c>
      <c r="J10231" s="14" t="e">
        <f>=Round(0.00000000,0)</f>
        <v>#VALUE!</v>
      </c>
    </row>
    <row r="10232">
      <c r="A10232" s="11" t="s">
        <v>38</v>
      </c>
      <c r="B10232" s="12">
        <v>800.3099</v>
      </c>
      <c r="C10232" s="12">
        <v>0</v>
      </c>
      <c r="D10232" s="13">
        <v>0</v>
      </c>
      <c r="E10232" s="12">
        <v>0</v>
      </c>
      <c r="F10232" s="14">
        <v>0</v>
      </c>
      <c r="G10232" s="13">
        <v>14805216.404099999</v>
      </c>
      <c r="H10232" s="14">
        <v>11848761259.843632</v>
      </c>
      <c r="I10232" s="14" t="e">
        <f>=Round(534253.30280000,0)</f>
        <v>#VALUE!</v>
      </c>
      <c r="J10232" s="14" t="e">
        <f>=Round(0.00000000,0)</f>
        <v>#VALUE!</v>
      </c>
    </row>
    <row r="10233">
      <c r="A10233" s="11" t="s">
        <v>39</v>
      </c>
      <c r="B10233" s="12">
        <v>788.3197</v>
      </c>
      <c r="C10233" s="12">
        <v>0</v>
      </c>
      <c r="D10233" s="13">
        <v>0</v>
      </c>
      <c r="E10233" s="12">
        <v>0</v>
      </c>
      <c r="F10233" s="14">
        <v>0</v>
      </c>
      <c r="G10233" s="13">
        <v>14805216.404099999</v>
      </c>
      <c r="H10233" s="14">
        <v>11671243754.115192</v>
      </c>
      <c r="I10233" s="14" t="e">
        <f>=Round(534165.46660000,0)</f>
        <v>#VALUE!</v>
      </c>
      <c r="J10233" s="14" t="e">
        <f>=Round(0.00000000,0)</f>
        <v>#VALUE!</v>
      </c>
    </row>
    <row r="10234">
      <c r="A10234" s="11" t="s">
        <v>40</v>
      </c>
      <c r="B10234" s="12">
        <v>767.5103</v>
      </c>
      <c r="C10234" s="12">
        <v>0</v>
      </c>
      <c r="D10234" s="13">
        <v>0</v>
      </c>
      <c r="E10234" s="12">
        <v>0</v>
      </c>
      <c r="F10234" s="14">
        <v>0</v>
      </c>
      <c r="G10234" s="13">
        <v>14805216.404099999</v>
      </c>
      <c r="H10234" s="14">
        <v>11363156083.875711</v>
      </c>
      <c r="I10234" s="14" t="e">
        <f>=Round(526162.62830000,0)</f>
        <v>#VALUE!</v>
      </c>
      <c r="J10234" s="14" t="e">
        <f>=Round(0.00000000,0)</f>
        <v>#VALUE!</v>
      </c>
    </row>
    <row r="10235">
      <c r="A10235" s="11" t="s">
        <v>41</v>
      </c>
      <c r="B10235" s="12">
        <v>753.8547</v>
      </c>
      <c r="C10235" s="12">
        <v>0</v>
      </c>
      <c r="D10235" s="13">
        <v>0</v>
      </c>
      <c r="E10235" s="12">
        <v>0</v>
      </c>
      <c r="F10235" s="14">
        <v>0</v>
      </c>
      <c r="G10235" s="13">
        <v>14805216.404099999</v>
      </c>
      <c r="H10235" s="14">
        <v>11160981970.747885</v>
      </c>
      <c r="I10235" s="14" t="e">
        <f>=Round(512273.43000000,0)</f>
        <v>#VALUE!</v>
      </c>
      <c r="J10235" s="14" t="e">
        <f>=Round(0.00000000,0)</f>
        <v>#VALUE!</v>
      </c>
    </row>
    <row r="10236">
      <c r="A10236" s="11" t="s">
        <v>42</v>
      </c>
      <c r="B10236" s="12">
        <v>753.8547</v>
      </c>
      <c r="C10236" s="12">
        <v>0</v>
      </c>
      <c r="D10236" s="13">
        <v>0</v>
      </c>
      <c r="E10236" s="12">
        <v>0</v>
      </c>
      <c r="F10236" s="14">
        <v>0</v>
      </c>
      <c r="G10236" s="13">
        <v>14805216.404099999</v>
      </c>
      <c r="H10236" s="14">
        <v>11160981970.747885</v>
      </c>
      <c r="I10236" s="14" t="e">
        <f>=Round(503159.02330000,0)</f>
        <v>#VALUE!</v>
      </c>
      <c r="J10236" s="14" t="e">
        <f>=Round(0.00000000,0)</f>
        <v>#VALUE!</v>
      </c>
    </row>
    <row r="10237">
      <c r="A10237" s="11" t="s">
        <v>43</v>
      </c>
      <c r="B10237" s="12">
        <v>753.8547</v>
      </c>
      <c r="C10237" s="12">
        <v>0</v>
      </c>
      <c r="D10237" s="13">
        <v>0</v>
      </c>
      <c r="E10237" s="12">
        <v>0</v>
      </c>
      <c r="F10237" s="14">
        <v>0</v>
      </c>
      <c r="G10237" s="13">
        <v>14805216.404099999</v>
      </c>
      <c r="H10237" s="14">
        <v>11160981970.747885</v>
      </c>
      <c r="I10237" s="14" t="e">
        <f>=Round(503159.02330000,0)</f>
        <v>#VALUE!</v>
      </c>
      <c r="J10237" s="14" t="e">
        <f>=Round(0.00000000,0)</f>
        <v>#VALUE!</v>
      </c>
    </row>
    <row r="10238">
      <c r="A10238" s="11" t="s">
        <v>44</v>
      </c>
      <c r="B10238" s="12">
        <v>727.6631</v>
      </c>
      <c r="C10238" s="12">
        <v>0</v>
      </c>
      <c r="D10238" s="13">
        <v>0</v>
      </c>
      <c r="E10238" s="12">
        <v>0</v>
      </c>
      <c r="F10238" s="14">
        <v>0</v>
      </c>
      <c r="G10238" s="13">
        <v>14805216.404099999</v>
      </c>
      <c r="H10238" s="14">
        <v>10773209664.778259</v>
      </c>
      <c r="I10238" s="14" t="e">
        <f>=Round(503159.02330000,0)</f>
        <v>#VALUE!</v>
      </c>
      <c r="J10238" s="14" t="e">
        <f>=Round(0.00000000,0)</f>
        <v>#VALUE!</v>
      </c>
    </row>
    <row r="10239">
      <c r="A10239" s="11" t="s">
        <v>45</v>
      </c>
      <c r="B10239" s="12">
        <v>759.8876</v>
      </c>
      <c r="C10239" s="12">
        <v>0</v>
      </c>
      <c r="D10239" s="13">
        <v>0</v>
      </c>
      <c r="E10239" s="12">
        <v>0</v>
      </c>
      <c r="F10239" s="14">
        <v>0</v>
      </c>
      <c r="G10239" s="13">
        <v>14805216.404099999</v>
      </c>
      <c r="H10239" s="14">
        <v>11250300360.792179</v>
      </c>
      <c r="I10239" s="14" t="e">
        <f>=Round(485677.48490000,0)</f>
        <v>#VALUE!</v>
      </c>
      <c r="J10239" s="14" t="e">
        <f>=Round(0.00000000,0)</f>
        <v>#VALUE!</v>
      </c>
    </row>
    <row r="10240">
      <c r="A10240" s="11" t="s">
        <v>46</v>
      </c>
      <c r="B10240" s="12">
        <v>777.7063</v>
      </c>
      <c r="C10240" s="12">
        <v>0</v>
      </c>
      <c r="D10240" s="13">
        <v>0</v>
      </c>
      <c r="E10240" s="12">
        <v>0</v>
      </c>
      <c r="F10240" s="14">
        <v>0</v>
      </c>
      <c r="G10240" s="13">
        <v>14805216.404099999</v>
      </c>
      <c r="H10240" s="14">
        <v>11514110070.331917</v>
      </c>
      <c r="I10240" s="14" t="e">
        <f>=Round(507185.67200000,0)</f>
        <v>#VALUE!</v>
      </c>
      <c r="J10240" s="14" t="e">
        <f>=Round(0.00000000,0)</f>
        <v>#VALUE!</v>
      </c>
    </row>
    <row r="10241">
      <c r="A10241" s="11" t="s">
        <v>47</v>
      </c>
      <c r="B10241" s="12">
        <v>805.2169</v>
      </c>
      <c r="C10241" s="12">
        <v>0</v>
      </c>
      <c r="D10241" s="13">
        <v>0</v>
      </c>
      <c r="E10241" s="12">
        <v>0</v>
      </c>
      <c r="F10241" s="14">
        <v>0</v>
      </c>
      <c r="G10241" s="13">
        <v>14805216.404099999</v>
      </c>
      <c r="H10241" s="14">
        <v>11921410456.738548</v>
      </c>
      <c r="I10241" s="14" t="e">
        <f>=Round(519078.73270000,0)</f>
        <v>#VALUE!</v>
      </c>
      <c r="J10241" s="14" t="e">
        <f>=Round(0.00000000,0)</f>
        <v>#VALUE!</v>
      </c>
    </row>
    <row r="10242">
      <c r="A10242" s="11" t="s">
        <v>48</v>
      </c>
      <c r="B10242" s="12">
        <v>819.447</v>
      </c>
      <c r="C10242" s="12">
        <v>0</v>
      </c>
      <c r="D10242" s="13">
        <v>0</v>
      </c>
      <c r="E10242" s="12">
        <v>0</v>
      </c>
      <c r="F10242" s="14">
        <v>0</v>
      </c>
      <c r="G10242" s="13">
        <v>14805216.404099999</v>
      </c>
      <c r="H10242" s="14">
        <v>12132090166.690533</v>
      </c>
      <c r="I10242" s="14" t="e">
        <f>=Round(537440.63530000,0)</f>
        <v>#VALUE!</v>
      </c>
      <c r="J10242" s="14" t="e">
        <f>=Round(0.00000000,0)</f>
        <v>#VALUE!</v>
      </c>
    </row>
    <row r="10243">
      <c r="A10243" s="11" t="s">
        <v>49</v>
      </c>
      <c r="B10243" s="12">
        <v>819.447</v>
      </c>
      <c r="C10243" s="12">
        <v>0</v>
      </c>
      <c r="D10243" s="13">
        <v>0</v>
      </c>
      <c r="E10243" s="12">
        <v>0</v>
      </c>
      <c r="F10243" s="14">
        <v>0</v>
      </c>
      <c r="G10243" s="13">
        <v>14805216.404099999</v>
      </c>
      <c r="H10243" s="14">
        <v>12132090166.690533</v>
      </c>
      <c r="I10243" s="14" t="e">
        <f>=Round(546938.49110000,0)</f>
        <v>#VALUE!</v>
      </c>
      <c r="J10243" s="14" t="e">
        <f>=Round(0.00000000,0)</f>
        <v>#VALUE!</v>
      </c>
    </row>
    <row r="10244">
      <c r="A10244" s="11" t="s">
        <v>50</v>
      </c>
      <c r="B10244" s="12">
        <v>819.447</v>
      </c>
      <c r="C10244" s="12">
        <v>0</v>
      </c>
      <c r="D10244" s="13">
        <v>0</v>
      </c>
      <c r="E10244" s="12">
        <v>0</v>
      </c>
      <c r="F10244" s="14">
        <v>0</v>
      </c>
      <c r="G10244" s="13">
        <v>14805216.404099999</v>
      </c>
      <c r="H10244" s="14">
        <v>12132090166.690533</v>
      </c>
      <c r="I10244" s="14" t="e">
        <f>=Round(546938.49110000,0)</f>
        <v>#VALUE!</v>
      </c>
      <c r="J10244" s="14" t="e">
        <f>=Round(0.00000000,0)</f>
        <v>#VALUE!</v>
      </c>
    </row>
    <row r="10245">
      <c r="A10245" s="11" t="s">
        <v>51</v>
      </c>
      <c r="B10245" s="12">
        <v>859.2617</v>
      </c>
      <c r="C10245" s="12">
        <v>0</v>
      </c>
      <c r="D10245" s="13">
        <v>0</v>
      </c>
      <c r="E10245" s="12">
        <v>0</v>
      </c>
      <c r="F10245" s="14">
        <v>0</v>
      </c>
      <c r="G10245" s="13">
        <v>14805216.404099999</v>
      </c>
      <c r="H10245" s="14">
        <v>12721555416.254852</v>
      </c>
      <c r="I10245" s="14" t="e">
        <f>=Round(546938.49110000,0)</f>
        <v>#VALUE!</v>
      </c>
      <c r="J10245" s="14" t="e">
        <f>=Round(0.00000000,0)</f>
        <v>#VALUE!</v>
      </c>
    </row>
    <row r="10246">
      <c r="A10246" s="11" t="s">
        <v>52</v>
      </c>
      <c r="B10246" s="12">
        <v>903.6329</v>
      </c>
      <c r="C10246" s="12">
        <v>0</v>
      </c>
      <c r="D10246" s="13">
        <v>0</v>
      </c>
      <c r="E10246" s="12">
        <v>0</v>
      </c>
      <c r="F10246" s="14">
        <v>0</v>
      </c>
      <c r="G10246" s="13">
        <v>14805216.404099999</v>
      </c>
      <c r="H10246" s="14">
        <v>13378480634.364456</v>
      </c>
      <c r="I10246" s="14" t="e">
        <f>=Round(573512.74420000,0)</f>
        <v>#VALUE!</v>
      </c>
      <c r="J10246" s="14" t="e">
        <f>=Round(0.00000000,0)</f>
        <v>#VALUE!</v>
      </c>
    </row>
    <row r="10247">
      <c r="A10247" s="11" t="s">
        <v>53</v>
      </c>
      <c r="B10247" s="12">
        <v>865.5295</v>
      </c>
      <c r="C10247" s="12">
        <v>0</v>
      </c>
      <c r="D10247" s="13">
        <v>0</v>
      </c>
      <c r="E10247" s="12">
        <v>0</v>
      </c>
      <c r="F10247" s="14">
        <v>0</v>
      </c>
      <c r="G10247" s="13">
        <v>14805216.404099999</v>
      </c>
      <c r="H10247" s="14">
        <v>12814351551.632471</v>
      </c>
      <c r="I10247" s="14" t="e">
        <f>=Round(603128.22530000,0)</f>
        <v>#VALUE!</v>
      </c>
      <c r="J10247" s="14" t="e">
        <f>=Round(0.00000000,0)</f>
        <v>#VALUE!</v>
      </c>
    </row>
    <row r="10248">
      <c r="A10248" s="11" t="s">
        <v>54</v>
      </c>
      <c r="B10248" s="12">
        <v>866.0858</v>
      </c>
      <c r="C10248" s="12">
        <v>0</v>
      </c>
      <c r="D10248" s="13">
        <v>0</v>
      </c>
      <c r="E10248" s="12">
        <v>0</v>
      </c>
      <c r="F10248" s="14">
        <v>0</v>
      </c>
      <c r="G10248" s="13">
        <v>14805216.404099999</v>
      </c>
      <c r="H10248" s="14">
        <v>12822587693.518072</v>
      </c>
      <c r="I10248" s="14" t="e">
        <f>=Round(577696.17650000,0)</f>
        <v>#VALUE!</v>
      </c>
      <c r="J10248" s="14" t="e">
        <f>=Round(0.00000000,0)</f>
        <v>#VALUE!</v>
      </c>
    </row>
    <row r="10249">
      <c r="A10249" s="11" t="s">
        <v>55</v>
      </c>
      <c r="B10249" s="12">
        <v>845.204</v>
      </c>
      <c r="C10249" s="12">
        <v>0</v>
      </c>
      <c r="D10249" s="13">
        <v>0</v>
      </c>
      <c r="E10249" s="12">
        <v>0</v>
      </c>
      <c r="F10249" s="14">
        <v>0</v>
      </c>
      <c r="G10249" s="13">
        <v>14805216.404099999</v>
      </c>
      <c r="H10249" s="14">
        <v>12513428125.610935</v>
      </c>
      <c r="I10249" s="14" t="e">
        <f>=Round(578067.47800000,0)</f>
        <v>#VALUE!</v>
      </c>
      <c r="J10249" s="14" t="e">
        <f>=Round(0.00000000,0)</f>
        <v>#VALUE!</v>
      </c>
    </row>
    <row r="10250" ht="-1">
      <c r="A10250" s="15"/>
      <c r="B10250" s="16" t="s">
        <v>56</v>
      </c>
      <c r="C10250" s="15"/>
      <c r="D10250" s="15"/>
      <c r="E10250" s="15"/>
      <c r="F10250" s="15"/>
      <c r="G10250" s="15"/>
      <c r="H10250" s="15"/>
      <c r="I10250" s="17" t="e">
        <f>=Round(SUM(I10224:I10249),0)</f>
        <v>#VALUE!</v>
      </c>
      <c r="J10250" s="17" t="e">
        <f>=Round(SUM(J10224:J10249),0)</f>
        <v>#VALUE!</v>
      </c>
    </row>
    <row r="10251">
      <c r="A10251" s="1" t="s">
        <v>0</v>
      </c>
      <c r="B10251" s="1"/>
      <c r="C10251" s="1"/>
      <c r="D10251" s="1"/>
    </row>
    <row r="10252">
      <c r="A10252" s="0" t="s">
        <v>1</v>
      </c>
      <c r="C10252" s="0" t="s">
        <v>354</v>
      </c>
      <c r="H10252" s="2" t="s">
        <v>3</v>
      </c>
    </row>
    <row r="10253">
      <c r="A10253" s="0" t="s">
        <v>4</v>
      </c>
      <c r="C10253" s="0" t="s">
        <v>310</v>
      </c>
      <c r="H10253" s="3" t="s">
        <v>6</v>
      </c>
    </row>
    <row r="10254">
      <c r="A10254" s="0" t="s">
        <v>7</v>
      </c>
      <c r="C10254" s="4" t="s">
        <v>219</v>
      </c>
      <c r="H10254" s="2" t="s">
        <v>9</v>
      </c>
    </row>
    <row r="10255">
      <c r="A10255" s="0" t="s">
        <v>10</v>
      </c>
      <c r="C10255" s="4" t="s">
        <v>11</v>
      </c>
      <c r="H10255" s="2" t="s">
        <v>12</v>
      </c>
    </row>
    <row r="10256">
      <c r="A10256" s="0" t="s">
        <v>13</v>
      </c>
      <c r="C10256" s="0" t="s">
        <v>14</v>
      </c>
    </row>
    <row r="10257">
      <c r="A10257" s="0" t="s">
        <v>15</v>
      </c>
      <c r="C10257" s="0" t="s">
        <v>16</v>
      </c>
    </row>
    <row r="10258">
      <c r="A10258" s="0" t="s">
        <v>17</v>
      </c>
      <c r="C10258" s="0" t="s">
        <v>18</v>
      </c>
    </row>
    <row r="10261">
      <c r="A10261" s="5" t="s">
        <v>19</v>
      </c>
      <c r="B10261" s="5" t="s">
        <v>20</v>
      </c>
      <c r="C10261" s="7" t="s">
        <v>21</v>
      </c>
      <c r="D10261" s="9"/>
      <c r="E10261" s="7" t="s">
        <v>22</v>
      </c>
      <c r="F10261" s="9"/>
      <c r="G10261" s="5" t="s">
        <v>23</v>
      </c>
      <c r="H10261" s="5" t="s">
        <v>24</v>
      </c>
      <c r="I10261" s="5" t="s">
        <v>220</v>
      </c>
      <c r="J10261" s="5" t="s">
        <v>26</v>
      </c>
    </row>
    <row r="10262">
      <c r="A10262" s="6"/>
      <c r="B10262" s="6"/>
      <c r="C10262" s="8" t="s">
        <v>27</v>
      </c>
      <c r="D10262" s="8" t="s">
        <v>28</v>
      </c>
      <c r="E10262" s="8" t="s">
        <v>27</v>
      </c>
      <c r="F10262" s="8" t="s">
        <v>28</v>
      </c>
      <c r="G10262" s="6"/>
      <c r="H10262" s="6"/>
      <c r="I10262" s="10" t="s">
        <v>29</v>
      </c>
      <c r="J10262" s="6"/>
    </row>
    <row r="10263">
      <c r="A10263" s="11" t="s">
        <v>30</v>
      </c>
      <c r="B10263" s="12">
        <v>817.1218</v>
      </c>
      <c r="C10263" s="12">
        <v>0</v>
      </c>
      <c r="D10263" s="13">
        <v>0</v>
      </c>
      <c r="E10263" s="12">
        <v>0</v>
      </c>
      <c r="F10263" s="14">
        <v>0</v>
      </c>
      <c r="G10263" s="13">
        <v>10042004.6855</v>
      </c>
      <c r="H10263" s="14">
        <v>8205540944.2241936</v>
      </c>
      <c r="I10263" s="14" t="e">
        <f>=Round(377783.61160000,0)</f>
        <v>#VALUE!</v>
      </c>
      <c r="J10263" s="14" t="e">
        <f>=Round(0.00000000,0)</f>
        <v>#VALUE!</v>
      </c>
    </row>
    <row r="10264">
      <c r="A10264" s="11" t="s">
        <v>31</v>
      </c>
      <c r="B10264" s="12">
        <v>804.256</v>
      </c>
      <c r="C10264" s="12">
        <v>0</v>
      </c>
      <c r="D10264" s="13">
        <v>0</v>
      </c>
      <c r="E10264" s="12">
        <v>0</v>
      </c>
      <c r="F10264" s="14">
        <v>0</v>
      </c>
      <c r="G10264" s="13">
        <v>10042004.6855</v>
      </c>
      <c r="H10264" s="14">
        <v>8076342520.3414879</v>
      </c>
      <c r="I10264" s="14" t="e">
        <f>=Round(369921.92780000,0)</f>
        <v>#VALUE!</v>
      </c>
      <c r="J10264" s="14" t="e">
        <f>=Round(0.00000000,0)</f>
        <v>#VALUE!</v>
      </c>
    </row>
    <row r="10265">
      <c r="A10265" s="11" t="s">
        <v>32</v>
      </c>
      <c r="B10265" s="12">
        <v>795.4116</v>
      </c>
      <c r="C10265" s="12">
        <v>0</v>
      </c>
      <c r="D10265" s="13">
        <v>0</v>
      </c>
      <c r="E10265" s="12">
        <v>0</v>
      </c>
      <c r="F10265" s="14">
        <v>0</v>
      </c>
      <c r="G10265" s="13">
        <v>10042004.6855</v>
      </c>
      <c r="H10265" s="14">
        <v>7987527014.1010523</v>
      </c>
      <c r="I10265" s="14" t="e">
        <f>=Round(364097.40870000,0)</f>
        <v>#VALUE!</v>
      </c>
      <c r="J10265" s="14" t="e">
        <f>=Round(0.00000000,0)</f>
        <v>#VALUE!</v>
      </c>
    </row>
    <row r="10266">
      <c r="A10266" s="11" t="s">
        <v>33</v>
      </c>
      <c r="B10266" s="12">
        <v>796.8627</v>
      </c>
      <c r="C10266" s="12">
        <v>0</v>
      </c>
      <c r="D10266" s="13">
        <v>0</v>
      </c>
      <c r="E10266" s="12">
        <v>0</v>
      </c>
      <c r="F10266" s="14">
        <v>0</v>
      </c>
      <c r="G10266" s="13">
        <v>10042004.6855</v>
      </c>
      <c r="H10266" s="14">
        <v>8002098967.1001806</v>
      </c>
      <c r="I10266" s="14" t="e">
        <f>=Round(360093.43100000,0)</f>
        <v>#VALUE!</v>
      </c>
      <c r="J10266" s="14" t="e">
        <f>=Round(0.00000000,0)</f>
        <v>#VALUE!</v>
      </c>
    </row>
    <row r="10267">
      <c r="A10267" s="11" t="s">
        <v>34</v>
      </c>
      <c r="B10267" s="12">
        <v>813.7962</v>
      </c>
      <c r="C10267" s="12">
        <v>0</v>
      </c>
      <c r="D10267" s="13">
        <v>0</v>
      </c>
      <c r="E10267" s="12">
        <v>0</v>
      </c>
      <c r="F10267" s="14">
        <v>0</v>
      </c>
      <c r="G10267" s="13">
        <v>10042004.6855</v>
      </c>
      <c r="H10267" s="14">
        <v>8172145253.4420948</v>
      </c>
      <c r="I10267" s="14" t="e">
        <f>=Round(360750.36330000,0)</f>
        <v>#VALUE!</v>
      </c>
      <c r="J10267" s="14" t="e">
        <f>=Round(0.00000000,0)</f>
        <v>#VALUE!</v>
      </c>
    </row>
    <row r="10268">
      <c r="A10268" s="11" t="s">
        <v>35</v>
      </c>
      <c r="B10268" s="12">
        <v>813.7962</v>
      </c>
      <c r="C10268" s="12">
        <v>0</v>
      </c>
      <c r="D10268" s="13">
        <v>0</v>
      </c>
      <c r="E10268" s="12">
        <v>0</v>
      </c>
      <c r="F10268" s="14">
        <v>0</v>
      </c>
      <c r="G10268" s="13">
        <v>10042004.6855</v>
      </c>
      <c r="H10268" s="14">
        <v>8172145253.4420948</v>
      </c>
      <c r="I10268" s="14" t="e">
        <f>=Round(368416.38440000,0)</f>
        <v>#VALUE!</v>
      </c>
      <c r="J10268" s="14" t="e">
        <f>=Round(0.00000000,0)</f>
        <v>#VALUE!</v>
      </c>
    </row>
    <row r="10269">
      <c r="A10269" s="11" t="s">
        <v>36</v>
      </c>
      <c r="B10269" s="12">
        <v>813.7962</v>
      </c>
      <c r="C10269" s="12">
        <v>0</v>
      </c>
      <c r="D10269" s="13">
        <v>0</v>
      </c>
      <c r="E10269" s="12">
        <v>0</v>
      </c>
      <c r="F10269" s="14">
        <v>0</v>
      </c>
      <c r="G10269" s="13">
        <v>10042004.6855</v>
      </c>
      <c r="H10269" s="14">
        <v>8172145253.4420948</v>
      </c>
      <c r="I10269" s="14" t="e">
        <f>=Round(368416.38440000,0)</f>
        <v>#VALUE!</v>
      </c>
      <c r="J10269" s="14" t="e">
        <f>=Round(0.00000000,0)</f>
        <v>#VALUE!</v>
      </c>
    </row>
    <row r="10270">
      <c r="A10270" s="11" t="s">
        <v>37</v>
      </c>
      <c r="B10270" s="12">
        <v>800.4415</v>
      </c>
      <c r="C10270" s="12">
        <v>0</v>
      </c>
      <c r="D10270" s="13">
        <v>0</v>
      </c>
      <c r="E10270" s="12">
        <v>0</v>
      </c>
      <c r="F10270" s="14">
        <v>0</v>
      </c>
      <c r="G10270" s="13">
        <v>10042004.6855</v>
      </c>
      <c r="H10270" s="14">
        <v>8038037293.468648</v>
      </c>
      <c r="I10270" s="14" t="e">
        <f>=Round(368416.38440000,0)</f>
        <v>#VALUE!</v>
      </c>
      <c r="J10270" s="14" t="e">
        <f>=Round(0.00000000,0)</f>
        <v>#VALUE!</v>
      </c>
    </row>
    <row r="10271">
      <c r="A10271" s="11" t="s">
        <v>38</v>
      </c>
      <c r="B10271" s="12">
        <v>800.3099</v>
      </c>
      <c r="C10271" s="12">
        <v>0</v>
      </c>
      <c r="D10271" s="13">
        <v>0</v>
      </c>
      <c r="E10271" s="12">
        <v>0</v>
      </c>
      <c r="F10271" s="14">
        <v>0</v>
      </c>
      <c r="G10271" s="13">
        <v>10042004.6855</v>
      </c>
      <c r="H10271" s="14">
        <v>8036715765.6520357</v>
      </c>
      <c r="I10271" s="14" t="e">
        <f>=Round(362370.53370000,0)</f>
        <v>#VALUE!</v>
      </c>
      <c r="J10271" s="14" t="e">
        <f>=Round(0.00000000,0)</f>
        <v>#VALUE!</v>
      </c>
    </row>
    <row r="10272">
      <c r="A10272" s="11" t="s">
        <v>39</v>
      </c>
      <c r="B10272" s="12">
        <v>788.3197</v>
      </c>
      <c r="C10272" s="12">
        <v>0</v>
      </c>
      <c r="D10272" s="13">
        <v>0</v>
      </c>
      <c r="E10272" s="12">
        <v>0</v>
      </c>
      <c r="F10272" s="14">
        <v>0</v>
      </c>
      <c r="G10272" s="13">
        <v>10042004.6855</v>
      </c>
      <c r="H10272" s="14">
        <v>7916310121.0719538</v>
      </c>
      <c r="I10272" s="14" t="e">
        <f>=Round(362310.95660000,0)</f>
        <v>#VALUE!</v>
      </c>
      <c r="J10272" s="14" t="e">
        <f>=Round(0.00000000,0)</f>
        <v>#VALUE!</v>
      </c>
    </row>
    <row r="10273">
      <c r="A10273" s="11" t="s">
        <v>40</v>
      </c>
      <c r="B10273" s="12">
        <v>767.5103</v>
      </c>
      <c r="C10273" s="12">
        <v>0</v>
      </c>
      <c r="D10273" s="13">
        <v>0</v>
      </c>
      <c r="E10273" s="12">
        <v>0</v>
      </c>
      <c r="F10273" s="14">
        <v>0</v>
      </c>
      <c r="G10273" s="13">
        <v>10042004.6855</v>
      </c>
      <c r="H10273" s="14">
        <v>7707342028.7695112</v>
      </c>
      <c r="I10273" s="14" t="e">
        <f>=Round(356882.83330000,0)</f>
        <v>#VALUE!</v>
      </c>
      <c r="J10273" s="14" t="e">
        <f>=Round(0.00000000,0)</f>
        <v>#VALUE!</v>
      </c>
    </row>
    <row r="10274">
      <c r="A10274" s="11" t="s">
        <v>41</v>
      </c>
      <c r="B10274" s="12">
        <v>753.8547</v>
      </c>
      <c r="C10274" s="12">
        <v>0</v>
      </c>
      <c r="D10274" s="13">
        <v>0</v>
      </c>
      <c r="E10274" s="12">
        <v>10042004.6855</v>
      </c>
      <c r="F10274" s="14">
        <v>7570212429.59</v>
      </c>
      <c r="G10274" s="13">
        <v>10042004.6855</v>
      </c>
      <c r="H10274" s="14">
        <v>7570212429.5861969</v>
      </c>
      <c r="I10274" s="14" t="e">
        <f>=Round(347462.14060000,0)</f>
        <v>#VALUE!</v>
      </c>
      <c r="J10274" s="14" t="e">
        <f>=Round(0.00000000,0)</f>
        <v>#VALUE!</v>
      </c>
    </row>
    <row r="10275">
      <c r="A10275" s="11" t="s">
        <v>42</v>
      </c>
      <c r="B10275" s="12">
        <v>753.8547</v>
      </c>
      <c r="C10275" s="12">
        <v>0</v>
      </c>
      <c r="D10275" s="13">
        <v>0</v>
      </c>
      <c r="E10275" s="12">
        <v>0</v>
      </c>
      <c r="F10275" s="14">
        <v>0</v>
      </c>
      <c r="G10275" s="13">
        <v>10042004.6855</v>
      </c>
      <c r="H10275" s="14">
        <v>7570212429.5861969</v>
      </c>
      <c r="I10275" s="14" t="e">
        <f>=Round(341280.06850000,0)</f>
        <v>#VALUE!</v>
      </c>
      <c r="J10275" s="14" t="e">
        <f>=Round(0.00000000,0)</f>
        <v>#VALUE!</v>
      </c>
    </row>
    <row r="10276">
      <c r="A10276" s="11" t="s">
        <v>43</v>
      </c>
      <c r="B10276" s="12">
        <v>753.8547</v>
      </c>
      <c r="C10276" s="12">
        <v>0</v>
      </c>
      <c r="D10276" s="13">
        <v>0</v>
      </c>
      <c r="E10276" s="12">
        <v>0</v>
      </c>
      <c r="F10276" s="14">
        <v>0</v>
      </c>
      <c r="G10276" s="13">
        <v>10042004.6855</v>
      </c>
      <c r="H10276" s="14">
        <v>7570212429.5861969</v>
      </c>
      <c r="I10276" s="14" t="e">
        <f>=Round(341280.06850000,0)</f>
        <v>#VALUE!</v>
      </c>
      <c r="J10276" s="14" t="e">
        <f>=Round(0.00000000,0)</f>
        <v>#VALUE!</v>
      </c>
    </row>
    <row r="10277">
      <c r="A10277" s="11" t="s">
        <v>44</v>
      </c>
      <c r="B10277" s="12">
        <v>727.6631</v>
      </c>
      <c r="C10277" s="12">
        <v>0</v>
      </c>
      <c r="D10277" s="13">
        <v>0</v>
      </c>
      <c r="E10277" s="12">
        <v>0</v>
      </c>
      <c r="F10277" s="14">
        <v>0</v>
      </c>
      <c r="G10277" s="13">
        <v>0</v>
      </c>
      <c r="H10277" s="14">
        <v>0</v>
      </c>
      <c r="I10277" s="14" t="e">
        <f>=Round(341280.06850000,0)</f>
        <v>#VALUE!</v>
      </c>
      <c r="J10277" s="14" t="e">
        <f>=Round(0.00000000,0)</f>
        <v>#VALUE!</v>
      </c>
    </row>
    <row r="10278">
      <c r="A10278" s="11" t="s">
        <v>45</v>
      </c>
      <c r="B10278" s="12">
        <v>759.8876</v>
      </c>
      <c r="C10278" s="12">
        <v>0</v>
      </c>
      <c r="D10278" s="13">
        <v>0</v>
      </c>
      <c r="E10278" s="12">
        <v>0</v>
      </c>
      <c r="F10278" s="14">
        <v>0</v>
      </c>
      <c r="G10278" s="13">
        <v>0</v>
      </c>
      <c r="H10278" s="14">
        <v>0</v>
      </c>
      <c r="I10278" s="14" t="e">
        <f>=Round(0.00000000,0)</f>
        <v>#VALUE!</v>
      </c>
      <c r="J10278" s="14" t="e">
        <f>=Round(0.00000000,0)</f>
        <v>#VALUE!</v>
      </c>
    </row>
    <row r="10279">
      <c r="A10279" s="11" t="s">
        <v>46</v>
      </c>
      <c r="B10279" s="12">
        <v>777.7063</v>
      </c>
      <c r="C10279" s="12">
        <v>0</v>
      </c>
      <c r="D10279" s="13">
        <v>0</v>
      </c>
      <c r="E10279" s="12">
        <v>0</v>
      </c>
      <c r="F10279" s="14">
        <v>0</v>
      </c>
      <c r="G10279" s="13">
        <v>0</v>
      </c>
      <c r="H10279" s="14">
        <v>0</v>
      </c>
      <c r="I10279" s="14" t="e">
        <f>=Round(0.00000000,0)</f>
        <v>#VALUE!</v>
      </c>
      <c r="J10279" s="14" t="e">
        <f>=Round(0.00000000,0)</f>
        <v>#VALUE!</v>
      </c>
    </row>
    <row r="10280">
      <c r="A10280" s="11" t="s">
        <v>47</v>
      </c>
      <c r="B10280" s="12">
        <v>805.2169</v>
      </c>
      <c r="C10280" s="12">
        <v>0</v>
      </c>
      <c r="D10280" s="13">
        <v>0</v>
      </c>
      <c r="E10280" s="12">
        <v>0</v>
      </c>
      <c r="F10280" s="14">
        <v>0</v>
      </c>
      <c r="G10280" s="13">
        <v>0</v>
      </c>
      <c r="H10280" s="14">
        <v>0</v>
      </c>
      <c r="I10280" s="14" t="e">
        <f>=Round(0.00000000,0)</f>
        <v>#VALUE!</v>
      </c>
      <c r="J10280" s="14" t="e">
        <f>=Round(0.00000000,0)</f>
        <v>#VALUE!</v>
      </c>
    </row>
    <row r="10281">
      <c r="A10281" s="11" t="s">
        <v>48</v>
      </c>
      <c r="B10281" s="12">
        <v>819.447</v>
      </c>
      <c r="C10281" s="12">
        <v>0</v>
      </c>
      <c r="D10281" s="13">
        <v>0</v>
      </c>
      <c r="E10281" s="12">
        <v>0</v>
      </c>
      <c r="F10281" s="14">
        <v>0</v>
      </c>
      <c r="G10281" s="13">
        <v>0</v>
      </c>
      <c r="H10281" s="14">
        <v>0</v>
      </c>
      <c r="I10281" s="14" t="e">
        <f>=Round(0.00000000,0)</f>
        <v>#VALUE!</v>
      </c>
      <c r="J10281" s="14" t="e">
        <f>=Round(0.00000000,0)</f>
        <v>#VALUE!</v>
      </c>
    </row>
    <row r="10282">
      <c r="A10282" s="11" t="s">
        <v>49</v>
      </c>
      <c r="B10282" s="12">
        <v>819.447</v>
      </c>
      <c r="C10282" s="12">
        <v>0</v>
      </c>
      <c r="D10282" s="13">
        <v>0</v>
      </c>
      <c r="E10282" s="12">
        <v>0</v>
      </c>
      <c r="F10282" s="14">
        <v>0</v>
      </c>
      <c r="G10282" s="13">
        <v>0</v>
      </c>
      <c r="H10282" s="14">
        <v>0</v>
      </c>
      <c r="I10282" s="14" t="e">
        <f>=Round(0.00000000,0)</f>
        <v>#VALUE!</v>
      </c>
      <c r="J10282" s="14" t="e">
        <f>=Round(0.00000000,0)</f>
        <v>#VALUE!</v>
      </c>
    </row>
    <row r="10283">
      <c r="A10283" s="11" t="s">
        <v>50</v>
      </c>
      <c r="B10283" s="12">
        <v>819.447</v>
      </c>
      <c r="C10283" s="12">
        <v>0</v>
      </c>
      <c r="D10283" s="13">
        <v>0</v>
      </c>
      <c r="E10283" s="12">
        <v>0</v>
      </c>
      <c r="F10283" s="14">
        <v>0</v>
      </c>
      <c r="G10283" s="13">
        <v>0</v>
      </c>
      <c r="H10283" s="14">
        <v>0</v>
      </c>
      <c r="I10283" s="14" t="e">
        <f>=Round(0.00000000,0)</f>
        <v>#VALUE!</v>
      </c>
      <c r="J10283" s="14" t="e">
        <f>=Round(0.00000000,0)</f>
        <v>#VALUE!</v>
      </c>
    </row>
    <row r="10284">
      <c r="A10284" s="11" t="s">
        <v>51</v>
      </c>
      <c r="B10284" s="12">
        <v>859.2617</v>
      </c>
      <c r="C10284" s="12">
        <v>0</v>
      </c>
      <c r="D10284" s="13">
        <v>0</v>
      </c>
      <c r="E10284" s="12">
        <v>0</v>
      </c>
      <c r="F10284" s="14">
        <v>0</v>
      </c>
      <c r="G10284" s="13">
        <v>0</v>
      </c>
      <c r="H10284" s="14">
        <v>0</v>
      </c>
      <c r="I10284" s="14" t="e">
        <f>=Round(0.00000000,0)</f>
        <v>#VALUE!</v>
      </c>
      <c r="J10284" s="14" t="e">
        <f>=Round(0.00000000,0)</f>
        <v>#VALUE!</v>
      </c>
    </row>
    <row r="10285">
      <c r="A10285" s="11" t="s">
        <v>52</v>
      </c>
      <c r="B10285" s="12">
        <v>903.6329</v>
      </c>
      <c r="C10285" s="12">
        <v>0</v>
      </c>
      <c r="D10285" s="13">
        <v>0</v>
      </c>
      <c r="E10285" s="12">
        <v>0</v>
      </c>
      <c r="F10285" s="14">
        <v>0</v>
      </c>
      <c r="G10285" s="13">
        <v>0</v>
      </c>
      <c r="H10285" s="14">
        <v>0</v>
      </c>
      <c r="I10285" s="14" t="e">
        <f>=Round(0.00000000,0)</f>
        <v>#VALUE!</v>
      </c>
      <c r="J10285" s="14" t="e">
        <f>=Round(0.00000000,0)</f>
        <v>#VALUE!</v>
      </c>
    </row>
    <row r="10286">
      <c r="A10286" s="11" t="s">
        <v>53</v>
      </c>
      <c r="B10286" s="12">
        <v>865.5295</v>
      </c>
      <c r="C10286" s="12">
        <v>0</v>
      </c>
      <c r="D10286" s="13">
        <v>0</v>
      </c>
      <c r="E10286" s="12">
        <v>0</v>
      </c>
      <c r="F10286" s="14">
        <v>0</v>
      </c>
      <c r="G10286" s="13">
        <v>0</v>
      </c>
      <c r="H10286" s="14">
        <v>0</v>
      </c>
      <c r="I10286" s="14" t="e">
        <f>=Round(0.00000000,0)</f>
        <v>#VALUE!</v>
      </c>
      <c r="J10286" s="14" t="e">
        <f>=Round(0.00000000,0)</f>
        <v>#VALUE!</v>
      </c>
    </row>
    <row r="10287">
      <c r="A10287" s="11" t="s">
        <v>54</v>
      </c>
      <c r="B10287" s="12">
        <v>866.0858</v>
      </c>
      <c r="C10287" s="12">
        <v>0</v>
      </c>
      <c r="D10287" s="13">
        <v>0</v>
      </c>
      <c r="E10287" s="12">
        <v>0</v>
      </c>
      <c r="F10287" s="14">
        <v>0</v>
      </c>
      <c r="G10287" s="13">
        <v>0</v>
      </c>
      <c r="H10287" s="14">
        <v>0</v>
      </c>
      <c r="I10287" s="14" t="e">
        <f>=Round(0.00000000,0)</f>
        <v>#VALUE!</v>
      </c>
      <c r="J10287" s="14" t="e">
        <f>=Round(0.00000000,0)</f>
        <v>#VALUE!</v>
      </c>
    </row>
    <row r="10288">
      <c r="A10288" s="11" t="s">
        <v>55</v>
      </c>
      <c r="B10288" s="12">
        <v>845.204</v>
      </c>
      <c r="C10288" s="12">
        <v>0</v>
      </c>
      <c r="D10288" s="13">
        <v>0</v>
      </c>
      <c r="E10288" s="12">
        <v>0</v>
      </c>
      <c r="F10288" s="14">
        <v>0</v>
      </c>
      <c r="G10288" s="13">
        <v>0</v>
      </c>
      <c r="H10288" s="14">
        <v>0</v>
      </c>
      <c r="I10288" s="14" t="e">
        <f>=Round(0.00000000,0)</f>
        <v>#VALUE!</v>
      </c>
      <c r="J10288" s="14" t="e">
        <f>=Round(0.00000000,0)</f>
        <v>#VALUE!</v>
      </c>
    </row>
    <row r="10289" ht="-1">
      <c r="A10289" s="15"/>
      <c r="B10289" s="16" t="s">
        <v>56</v>
      </c>
      <c r="C10289" s="15"/>
      <c r="D10289" s="15"/>
      <c r="E10289" s="15"/>
      <c r="F10289" s="15"/>
      <c r="G10289" s="15"/>
      <c r="H10289" s="15"/>
      <c r="I10289" s="17" t="e">
        <f>=Round(SUM(I10263:I10288),0)</f>
        <v>#VALUE!</v>
      </c>
      <c r="J10289" s="17" t="e">
        <f>=Round(SUM(J10263:J10288),0)</f>
        <v>#VALUE!</v>
      </c>
    </row>
    <row r="10290">
      <c r="A10290" s="1" t="s">
        <v>0</v>
      </c>
      <c r="B10290" s="1"/>
      <c r="C10290" s="1"/>
      <c r="D10290" s="1"/>
    </row>
    <row r="10291">
      <c r="A10291" s="0" t="s">
        <v>1</v>
      </c>
      <c r="C10291" s="0" t="s">
        <v>354</v>
      </c>
      <c r="H10291" s="2" t="s">
        <v>3</v>
      </c>
    </row>
    <row r="10292">
      <c r="A10292" s="0" t="s">
        <v>4</v>
      </c>
      <c r="C10292" s="0" t="s">
        <v>104</v>
      </c>
      <c r="H10292" s="3" t="s">
        <v>6</v>
      </c>
    </row>
    <row r="10293">
      <c r="A10293" s="0" t="s">
        <v>7</v>
      </c>
      <c r="C10293" s="4" t="s">
        <v>219</v>
      </c>
      <c r="H10293" s="2" t="s">
        <v>9</v>
      </c>
    </row>
    <row r="10294">
      <c r="A10294" s="0" t="s">
        <v>10</v>
      </c>
      <c r="C10294" s="4" t="s">
        <v>11</v>
      </c>
      <c r="H10294" s="2" t="s">
        <v>12</v>
      </c>
    </row>
    <row r="10295">
      <c r="A10295" s="0" t="s">
        <v>13</v>
      </c>
      <c r="C10295" s="0" t="s">
        <v>14</v>
      </c>
    </row>
    <row r="10296">
      <c r="A10296" s="0" t="s">
        <v>15</v>
      </c>
      <c r="C10296" s="0" t="s">
        <v>16</v>
      </c>
    </row>
    <row r="10297">
      <c r="A10297" s="0" t="s">
        <v>17</v>
      </c>
      <c r="C10297" s="0" t="s">
        <v>18</v>
      </c>
    </row>
    <row r="10300">
      <c r="A10300" s="5" t="s">
        <v>19</v>
      </c>
      <c r="B10300" s="5" t="s">
        <v>20</v>
      </c>
      <c r="C10300" s="7" t="s">
        <v>21</v>
      </c>
      <c r="D10300" s="9"/>
      <c r="E10300" s="7" t="s">
        <v>22</v>
      </c>
      <c r="F10300" s="9"/>
      <c r="G10300" s="5" t="s">
        <v>23</v>
      </c>
      <c r="H10300" s="5" t="s">
        <v>24</v>
      </c>
      <c r="I10300" s="5" t="s">
        <v>220</v>
      </c>
      <c r="J10300" s="5" t="s">
        <v>26</v>
      </c>
    </row>
    <row r="10301">
      <c r="A10301" s="6"/>
      <c r="B10301" s="6"/>
      <c r="C10301" s="8" t="s">
        <v>27</v>
      </c>
      <c r="D10301" s="8" t="s">
        <v>28</v>
      </c>
      <c r="E10301" s="8" t="s">
        <v>27</v>
      </c>
      <c r="F10301" s="8" t="s">
        <v>28</v>
      </c>
      <c r="G10301" s="6"/>
      <c r="H10301" s="6"/>
      <c r="I10301" s="10" t="s">
        <v>29</v>
      </c>
      <c r="J10301" s="6"/>
    </row>
    <row r="10302">
      <c r="A10302" s="11" t="s">
        <v>30</v>
      </c>
      <c r="B10302" s="12">
        <v>817.1218</v>
      </c>
      <c r="C10302" s="12">
        <v>0</v>
      </c>
      <c r="D10302" s="13">
        <v>0</v>
      </c>
      <c r="E10302" s="12">
        <v>0</v>
      </c>
      <c r="F10302" s="14">
        <v>0</v>
      </c>
      <c r="G10302" s="13">
        <v>916.0371</v>
      </c>
      <c r="H10302" s="14">
        <v>748513.884019</v>
      </c>
      <c r="I10302" s="14" t="e">
        <f>=Round(34.46160000,0)</f>
        <v>#VALUE!</v>
      </c>
      <c r="J10302" s="14" t="e">
        <f>=Round(0.00000000,0)</f>
        <v>#VALUE!</v>
      </c>
    </row>
    <row r="10303">
      <c r="A10303" s="11" t="s">
        <v>31</v>
      </c>
      <c r="B10303" s="12">
        <v>804.256</v>
      </c>
      <c r="C10303" s="12">
        <v>0</v>
      </c>
      <c r="D10303" s="13">
        <v>0</v>
      </c>
      <c r="E10303" s="12">
        <v>0</v>
      </c>
      <c r="F10303" s="14">
        <v>0</v>
      </c>
      <c r="G10303" s="13">
        <v>916.0371</v>
      </c>
      <c r="H10303" s="14">
        <v>736728.333898</v>
      </c>
      <c r="I10303" s="14" t="e">
        <f>=Round(33.74450000,0)</f>
        <v>#VALUE!</v>
      </c>
      <c r="J10303" s="14" t="e">
        <f>=Round(0.00000000,0)</f>
        <v>#VALUE!</v>
      </c>
    </row>
    <row r="10304">
      <c r="A10304" s="11" t="s">
        <v>32</v>
      </c>
      <c r="B10304" s="12">
        <v>795.4116</v>
      </c>
      <c r="C10304" s="12">
        <v>0</v>
      </c>
      <c r="D10304" s="13">
        <v>0</v>
      </c>
      <c r="E10304" s="12">
        <v>0</v>
      </c>
      <c r="F10304" s="14">
        <v>0</v>
      </c>
      <c r="G10304" s="13">
        <v>916.0371</v>
      </c>
      <c r="H10304" s="14">
        <v>728626.53537</v>
      </c>
      <c r="I10304" s="14" t="e">
        <f>=Round(33.21320000,0)</f>
        <v>#VALUE!</v>
      </c>
      <c r="J10304" s="14" t="e">
        <f>=Round(0.00000000,0)</f>
        <v>#VALUE!</v>
      </c>
    </row>
    <row r="10305">
      <c r="A10305" s="11" t="s">
        <v>33</v>
      </c>
      <c r="B10305" s="12">
        <v>796.8627</v>
      </c>
      <c r="C10305" s="12">
        <v>0</v>
      </c>
      <c r="D10305" s="13">
        <v>0</v>
      </c>
      <c r="E10305" s="12">
        <v>0</v>
      </c>
      <c r="F10305" s="14">
        <v>0</v>
      </c>
      <c r="G10305" s="13">
        <v>916.0371</v>
      </c>
      <c r="H10305" s="14">
        <v>729955.796806</v>
      </c>
      <c r="I10305" s="14" t="e">
        <f>=Round(32.84790000,0)</f>
        <v>#VALUE!</v>
      </c>
      <c r="J10305" s="14" t="e">
        <f>=Round(0.00000000,0)</f>
        <v>#VALUE!</v>
      </c>
    </row>
    <row r="10306">
      <c r="A10306" s="11" t="s">
        <v>34</v>
      </c>
      <c r="B10306" s="12">
        <v>813.7962</v>
      </c>
      <c r="C10306" s="12">
        <v>0</v>
      </c>
      <c r="D10306" s="13">
        <v>0</v>
      </c>
      <c r="E10306" s="12">
        <v>0</v>
      </c>
      <c r="F10306" s="14">
        <v>0</v>
      </c>
      <c r="G10306" s="13">
        <v>916.0371</v>
      </c>
      <c r="H10306" s="14">
        <v>745467.511039</v>
      </c>
      <c r="I10306" s="14" t="e">
        <f>=Round(32.90780000,0)</f>
        <v>#VALUE!</v>
      </c>
      <c r="J10306" s="14" t="e">
        <f>=Round(0.00000000,0)</f>
        <v>#VALUE!</v>
      </c>
    </row>
    <row r="10307">
      <c r="A10307" s="11" t="s">
        <v>35</v>
      </c>
      <c r="B10307" s="12">
        <v>813.7962</v>
      </c>
      <c r="C10307" s="12">
        <v>0</v>
      </c>
      <c r="D10307" s="13">
        <v>0</v>
      </c>
      <c r="E10307" s="12">
        <v>0</v>
      </c>
      <c r="F10307" s="14">
        <v>0</v>
      </c>
      <c r="G10307" s="13">
        <v>916.0371</v>
      </c>
      <c r="H10307" s="14">
        <v>745467.511039</v>
      </c>
      <c r="I10307" s="14" t="e">
        <f>=Round(33.60710000,0)</f>
        <v>#VALUE!</v>
      </c>
      <c r="J10307" s="14" t="e">
        <f>=Round(0.00000000,0)</f>
        <v>#VALUE!</v>
      </c>
    </row>
    <row r="10308">
      <c r="A10308" s="11" t="s">
        <v>36</v>
      </c>
      <c r="B10308" s="12">
        <v>813.7962</v>
      </c>
      <c r="C10308" s="12">
        <v>0</v>
      </c>
      <c r="D10308" s="13">
        <v>0</v>
      </c>
      <c r="E10308" s="12">
        <v>0</v>
      </c>
      <c r="F10308" s="14">
        <v>0</v>
      </c>
      <c r="G10308" s="13">
        <v>916.0371</v>
      </c>
      <c r="H10308" s="14">
        <v>745467.511039</v>
      </c>
      <c r="I10308" s="14" t="e">
        <f>=Round(33.60710000,0)</f>
        <v>#VALUE!</v>
      </c>
      <c r="J10308" s="14" t="e">
        <f>=Round(0.00000000,0)</f>
        <v>#VALUE!</v>
      </c>
    </row>
    <row r="10309">
      <c r="A10309" s="11" t="s">
        <v>37</v>
      </c>
      <c r="B10309" s="12">
        <v>800.4415</v>
      </c>
      <c r="C10309" s="12">
        <v>0</v>
      </c>
      <c r="D10309" s="13">
        <v>0</v>
      </c>
      <c r="E10309" s="12">
        <v>0</v>
      </c>
      <c r="F10309" s="14">
        <v>0</v>
      </c>
      <c r="G10309" s="13">
        <v>916.0371</v>
      </c>
      <c r="H10309" s="14">
        <v>733234.11038</v>
      </c>
      <c r="I10309" s="14" t="e">
        <f>=Round(33.60710000,0)</f>
        <v>#VALUE!</v>
      </c>
      <c r="J10309" s="14" t="e">
        <f>=Round(0.00000000,0)</f>
        <v>#VALUE!</v>
      </c>
    </row>
    <row r="10310">
      <c r="A10310" s="11" t="s">
        <v>38</v>
      </c>
      <c r="B10310" s="12">
        <v>800.3099</v>
      </c>
      <c r="C10310" s="12">
        <v>0</v>
      </c>
      <c r="D10310" s="13">
        <v>0</v>
      </c>
      <c r="E10310" s="12">
        <v>0</v>
      </c>
      <c r="F10310" s="14">
        <v>0</v>
      </c>
      <c r="G10310" s="13">
        <v>916.0371</v>
      </c>
      <c r="H10310" s="14">
        <v>733113.559897</v>
      </c>
      <c r="I10310" s="14" t="e">
        <f>=Round(33.05560000,0)</f>
        <v>#VALUE!</v>
      </c>
      <c r="J10310" s="14" t="e">
        <f>=Round(0.00000000,0)</f>
        <v>#VALUE!</v>
      </c>
    </row>
    <row r="10311">
      <c r="A10311" s="11" t="s">
        <v>39</v>
      </c>
      <c r="B10311" s="12">
        <v>788.3197</v>
      </c>
      <c r="C10311" s="12">
        <v>0</v>
      </c>
      <c r="D10311" s="13">
        <v>0</v>
      </c>
      <c r="E10311" s="12">
        <v>0</v>
      </c>
      <c r="F10311" s="14">
        <v>0</v>
      </c>
      <c r="G10311" s="13">
        <v>916.0371</v>
      </c>
      <c r="H10311" s="14">
        <v>722130.091861</v>
      </c>
      <c r="I10311" s="14" t="e">
        <f>=Round(33.05020000,0)</f>
        <v>#VALUE!</v>
      </c>
      <c r="J10311" s="14" t="e">
        <f>=Round(0.00000000,0)</f>
        <v>#VALUE!</v>
      </c>
    </row>
    <row r="10312">
      <c r="A10312" s="11" t="s">
        <v>40</v>
      </c>
      <c r="B10312" s="12">
        <v>767.5103</v>
      </c>
      <c r="C10312" s="12">
        <v>0</v>
      </c>
      <c r="D10312" s="13">
        <v>0</v>
      </c>
      <c r="E10312" s="12">
        <v>0</v>
      </c>
      <c r="F10312" s="14">
        <v>0</v>
      </c>
      <c r="G10312" s="13">
        <v>916.0371</v>
      </c>
      <c r="H10312" s="14">
        <v>703067.909432</v>
      </c>
      <c r="I10312" s="14" t="e">
        <f>=Round(32.55500000,0)</f>
        <v>#VALUE!</v>
      </c>
      <c r="J10312" s="14" t="e">
        <f>=Round(0.00000000,0)</f>
        <v>#VALUE!</v>
      </c>
    </row>
    <row r="10313">
      <c r="A10313" s="11" t="s">
        <v>41</v>
      </c>
      <c r="B10313" s="12">
        <v>753.8547</v>
      </c>
      <c r="C10313" s="12">
        <v>0</v>
      </c>
      <c r="D10313" s="13">
        <v>0</v>
      </c>
      <c r="E10313" s="12">
        <v>0</v>
      </c>
      <c r="F10313" s="14">
        <v>0</v>
      </c>
      <c r="G10313" s="13">
        <v>916.0371</v>
      </c>
      <c r="H10313" s="14">
        <v>690558.873209</v>
      </c>
      <c r="I10313" s="14" t="e">
        <f>=Round(31.69570000,0)</f>
        <v>#VALUE!</v>
      </c>
      <c r="J10313" s="14" t="e">
        <f>=Round(0.00000000,0)</f>
        <v>#VALUE!</v>
      </c>
    </row>
    <row r="10314">
      <c r="A10314" s="11" t="s">
        <v>42</v>
      </c>
      <c r="B10314" s="12">
        <v>753.8547</v>
      </c>
      <c r="C10314" s="12">
        <v>0</v>
      </c>
      <c r="D10314" s="13">
        <v>0</v>
      </c>
      <c r="E10314" s="12">
        <v>0</v>
      </c>
      <c r="F10314" s="14">
        <v>0</v>
      </c>
      <c r="G10314" s="13">
        <v>916.0371</v>
      </c>
      <c r="H10314" s="14">
        <v>690558.873209</v>
      </c>
      <c r="I10314" s="14" t="e">
        <f>=Round(31.13180000,0)</f>
        <v>#VALUE!</v>
      </c>
      <c r="J10314" s="14" t="e">
        <f>=Round(0.00000000,0)</f>
        <v>#VALUE!</v>
      </c>
    </row>
    <row r="10315">
      <c r="A10315" s="11" t="s">
        <v>43</v>
      </c>
      <c r="B10315" s="12">
        <v>753.8547</v>
      </c>
      <c r="C10315" s="12">
        <v>0</v>
      </c>
      <c r="D10315" s="13">
        <v>0</v>
      </c>
      <c r="E10315" s="12">
        <v>0</v>
      </c>
      <c r="F10315" s="14">
        <v>0</v>
      </c>
      <c r="G10315" s="13">
        <v>916.0371</v>
      </c>
      <c r="H10315" s="14">
        <v>690558.873209</v>
      </c>
      <c r="I10315" s="14" t="e">
        <f>=Round(31.13180000,0)</f>
        <v>#VALUE!</v>
      </c>
      <c r="J10315" s="14" t="e">
        <f>=Round(0.00000000,0)</f>
        <v>#VALUE!</v>
      </c>
    </row>
    <row r="10316">
      <c r="A10316" s="11" t="s">
        <v>44</v>
      </c>
      <c r="B10316" s="12">
        <v>727.6631</v>
      </c>
      <c r="C10316" s="12">
        <v>0</v>
      </c>
      <c r="D10316" s="13">
        <v>0</v>
      </c>
      <c r="E10316" s="12">
        <v>0</v>
      </c>
      <c r="F10316" s="14">
        <v>0</v>
      </c>
      <c r="G10316" s="13">
        <v>916.0371</v>
      </c>
      <c r="H10316" s="14">
        <v>666566.395901</v>
      </c>
      <c r="I10316" s="14" t="e">
        <f>=Round(31.13180000,0)</f>
        <v>#VALUE!</v>
      </c>
      <c r="J10316" s="14" t="e">
        <f>=Round(0.00000000,0)</f>
        <v>#VALUE!</v>
      </c>
    </row>
    <row r="10317">
      <c r="A10317" s="11" t="s">
        <v>45</v>
      </c>
      <c r="B10317" s="12">
        <v>759.8876</v>
      </c>
      <c r="C10317" s="12">
        <v>0</v>
      </c>
      <c r="D10317" s="13">
        <v>0</v>
      </c>
      <c r="E10317" s="12">
        <v>0</v>
      </c>
      <c r="F10317" s="14">
        <v>0</v>
      </c>
      <c r="G10317" s="13">
        <v>916.0371</v>
      </c>
      <c r="H10317" s="14">
        <v>696085.23343</v>
      </c>
      <c r="I10317" s="14" t="e">
        <f>=Round(30.05010000,0)</f>
        <v>#VALUE!</v>
      </c>
      <c r="J10317" s="14" t="e">
        <f>=Round(0.00000000,0)</f>
        <v>#VALUE!</v>
      </c>
    </row>
    <row r="10318">
      <c r="A10318" s="11" t="s">
        <v>46</v>
      </c>
      <c r="B10318" s="12">
        <v>777.7063</v>
      </c>
      <c r="C10318" s="12">
        <v>0</v>
      </c>
      <c r="D10318" s="13">
        <v>0</v>
      </c>
      <c r="E10318" s="12">
        <v>0</v>
      </c>
      <c r="F10318" s="14">
        <v>0</v>
      </c>
      <c r="G10318" s="13">
        <v>916.0371</v>
      </c>
      <c r="H10318" s="14">
        <v>712407.823704</v>
      </c>
      <c r="I10318" s="14" t="e">
        <f>=Round(31.38090000,0)</f>
        <v>#VALUE!</v>
      </c>
      <c r="J10318" s="14" t="e">
        <f>=Round(0.00000000,0)</f>
        <v>#VALUE!</v>
      </c>
    </row>
    <row r="10319">
      <c r="A10319" s="11" t="s">
        <v>47</v>
      </c>
      <c r="B10319" s="12">
        <v>805.2169</v>
      </c>
      <c r="C10319" s="12">
        <v>0</v>
      </c>
      <c r="D10319" s="13">
        <v>0</v>
      </c>
      <c r="E10319" s="12">
        <v>0</v>
      </c>
      <c r="F10319" s="14">
        <v>0</v>
      </c>
      <c r="G10319" s="13">
        <v>916.0371</v>
      </c>
      <c r="H10319" s="14">
        <v>737608.553947</v>
      </c>
      <c r="I10319" s="14" t="e">
        <f>=Round(32.11670000,0)</f>
        <v>#VALUE!</v>
      </c>
      <c r="J10319" s="14" t="e">
        <f>=Round(0.00000000,0)</f>
        <v>#VALUE!</v>
      </c>
    </row>
    <row r="10320">
      <c r="A10320" s="11" t="s">
        <v>48</v>
      </c>
      <c r="B10320" s="12">
        <v>819.447</v>
      </c>
      <c r="C10320" s="12">
        <v>0</v>
      </c>
      <c r="D10320" s="13">
        <v>0</v>
      </c>
      <c r="E10320" s="12">
        <v>0</v>
      </c>
      <c r="F10320" s="14">
        <v>0</v>
      </c>
      <c r="G10320" s="13">
        <v>916.0371</v>
      </c>
      <c r="H10320" s="14">
        <v>750643.853484</v>
      </c>
      <c r="I10320" s="14" t="e">
        <f>=Round(33.25280000,0)</f>
        <v>#VALUE!</v>
      </c>
      <c r="J10320" s="14" t="e">
        <f>=Round(0.00000000,0)</f>
        <v>#VALUE!</v>
      </c>
    </row>
    <row r="10321">
      <c r="A10321" s="11" t="s">
        <v>49</v>
      </c>
      <c r="B10321" s="12">
        <v>819.447</v>
      </c>
      <c r="C10321" s="12">
        <v>0</v>
      </c>
      <c r="D10321" s="13">
        <v>0</v>
      </c>
      <c r="E10321" s="12">
        <v>0</v>
      </c>
      <c r="F10321" s="14">
        <v>0</v>
      </c>
      <c r="G10321" s="13">
        <v>916.0371</v>
      </c>
      <c r="H10321" s="14">
        <v>750643.853484</v>
      </c>
      <c r="I10321" s="14" t="e">
        <f>=Round(33.84050000,0)</f>
        <v>#VALUE!</v>
      </c>
      <c r="J10321" s="14" t="e">
        <f>=Round(0.00000000,0)</f>
        <v>#VALUE!</v>
      </c>
    </row>
    <row r="10322">
      <c r="A10322" s="11" t="s">
        <v>50</v>
      </c>
      <c r="B10322" s="12">
        <v>819.447</v>
      </c>
      <c r="C10322" s="12">
        <v>0</v>
      </c>
      <c r="D10322" s="13">
        <v>0</v>
      </c>
      <c r="E10322" s="12">
        <v>0</v>
      </c>
      <c r="F10322" s="14">
        <v>0</v>
      </c>
      <c r="G10322" s="13">
        <v>916.0371</v>
      </c>
      <c r="H10322" s="14">
        <v>750643.853484</v>
      </c>
      <c r="I10322" s="14" t="e">
        <f>=Round(33.84050000,0)</f>
        <v>#VALUE!</v>
      </c>
      <c r="J10322" s="14" t="e">
        <f>=Round(0.00000000,0)</f>
        <v>#VALUE!</v>
      </c>
    </row>
    <row r="10323">
      <c r="A10323" s="11" t="s">
        <v>51</v>
      </c>
      <c r="B10323" s="12">
        <v>859.2617</v>
      </c>
      <c r="C10323" s="12">
        <v>0</v>
      </c>
      <c r="D10323" s="13">
        <v>0</v>
      </c>
      <c r="E10323" s="12">
        <v>0</v>
      </c>
      <c r="F10323" s="14">
        <v>0</v>
      </c>
      <c r="G10323" s="13">
        <v>916.0371</v>
      </c>
      <c r="H10323" s="14">
        <v>787115.595809</v>
      </c>
      <c r="I10323" s="14" t="e">
        <f>=Round(33.84050000,0)</f>
        <v>#VALUE!</v>
      </c>
      <c r="J10323" s="14" t="e">
        <f>=Round(0.00000000,0)</f>
        <v>#VALUE!</v>
      </c>
    </row>
    <row r="10324">
      <c r="A10324" s="11" t="s">
        <v>52</v>
      </c>
      <c r="B10324" s="12">
        <v>903.6329</v>
      </c>
      <c r="C10324" s="12">
        <v>0</v>
      </c>
      <c r="D10324" s="13">
        <v>0</v>
      </c>
      <c r="E10324" s="12">
        <v>0</v>
      </c>
      <c r="F10324" s="14">
        <v>0</v>
      </c>
      <c r="G10324" s="13">
        <v>916.0371</v>
      </c>
      <c r="H10324" s="14">
        <v>827761.261181</v>
      </c>
      <c r="I10324" s="14" t="e">
        <f>=Round(35.48470000,0)</f>
        <v>#VALUE!</v>
      </c>
      <c r="J10324" s="14" t="e">
        <f>=Round(0.00000000,0)</f>
        <v>#VALUE!</v>
      </c>
    </row>
    <row r="10325">
      <c r="A10325" s="11" t="s">
        <v>53</v>
      </c>
      <c r="B10325" s="12">
        <v>865.5295</v>
      </c>
      <c r="C10325" s="12">
        <v>0</v>
      </c>
      <c r="D10325" s="13">
        <v>0</v>
      </c>
      <c r="E10325" s="12">
        <v>0</v>
      </c>
      <c r="F10325" s="14">
        <v>0</v>
      </c>
      <c r="G10325" s="13">
        <v>916.0371</v>
      </c>
      <c r="H10325" s="14">
        <v>792857.133144</v>
      </c>
      <c r="I10325" s="14" t="e">
        <f>=Round(37.31710000,0)</f>
        <v>#VALUE!</v>
      </c>
      <c r="J10325" s="14" t="e">
        <f>=Round(0.00000000,0)</f>
        <v>#VALUE!</v>
      </c>
    </row>
    <row r="10326">
      <c r="A10326" s="11" t="s">
        <v>54</v>
      </c>
      <c r="B10326" s="12">
        <v>866.0858</v>
      </c>
      <c r="C10326" s="12">
        <v>0</v>
      </c>
      <c r="D10326" s="13">
        <v>0</v>
      </c>
      <c r="E10326" s="12">
        <v>0</v>
      </c>
      <c r="F10326" s="14">
        <v>0</v>
      </c>
      <c r="G10326" s="13">
        <v>916.0371</v>
      </c>
      <c r="H10326" s="14">
        <v>793366.724583</v>
      </c>
      <c r="I10326" s="14" t="e">
        <f>=Round(35.74360000,0)</f>
        <v>#VALUE!</v>
      </c>
      <c r="J10326" s="14" t="e">
        <f>=Round(0.00000000,0)</f>
        <v>#VALUE!</v>
      </c>
    </row>
    <row r="10327">
      <c r="A10327" s="11" t="s">
        <v>55</v>
      </c>
      <c r="B10327" s="12">
        <v>845.204</v>
      </c>
      <c r="C10327" s="12">
        <v>0</v>
      </c>
      <c r="D10327" s="13">
        <v>0</v>
      </c>
      <c r="E10327" s="12">
        <v>0</v>
      </c>
      <c r="F10327" s="14">
        <v>0</v>
      </c>
      <c r="G10327" s="13">
        <v>916.0371</v>
      </c>
      <c r="H10327" s="14">
        <v>774238.221068</v>
      </c>
      <c r="I10327" s="14" t="e">
        <f>=Round(35.76650000,0)</f>
        <v>#VALUE!</v>
      </c>
      <c r="J10327" s="14" t="e">
        <f>=Round(0.00000000,0)</f>
        <v>#VALUE!</v>
      </c>
    </row>
    <row r="10328" ht="-1">
      <c r="A10328" s="15"/>
      <c r="B10328" s="16" t="s">
        <v>56</v>
      </c>
      <c r="C10328" s="15"/>
      <c r="D10328" s="15"/>
      <c r="E10328" s="15"/>
      <c r="F10328" s="15"/>
      <c r="G10328" s="15"/>
      <c r="H10328" s="15"/>
      <c r="I10328" s="17" t="e">
        <f>=Round(SUM(I10302:I10327),0)</f>
        <v>#VALUE!</v>
      </c>
      <c r="J10328" s="17" t="e">
        <f>=Round(SUM(J10302:J10327),0)</f>
        <v>#VALUE!</v>
      </c>
    </row>
    <row r="10329">
      <c r="A10329" s="1" t="s">
        <v>0</v>
      </c>
      <c r="B10329" s="1"/>
      <c r="C10329" s="1"/>
      <c r="D10329" s="1"/>
    </row>
    <row r="10330">
      <c r="A10330" s="0" t="s">
        <v>1</v>
      </c>
      <c r="C10330" s="0" t="s">
        <v>354</v>
      </c>
      <c r="H10330" s="2" t="s">
        <v>3</v>
      </c>
    </row>
    <row r="10331">
      <c r="A10331" s="0" t="s">
        <v>4</v>
      </c>
      <c r="C10331" s="0" t="s">
        <v>357</v>
      </c>
      <c r="H10331" s="3" t="s">
        <v>6</v>
      </c>
    </row>
    <row r="10332">
      <c r="A10332" s="0" t="s">
        <v>7</v>
      </c>
      <c r="C10332" s="4" t="s">
        <v>219</v>
      </c>
      <c r="H10332" s="2" t="s">
        <v>9</v>
      </c>
    </row>
    <row r="10333">
      <c r="A10333" s="0" t="s">
        <v>10</v>
      </c>
      <c r="C10333" s="4" t="s">
        <v>11</v>
      </c>
      <c r="H10333" s="2" t="s">
        <v>12</v>
      </c>
    </row>
    <row r="10334">
      <c r="A10334" s="0" t="s">
        <v>13</v>
      </c>
      <c r="C10334" s="0" t="s">
        <v>14</v>
      </c>
    </row>
    <row r="10335">
      <c r="A10335" s="0" t="s">
        <v>15</v>
      </c>
      <c r="C10335" s="0" t="s">
        <v>16</v>
      </c>
    </row>
    <row r="10336">
      <c r="A10336" s="0" t="s">
        <v>17</v>
      </c>
      <c r="C10336" s="0" t="s">
        <v>18</v>
      </c>
    </row>
    <row r="10339">
      <c r="A10339" s="5" t="s">
        <v>19</v>
      </c>
      <c r="B10339" s="5" t="s">
        <v>20</v>
      </c>
      <c r="C10339" s="7" t="s">
        <v>21</v>
      </c>
      <c r="D10339" s="9"/>
      <c r="E10339" s="7" t="s">
        <v>22</v>
      </c>
      <c r="F10339" s="9"/>
      <c r="G10339" s="5" t="s">
        <v>23</v>
      </c>
      <c r="H10339" s="5" t="s">
        <v>24</v>
      </c>
      <c r="I10339" s="5" t="s">
        <v>220</v>
      </c>
      <c r="J10339" s="5" t="s">
        <v>26</v>
      </c>
    </row>
    <row r="10340">
      <c r="A10340" s="6"/>
      <c r="B10340" s="6"/>
      <c r="C10340" s="8" t="s">
        <v>27</v>
      </c>
      <c r="D10340" s="8" t="s">
        <v>28</v>
      </c>
      <c r="E10340" s="8" t="s">
        <v>27</v>
      </c>
      <c r="F10340" s="8" t="s">
        <v>28</v>
      </c>
      <c r="G10340" s="6"/>
      <c r="H10340" s="6"/>
      <c r="I10340" s="10" t="s">
        <v>29</v>
      </c>
      <c r="J10340" s="6"/>
    </row>
    <row r="10341">
      <c r="A10341" s="11" t="s">
        <v>30</v>
      </c>
      <c r="B10341" s="12">
        <v>817.1218</v>
      </c>
      <c r="C10341" s="12">
        <v>0</v>
      </c>
      <c r="D10341" s="13">
        <v>0</v>
      </c>
      <c r="E10341" s="12">
        <v>0</v>
      </c>
      <c r="F10341" s="14">
        <v>0</v>
      </c>
      <c r="G10341" s="13">
        <v>230.8176</v>
      </c>
      <c r="H10341" s="14">
        <v>188606.092784</v>
      </c>
      <c r="I10341" s="14" t="e">
        <f>=Round(8.68340000,0)</f>
        <v>#VALUE!</v>
      </c>
      <c r="J10341" s="14" t="e">
        <f>=Round(0.00000000,0)</f>
        <v>#VALUE!</v>
      </c>
    </row>
    <row r="10342">
      <c r="A10342" s="11" t="s">
        <v>31</v>
      </c>
      <c r="B10342" s="12">
        <v>804.256</v>
      </c>
      <c r="C10342" s="12">
        <v>0</v>
      </c>
      <c r="D10342" s="13">
        <v>0</v>
      </c>
      <c r="E10342" s="12">
        <v>0</v>
      </c>
      <c r="F10342" s="14">
        <v>0</v>
      </c>
      <c r="G10342" s="13">
        <v>230.8176</v>
      </c>
      <c r="H10342" s="14">
        <v>185636.439706</v>
      </c>
      <c r="I10342" s="14" t="e">
        <f>=Round(8.50270000,0)</f>
        <v>#VALUE!</v>
      </c>
      <c r="J10342" s="14" t="e">
        <f>=Round(0.00000000,0)</f>
        <v>#VALUE!</v>
      </c>
    </row>
    <row r="10343">
      <c r="A10343" s="11" t="s">
        <v>32</v>
      </c>
      <c r="B10343" s="12">
        <v>795.4116</v>
      </c>
      <c r="C10343" s="12">
        <v>0</v>
      </c>
      <c r="D10343" s="13">
        <v>0</v>
      </c>
      <c r="E10343" s="12">
        <v>0</v>
      </c>
      <c r="F10343" s="14">
        <v>0</v>
      </c>
      <c r="G10343" s="13">
        <v>230.8176</v>
      </c>
      <c r="H10343" s="14">
        <v>183594.996524</v>
      </c>
      <c r="I10343" s="14" t="e">
        <f>=Round(8.36890000,0)</f>
        <v>#VALUE!</v>
      </c>
      <c r="J10343" s="14" t="e">
        <f>=Round(0.00000000,0)</f>
        <v>#VALUE!</v>
      </c>
    </row>
    <row r="10344">
      <c r="A10344" s="11" t="s">
        <v>33</v>
      </c>
      <c r="B10344" s="12">
        <v>796.8627</v>
      </c>
      <c r="C10344" s="12">
        <v>0</v>
      </c>
      <c r="D10344" s="13">
        <v>0</v>
      </c>
      <c r="E10344" s="12">
        <v>0</v>
      </c>
      <c r="F10344" s="14">
        <v>0</v>
      </c>
      <c r="G10344" s="13">
        <v>230.8176</v>
      </c>
      <c r="H10344" s="14">
        <v>183929.935944</v>
      </c>
      <c r="I10344" s="14" t="e">
        <f>=Round(8.27680000,0)</f>
        <v>#VALUE!</v>
      </c>
      <c r="J10344" s="14" t="e">
        <f>=Round(0.00000000,0)</f>
        <v>#VALUE!</v>
      </c>
    </row>
    <row r="10345">
      <c r="A10345" s="11" t="s">
        <v>34</v>
      </c>
      <c r="B10345" s="12">
        <v>813.7962</v>
      </c>
      <c r="C10345" s="12">
        <v>0</v>
      </c>
      <c r="D10345" s="13">
        <v>0</v>
      </c>
      <c r="E10345" s="12">
        <v>0</v>
      </c>
      <c r="F10345" s="14">
        <v>0</v>
      </c>
      <c r="G10345" s="13">
        <v>230.8176</v>
      </c>
      <c r="H10345" s="14">
        <v>187838.485773</v>
      </c>
      <c r="I10345" s="14" t="e">
        <f>=Round(8.29190000,0)</f>
        <v>#VALUE!</v>
      </c>
      <c r="J10345" s="14" t="e">
        <f>=Round(0.00000000,0)</f>
        <v>#VALUE!</v>
      </c>
    </row>
    <row r="10346">
      <c r="A10346" s="11" t="s">
        <v>35</v>
      </c>
      <c r="B10346" s="12">
        <v>813.7962</v>
      </c>
      <c r="C10346" s="12">
        <v>0</v>
      </c>
      <c r="D10346" s="13">
        <v>0</v>
      </c>
      <c r="E10346" s="12">
        <v>0</v>
      </c>
      <c r="F10346" s="14">
        <v>0</v>
      </c>
      <c r="G10346" s="13">
        <v>230.8176</v>
      </c>
      <c r="H10346" s="14">
        <v>187838.485773</v>
      </c>
      <c r="I10346" s="14" t="e">
        <f>=Round(8.46810000,0)</f>
        <v>#VALUE!</v>
      </c>
      <c r="J10346" s="14" t="e">
        <f>=Round(0.00000000,0)</f>
        <v>#VALUE!</v>
      </c>
    </row>
    <row r="10347">
      <c r="A10347" s="11" t="s">
        <v>36</v>
      </c>
      <c r="B10347" s="12">
        <v>813.7962</v>
      </c>
      <c r="C10347" s="12">
        <v>0</v>
      </c>
      <c r="D10347" s="13">
        <v>0</v>
      </c>
      <c r="E10347" s="12">
        <v>0</v>
      </c>
      <c r="F10347" s="14">
        <v>0</v>
      </c>
      <c r="G10347" s="13">
        <v>230.8176</v>
      </c>
      <c r="H10347" s="14">
        <v>187838.485773</v>
      </c>
      <c r="I10347" s="14" t="e">
        <f>=Round(8.46810000,0)</f>
        <v>#VALUE!</v>
      </c>
      <c r="J10347" s="14" t="e">
        <f>=Round(0.00000000,0)</f>
        <v>#VALUE!</v>
      </c>
    </row>
    <row r="10348">
      <c r="A10348" s="11" t="s">
        <v>37</v>
      </c>
      <c r="B10348" s="12">
        <v>800.4415</v>
      </c>
      <c r="C10348" s="12">
        <v>0</v>
      </c>
      <c r="D10348" s="13">
        <v>0</v>
      </c>
      <c r="E10348" s="12">
        <v>0</v>
      </c>
      <c r="F10348" s="14">
        <v>0</v>
      </c>
      <c r="G10348" s="13">
        <v>230.8176</v>
      </c>
      <c r="H10348" s="14">
        <v>184755.98597</v>
      </c>
      <c r="I10348" s="14" t="e">
        <f>=Round(8.46810000,0)</f>
        <v>#VALUE!</v>
      </c>
      <c r="J10348" s="14" t="e">
        <f>=Round(0.00000000,0)</f>
        <v>#VALUE!</v>
      </c>
    </row>
    <row r="10349">
      <c r="A10349" s="11" t="s">
        <v>38</v>
      </c>
      <c r="B10349" s="12">
        <v>800.3099</v>
      </c>
      <c r="C10349" s="12">
        <v>0</v>
      </c>
      <c r="D10349" s="13">
        <v>0</v>
      </c>
      <c r="E10349" s="12">
        <v>0</v>
      </c>
      <c r="F10349" s="14">
        <v>0</v>
      </c>
      <c r="G10349" s="13">
        <v>230.8176</v>
      </c>
      <c r="H10349" s="14">
        <v>184725.610374</v>
      </c>
      <c r="I10349" s="14" t="e">
        <f>=Round(8.32920000,0)</f>
        <v>#VALUE!</v>
      </c>
      <c r="J10349" s="14" t="e">
        <f>=Round(0.00000000,0)</f>
        <v>#VALUE!</v>
      </c>
    </row>
    <row r="10350">
      <c r="A10350" s="11" t="s">
        <v>39</v>
      </c>
      <c r="B10350" s="12">
        <v>788.3197</v>
      </c>
      <c r="C10350" s="12">
        <v>0</v>
      </c>
      <c r="D10350" s="13">
        <v>0</v>
      </c>
      <c r="E10350" s="12">
        <v>0</v>
      </c>
      <c r="F10350" s="14">
        <v>0</v>
      </c>
      <c r="G10350" s="13">
        <v>230.8176</v>
      </c>
      <c r="H10350" s="14">
        <v>181958.061187</v>
      </c>
      <c r="I10350" s="14" t="e">
        <f>=Round(8.32780000,0)</f>
        <v>#VALUE!</v>
      </c>
      <c r="J10350" s="14" t="e">
        <f>=Round(0.00000000,0)</f>
        <v>#VALUE!</v>
      </c>
    </row>
    <row r="10351">
      <c r="A10351" s="11" t="s">
        <v>40</v>
      </c>
      <c r="B10351" s="12">
        <v>767.5103</v>
      </c>
      <c r="C10351" s="12">
        <v>0</v>
      </c>
      <c r="D10351" s="13">
        <v>0</v>
      </c>
      <c r="E10351" s="12">
        <v>0</v>
      </c>
      <c r="F10351" s="14">
        <v>0</v>
      </c>
      <c r="G10351" s="13">
        <v>230.8176</v>
      </c>
      <c r="H10351" s="14">
        <v>177154.885421</v>
      </c>
      <c r="I10351" s="14" t="e">
        <f>=Round(8.20300000,0)</f>
        <v>#VALUE!</v>
      </c>
      <c r="J10351" s="14" t="e">
        <f>=Round(0.00000000,0)</f>
        <v>#VALUE!</v>
      </c>
    </row>
    <row r="10352">
      <c r="A10352" s="11" t="s">
        <v>41</v>
      </c>
      <c r="B10352" s="12">
        <v>753.8547</v>
      </c>
      <c r="C10352" s="12">
        <v>0</v>
      </c>
      <c r="D10352" s="13">
        <v>0</v>
      </c>
      <c r="E10352" s="12">
        <v>0</v>
      </c>
      <c r="F10352" s="14">
        <v>0</v>
      </c>
      <c r="G10352" s="13">
        <v>230.8176</v>
      </c>
      <c r="H10352" s="14">
        <v>174002.932603</v>
      </c>
      <c r="I10352" s="14" t="e">
        <f>=Round(7.98650000,0)</f>
        <v>#VALUE!</v>
      </c>
      <c r="J10352" s="14" t="e">
        <f>=Round(0.00000000,0)</f>
        <v>#VALUE!</v>
      </c>
    </row>
    <row r="10353">
      <c r="A10353" s="11" t="s">
        <v>42</v>
      </c>
      <c r="B10353" s="12">
        <v>753.8547</v>
      </c>
      <c r="C10353" s="12">
        <v>0</v>
      </c>
      <c r="D10353" s="13">
        <v>0</v>
      </c>
      <c r="E10353" s="12">
        <v>0</v>
      </c>
      <c r="F10353" s="14">
        <v>0</v>
      </c>
      <c r="G10353" s="13">
        <v>230.8176</v>
      </c>
      <c r="H10353" s="14">
        <v>174002.932603</v>
      </c>
      <c r="I10353" s="14" t="e">
        <f>=Round(7.84440000,0)</f>
        <v>#VALUE!</v>
      </c>
      <c r="J10353" s="14" t="e">
        <f>=Round(0.00000000,0)</f>
        <v>#VALUE!</v>
      </c>
    </row>
    <row r="10354">
      <c r="A10354" s="11" t="s">
        <v>43</v>
      </c>
      <c r="B10354" s="12">
        <v>753.8547</v>
      </c>
      <c r="C10354" s="12">
        <v>0</v>
      </c>
      <c r="D10354" s="13">
        <v>0</v>
      </c>
      <c r="E10354" s="12">
        <v>0</v>
      </c>
      <c r="F10354" s="14">
        <v>0</v>
      </c>
      <c r="G10354" s="13">
        <v>230.8176</v>
      </c>
      <c r="H10354" s="14">
        <v>174002.932603</v>
      </c>
      <c r="I10354" s="14" t="e">
        <f>=Round(7.84440000,0)</f>
        <v>#VALUE!</v>
      </c>
      <c r="J10354" s="14" t="e">
        <f>=Round(0.00000000,0)</f>
        <v>#VALUE!</v>
      </c>
    </row>
    <row r="10355">
      <c r="A10355" s="11" t="s">
        <v>44</v>
      </c>
      <c r="B10355" s="12">
        <v>727.6631</v>
      </c>
      <c r="C10355" s="12">
        <v>0</v>
      </c>
      <c r="D10355" s="13">
        <v>0</v>
      </c>
      <c r="E10355" s="12">
        <v>0</v>
      </c>
      <c r="F10355" s="14">
        <v>0</v>
      </c>
      <c r="G10355" s="13">
        <v>230.8176</v>
      </c>
      <c r="H10355" s="14">
        <v>167957.450351</v>
      </c>
      <c r="I10355" s="14" t="e">
        <f>=Round(7.84440000,0)</f>
        <v>#VALUE!</v>
      </c>
      <c r="J10355" s="14" t="e">
        <f>=Round(0.00000000,0)</f>
        <v>#VALUE!</v>
      </c>
    </row>
    <row r="10356">
      <c r="A10356" s="11" t="s">
        <v>45</v>
      </c>
      <c r="B10356" s="12">
        <v>759.8876</v>
      </c>
      <c r="C10356" s="12">
        <v>0</v>
      </c>
      <c r="D10356" s="13">
        <v>0</v>
      </c>
      <c r="E10356" s="12">
        <v>0</v>
      </c>
      <c r="F10356" s="14">
        <v>0</v>
      </c>
      <c r="G10356" s="13">
        <v>230.8176</v>
      </c>
      <c r="H10356" s="14">
        <v>175395.432102</v>
      </c>
      <c r="I10356" s="14" t="e">
        <f>=Round(7.57190000,0)</f>
        <v>#VALUE!</v>
      </c>
      <c r="J10356" s="14" t="e">
        <f>=Round(0.00000000,0)</f>
        <v>#VALUE!</v>
      </c>
    </row>
    <row r="10357">
      <c r="A10357" s="11" t="s">
        <v>46</v>
      </c>
      <c r="B10357" s="12">
        <v>777.7063</v>
      </c>
      <c r="C10357" s="12">
        <v>0</v>
      </c>
      <c r="D10357" s="13">
        <v>0</v>
      </c>
      <c r="E10357" s="12">
        <v>0</v>
      </c>
      <c r="F10357" s="14">
        <v>0</v>
      </c>
      <c r="G10357" s="13">
        <v>230.8176</v>
      </c>
      <c r="H10357" s="14">
        <v>179508.301671</v>
      </c>
      <c r="I10357" s="14" t="e">
        <f>=Round(7.90720000,0)</f>
        <v>#VALUE!</v>
      </c>
      <c r="J10357" s="14" t="e">
        <f>=Round(0.00000000,0)</f>
        <v>#VALUE!</v>
      </c>
    </row>
    <row r="10358">
      <c r="A10358" s="11" t="s">
        <v>47</v>
      </c>
      <c r="B10358" s="12">
        <v>805.2169</v>
      </c>
      <c r="C10358" s="12">
        <v>0</v>
      </c>
      <c r="D10358" s="13">
        <v>0</v>
      </c>
      <c r="E10358" s="12">
        <v>0</v>
      </c>
      <c r="F10358" s="14">
        <v>0</v>
      </c>
      <c r="G10358" s="13">
        <v>230.8176</v>
      </c>
      <c r="H10358" s="14">
        <v>185858.232337</v>
      </c>
      <c r="I10358" s="14" t="e">
        <f>=Round(8.09260000,0)</f>
        <v>#VALUE!</v>
      </c>
      <c r="J10358" s="14" t="e">
        <f>=Round(0.00000000,0)</f>
        <v>#VALUE!</v>
      </c>
    </row>
    <row r="10359">
      <c r="A10359" s="11" t="s">
        <v>48</v>
      </c>
      <c r="B10359" s="12">
        <v>819.447</v>
      </c>
      <c r="C10359" s="12">
        <v>0</v>
      </c>
      <c r="D10359" s="13">
        <v>0</v>
      </c>
      <c r="E10359" s="12">
        <v>0</v>
      </c>
      <c r="F10359" s="14">
        <v>0</v>
      </c>
      <c r="G10359" s="13">
        <v>230.8176</v>
      </c>
      <c r="H10359" s="14">
        <v>189142.789867</v>
      </c>
      <c r="I10359" s="14" t="e">
        <f>=Round(8.37890000,0)</f>
        <v>#VALUE!</v>
      </c>
      <c r="J10359" s="14" t="e">
        <f>=Round(0.00000000,0)</f>
        <v>#VALUE!</v>
      </c>
    </row>
    <row r="10360">
      <c r="A10360" s="11" t="s">
        <v>49</v>
      </c>
      <c r="B10360" s="12">
        <v>819.447</v>
      </c>
      <c r="C10360" s="12">
        <v>0</v>
      </c>
      <c r="D10360" s="13">
        <v>0</v>
      </c>
      <c r="E10360" s="12">
        <v>0</v>
      </c>
      <c r="F10360" s="14">
        <v>0</v>
      </c>
      <c r="G10360" s="13">
        <v>230.8176</v>
      </c>
      <c r="H10360" s="14">
        <v>189142.789867</v>
      </c>
      <c r="I10360" s="14" t="e">
        <f>=Round(8.52690000,0)</f>
        <v>#VALUE!</v>
      </c>
      <c r="J10360" s="14" t="e">
        <f>=Round(0.00000000,0)</f>
        <v>#VALUE!</v>
      </c>
    </row>
    <row r="10361">
      <c r="A10361" s="11" t="s">
        <v>50</v>
      </c>
      <c r="B10361" s="12">
        <v>819.447</v>
      </c>
      <c r="C10361" s="12">
        <v>0</v>
      </c>
      <c r="D10361" s="13">
        <v>0</v>
      </c>
      <c r="E10361" s="12">
        <v>0</v>
      </c>
      <c r="F10361" s="14">
        <v>0</v>
      </c>
      <c r="G10361" s="13">
        <v>230.8176</v>
      </c>
      <c r="H10361" s="14">
        <v>189142.789867</v>
      </c>
      <c r="I10361" s="14" t="e">
        <f>=Round(8.52690000,0)</f>
        <v>#VALUE!</v>
      </c>
      <c r="J10361" s="14" t="e">
        <f>=Round(0.00000000,0)</f>
        <v>#VALUE!</v>
      </c>
    </row>
    <row r="10362">
      <c r="A10362" s="11" t="s">
        <v>51</v>
      </c>
      <c r="B10362" s="12">
        <v>859.2617</v>
      </c>
      <c r="C10362" s="12">
        <v>0</v>
      </c>
      <c r="D10362" s="13">
        <v>0</v>
      </c>
      <c r="E10362" s="12">
        <v>0</v>
      </c>
      <c r="F10362" s="14">
        <v>0</v>
      </c>
      <c r="G10362" s="13">
        <v>230.8176</v>
      </c>
      <c r="H10362" s="14">
        <v>198332.723366</v>
      </c>
      <c r="I10362" s="14" t="e">
        <f>=Round(8.52690000,0)</f>
        <v>#VALUE!</v>
      </c>
      <c r="J10362" s="14" t="e">
        <f>=Round(0.00000000,0)</f>
        <v>#VALUE!</v>
      </c>
    </row>
    <row r="10363">
      <c r="A10363" s="11" t="s">
        <v>52</v>
      </c>
      <c r="B10363" s="12">
        <v>903.6329</v>
      </c>
      <c r="C10363" s="12">
        <v>0</v>
      </c>
      <c r="D10363" s="13">
        <v>0</v>
      </c>
      <c r="E10363" s="12">
        <v>0</v>
      </c>
      <c r="F10363" s="14">
        <v>0</v>
      </c>
      <c r="G10363" s="13">
        <v>230.8176</v>
      </c>
      <c r="H10363" s="14">
        <v>208574.377259</v>
      </c>
      <c r="I10363" s="14" t="e">
        <f>=Round(8.94120000,0)</f>
        <v>#VALUE!</v>
      </c>
      <c r="J10363" s="14" t="e">
        <f>=Round(0.00000000,0)</f>
        <v>#VALUE!</v>
      </c>
    </row>
    <row r="10364">
      <c r="A10364" s="11" t="s">
        <v>53</v>
      </c>
      <c r="B10364" s="12">
        <v>865.5295</v>
      </c>
      <c r="C10364" s="12">
        <v>0</v>
      </c>
      <c r="D10364" s="13">
        <v>0</v>
      </c>
      <c r="E10364" s="12">
        <v>0</v>
      </c>
      <c r="F10364" s="14">
        <v>0</v>
      </c>
      <c r="G10364" s="13">
        <v>230.8176</v>
      </c>
      <c r="H10364" s="14">
        <v>199779.441919</v>
      </c>
      <c r="I10364" s="14" t="e">
        <f>=Round(9.40290000,0)</f>
        <v>#VALUE!</v>
      </c>
      <c r="J10364" s="14" t="e">
        <f>=Round(0.00000000,0)</f>
        <v>#VALUE!</v>
      </c>
    </row>
    <row r="10365">
      <c r="A10365" s="11" t="s">
        <v>54</v>
      </c>
      <c r="B10365" s="12">
        <v>866.0858</v>
      </c>
      <c r="C10365" s="12">
        <v>0</v>
      </c>
      <c r="D10365" s="13">
        <v>0</v>
      </c>
      <c r="E10365" s="12">
        <v>0</v>
      </c>
      <c r="F10365" s="14">
        <v>0</v>
      </c>
      <c r="G10365" s="13">
        <v>230.8176</v>
      </c>
      <c r="H10365" s="14">
        <v>199907.84575</v>
      </c>
      <c r="I10365" s="14" t="e">
        <f>=Round(9.00650000,0)</f>
        <v>#VALUE!</v>
      </c>
      <c r="J10365" s="14" t="e">
        <f>=Round(0.00000000,0)</f>
        <v>#VALUE!</v>
      </c>
    </row>
    <row r="10366">
      <c r="A10366" s="11" t="s">
        <v>55</v>
      </c>
      <c r="B10366" s="12">
        <v>845.204</v>
      </c>
      <c r="C10366" s="12">
        <v>0</v>
      </c>
      <c r="D10366" s="13">
        <v>0</v>
      </c>
      <c r="E10366" s="12">
        <v>0</v>
      </c>
      <c r="F10366" s="14">
        <v>0</v>
      </c>
      <c r="G10366" s="13">
        <v>230.8176</v>
      </c>
      <c r="H10366" s="14">
        <v>195087.95879</v>
      </c>
      <c r="I10366" s="14" t="e">
        <f>=Round(9.01220000,0)</f>
        <v>#VALUE!</v>
      </c>
      <c r="J10366" s="14" t="e">
        <f>=Round(0.00000000,0)</f>
        <v>#VALUE!</v>
      </c>
    </row>
    <row r="10367" ht="-1">
      <c r="A10367" s="15"/>
      <c r="B10367" s="16" t="s">
        <v>56</v>
      </c>
      <c r="C10367" s="15"/>
      <c r="D10367" s="15"/>
      <c r="E10367" s="15"/>
      <c r="F10367" s="15"/>
      <c r="G10367" s="15"/>
      <c r="H10367" s="15"/>
      <c r="I10367" s="17" t="e">
        <f>=Round(SUM(I10341:I10366),0)</f>
        <v>#VALUE!</v>
      </c>
      <c r="J10367" s="17" t="e">
        <f>=Round(SUM(J10341:J10366),0)</f>
        <v>#VALUE!</v>
      </c>
    </row>
    <row r="10368">
      <c r="A10368" s="1" t="s">
        <v>0</v>
      </c>
      <c r="B10368" s="1"/>
      <c r="C10368" s="1"/>
      <c r="D10368" s="1"/>
    </row>
    <row r="10369">
      <c r="A10369" s="0" t="s">
        <v>1</v>
      </c>
      <c r="C10369" s="0" t="s">
        <v>354</v>
      </c>
      <c r="H10369" s="2" t="s">
        <v>3</v>
      </c>
    </row>
    <row r="10370">
      <c r="A10370" s="0" t="s">
        <v>4</v>
      </c>
      <c r="C10370" s="0" t="s">
        <v>313</v>
      </c>
      <c r="H10370" s="3" t="s">
        <v>6</v>
      </c>
    </row>
    <row r="10371">
      <c r="A10371" s="0" t="s">
        <v>7</v>
      </c>
      <c r="C10371" s="4" t="s">
        <v>219</v>
      </c>
      <c r="H10371" s="2" t="s">
        <v>9</v>
      </c>
    </row>
    <row r="10372">
      <c r="A10372" s="0" t="s">
        <v>10</v>
      </c>
      <c r="C10372" s="4" t="s">
        <v>11</v>
      </c>
      <c r="H10372" s="2" t="s">
        <v>12</v>
      </c>
    </row>
    <row r="10373">
      <c r="A10373" s="0" t="s">
        <v>13</v>
      </c>
      <c r="C10373" s="0" t="s">
        <v>14</v>
      </c>
    </row>
    <row r="10374">
      <c r="A10374" s="0" t="s">
        <v>15</v>
      </c>
      <c r="C10374" s="0" t="s">
        <v>16</v>
      </c>
    </row>
    <row r="10375">
      <c r="A10375" s="0" t="s">
        <v>17</v>
      </c>
      <c r="C10375" s="0" t="s">
        <v>18</v>
      </c>
    </row>
    <row r="10378">
      <c r="A10378" s="5" t="s">
        <v>19</v>
      </c>
      <c r="B10378" s="5" t="s">
        <v>20</v>
      </c>
      <c r="C10378" s="7" t="s">
        <v>21</v>
      </c>
      <c r="D10378" s="9"/>
      <c r="E10378" s="7" t="s">
        <v>22</v>
      </c>
      <c r="F10378" s="9"/>
      <c r="G10378" s="5" t="s">
        <v>23</v>
      </c>
      <c r="H10378" s="5" t="s">
        <v>24</v>
      </c>
      <c r="I10378" s="5" t="s">
        <v>220</v>
      </c>
      <c r="J10378" s="5" t="s">
        <v>26</v>
      </c>
    </row>
    <row r="10379">
      <c r="A10379" s="6"/>
      <c r="B10379" s="6"/>
      <c r="C10379" s="8" t="s">
        <v>27</v>
      </c>
      <c r="D10379" s="8" t="s">
        <v>28</v>
      </c>
      <c r="E10379" s="8" t="s">
        <v>27</v>
      </c>
      <c r="F10379" s="8" t="s">
        <v>28</v>
      </c>
      <c r="G10379" s="6"/>
      <c r="H10379" s="6"/>
      <c r="I10379" s="10" t="s">
        <v>29</v>
      </c>
      <c r="J10379" s="6"/>
    </row>
    <row r="10380">
      <c r="A10380" s="11" t="s">
        <v>30</v>
      </c>
      <c r="B10380" s="12">
        <v>817.1218</v>
      </c>
      <c r="C10380" s="12">
        <v>0</v>
      </c>
      <c r="D10380" s="13">
        <v>0</v>
      </c>
      <c r="E10380" s="12">
        <v>0</v>
      </c>
      <c r="F10380" s="14">
        <v>0</v>
      </c>
      <c r="G10380" s="13">
        <v>36929.842</v>
      </c>
      <c r="H10380" s="14">
        <v>30176178.968756</v>
      </c>
      <c r="I10380" s="14" t="e">
        <f>=Round(1389.31310000,0)</f>
        <v>#VALUE!</v>
      </c>
      <c r="J10380" s="14" t="e">
        <f>=Round(0.00000000,0)</f>
        <v>#VALUE!</v>
      </c>
    </row>
    <row r="10381">
      <c r="A10381" s="11" t="s">
        <v>31</v>
      </c>
      <c r="B10381" s="12">
        <v>804.256</v>
      </c>
      <c r="C10381" s="12">
        <v>0</v>
      </c>
      <c r="D10381" s="13">
        <v>0</v>
      </c>
      <c r="E10381" s="12">
        <v>0</v>
      </c>
      <c r="F10381" s="14">
        <v>0</v>
      </c>
      <c r="G10381" s="13">
        <v>36929.842</v>
      </c>
      <c r="H10381" s="14">
        <v>29701047.007552</v>
      </c>
      <c r="I10381" s="14" t="e">
        <f>=Round(1360.40150000,0)</f>
        <v>#VALUE!</v>
      </c>
      <c r="J10381" s="14" t="e">
        <f>=Round(0.00000000,0)</f>
        <v>#VALUE!</v>
      </c>
    </row>
    <row r="10382">
      <c r="A10382" s="11" t="s">
        <v>32</v>
      </c>
      <c r="B10382" s="12">
        <v>795.4116</v>
      </c>
      <c r="C10382" s="12">
        <v>0</v>
      </c>
      <c r="D10382" s="13">
        <v>0</v>
      </c>
      <c r="E10382" s="12">
        <v>0</v>
      </c>
      <c r="F10382" s="14">
        <v>0</v>
      </c>
      <c r="G10382" s="13">
        <v>36929.842</v>
      </c>
      <c r="H10382" s="14">
        <v>29374424.712967</v>
      </c>
      <c r="I10382" s="14" t="e">
        <f>=Round(1338.98160000,0)</f>
        <v>#VALUE!</v>
      </c>
      <c r="J10382" s="14" t="e">
        <f>=Round(0.00000000,0)</f>
        <v>#VALUE!</v>
      </c>
    </row>
    <row r="10383">
      <c r="A10383" s="11" t="s">
        <v>33</v>
      </c>
      <c r="B10383" s="12">
        <v>796.8627</v>
      </c>
      <c r="C10383" s="12">
        <v>0</v>
      </c>
      <c r="D10383" s="13">
        <v>0</v>
      </c>
      <c r="E10383" s="12">
        <v>0</v>
      </c>
      <c r="F10383" s="14">
        <v>0</v>
      </c>
      <c r="G10383" s="13">
        <v>36929.842</v>
      </c>
      <c r="H10383" s="14">
        <v>29428013.606693</v>
      </c>
      <c r="I10383" s="14" t="e">
        <f>=Round(1324.25690000,0)</f>
        <v>#VALUE!</v>
      </c>
      <c r="J10383" s="14" t="e">
        <f>=Round(0.00000000,0)</f>
        <v>#VALUE!</v>
      </c>
    </row>
    <row r="10384">
      <c r="A10384" s="11" t="s">
        <v>34</v>
      </c>
      <c r="B10384" s="12">
        <v>813.7962</v>
      </c>
      <c r="C10384" s="12">
        <v>0</v>
      </c>
      <c r="D10384" s="13">
        <v>0</v>
      </c>
      <c r="E10384" s="12">
        <v>0</v>
      </c>
      <c r="F10384" s="14">
        <v>0</v>
      </c>
      <c r="G10384" s="13">
        <v>36929.842</v>
      </c>
      <c r="H10384" s="14">
        <v>30053365.0862</v>
      </c>
      <c r="I10384" s="14" t="e">
        <f>=Round(1326.67270000,0)</f>
        <v>#VALUE!</v>
      </c>
      <c r="J10384" s="14" t="e">
        <f>=Round(0.00000000,0)</f>
        <v>#VALUE!</v>
      </c>
    </row>
    <row r="10385">
      <c r="A10385" s="11" t="s">
        <v>35</v>
      </c>
      <c r="B10385" s="12">
        <v>813.7962</v>
      </c>
      <c r="C10385" s="12">
        <v>0</v>
      </c>
      <c r="D10385" s="13">
        <v>0</v>
      </c>
      <c r="E10385" s="12">
        <v>0</v>
      </c>
      <c r="F10385" s="14">
        <v>0</v>
      </c>
      <c r="G10385" s="13">
        <v>36929.842</v>
      </c>
      <c r="H10385" s="14">
        <v>30053365.0862</v>
      </c>
      <c r="I10385" s="14" t="e">
        <f>=Round(1354.86480000,0)</f>
        <v>#VALUE!</v>
      </c>
      <c r="J10385" s="14" t="e">
        <f>=Round(0.00000000,0)</f>
        <v>#VALUE!</v>
      </c>
    </row>
    <row r="10386">
      <c r="A10386" s="11" t="s">
        <v>36</v>
      </c>
      <c r="B10386" s="12">
        <v>813.7962</v>
      </c>
      <c r="C10386" s="12">
        <v>0</v>
      </c>
      <c r="D10386" s="13">
        <v>0</v>
      </c>
      <c r="E10386" s="12">
        <v>0</v>
      </c>
      <c r="F10386" s="14">
        <v>0</v>
      </c>
      <c r="G10386" s="13">
        <v>36929.842</v>
      </c>
      <c r="H10386" s="14">
        <v>30053365.0862</v>
      </c>
      <c r="I10386" s="14" t="e">
        <f>=Round(1354.86480000,0)</f>
        <v>#VALUE!</v>
      </c>
      <c r="J10386" s="14" t="e">
        <f>=Round(0.00000000,0)</f>
        <v>#VALUE!</v>
      </c>
    </row>
    <row r="10387">
      <c r="A10387" s="11" t="s">
        <v>37</v>
      </c>
      <c r="B10387" s="12">
        <v>800.4415</v>
      </c>
      <c r="C10387" s="12">
        <v>0</v>
      </c>
      <c r="D10387" s="13">
        <v>0</v>
      </c>
      <c r="E10387" s="12">
        <v>0</v>
      </c>
      <c r="F10387" s="14">
        <v>0</v>
      </c>
      <c r="G10387" s="13">
        <v>36929.842</v>
      </c>
      <c r="H10387" s="14">
        <v>29560178.125243</v>
      </c>
      <c r="I10387" s="14" t="e">
        <f>=Round(1354.86480000,0)</f>
        <v>#VALUE!</v>
      </c>
      <c r="J10387" s="14" t="e">
        <f>=Round(0.00000000,0)</f>
        <v>#VALUE!</v>
      </c>
    </row>
    <row r="10388">
      <c r="A10388" s="11" t="s">
        <v>38</v>
      </c>
      <c r="B10388" s="12">
        <v>800.3099</v>
      </c>
      <c r="C10388" s="12">
        <v>0</v>
      </c>
      <c r="D10388" s="13">
        <v>0</v>
      </c>
      <c r="E10388" s="12">
        <v>0</v>
      </c>
      <c r="F10388" s="14">
        <v>0</v>
      </c>
      <c r="G10388" s="13">
        <v>36929.842</v>
      </c>
      <c r="H10388" s="14">
        <v>29555318.158036</v>
      </c>
      <c r="I10388" s="14" t="e">
        <f>=Round(1332.63100000,0)</f>
        <v>#VALUE!</v>
      </c>
      <c r="J10388" s="14" t="e">
        <f>=Round(0.00000000,0)</f>
        <v>#VALUE!</v>
      </c>
    </row>
    <row r="10389">
      <c r="A10389" s="11" t="s">
        <v>39</v>
      </c>
      <c r="B10389" s="12">
        <v>788.3197</v>
      </c>
      <c r="C10389" s="12">
        <v>0</v>
      </c>
      <c r="D10389" s="13">
        <v>0</v>
      </c>
      <c r="E10389" s="12">
        <v>0</v>
      </c>
      <c r="F10389" s="14">
        <v>0</v>
      </c>
      <c r="G10389" s="13">
        <v>36929.842</v>
      </c>
      <c r="H10389" s="14">
        <v>29112521.966487</v>
      </c>
      <c r="I10389" s="14" t="e">
        <f>=Round(1332.41190000,0)</f>
        <v>#VALUE!</v>
      </c>
      <c r="J10389" s="14" t="e">
        <f>=Round(0.00000000,0)</f>
        <v>#VALUE!</v>
      </c>
    </row>
    <row r="10390">
      <c r="A10390" s="11" t="s">
        <v>40</v>
      </c>
      <c r="B10390" s="12">
        <v>767.5103</v>
      </c>
      <c r="C10390" s="12">
        <v>0</v>
      </c>
      <c r="D10390" s="13">
        <v>0</v>
      </c>
      <c r="E10390" s="12">
        <v>0</v>
      </c>
      <c r="F10390" s="14">
        <v>0</v>
      </c>
      <c r="G10390" s="13">
        <v>36929.842</v>
      </c>
      <c r="H10390" s="14">
        <v>28344034.112373</v>
      </c>
      <c r="I10390" s="14" t="e">
        <f>=Round(1312.44980000,0)</f>
        <v>#VALUE!</v>
      </c>
      <c r="J10390" s="14" t="e">
        <f>=Round(0.00000000,0)</f>
        <v>#VALUE!</v>
      </c>
    </row>
    <row r="10391">
      <c r="A10391" s="11" t="s">
        <v>41</v>
      </c>
      <c r="B10391" s="12">
        <v>753.8547</v>
      </c>
      <c r="C10391" s="12">
        <v>0</v>
      </c>
      <c r="D10391" s="13">
        <v>0</v>
      </c>
      <c r="E10391" s="12">
        <v>0</v>
      </c>
      <c r="F10391" s="14">
        <v>0</v>
      </c>
      <c r="G10391" s="13">
        <v>36929.842</v>
      </c>
      <c r="H10391" s="14">
        <v>27839734.961957</v>
      </c>
      <c r="I10391" s="14" t="e">
        <f>=Round(1277.80480000,0)</f>
        <v>#VALUE!</v>
      </c>
      <c r="J10391" s="14" t="e">
        <f>=Round(0.00000000,0)</f>
        <v>#VALUE!</v>
      </c>
    </row>
    <row r="10392">
      <c r="A10392" s="11" t="s">
        <v>42</v>
      </c>
      <c r="B10392" s="12">
        <v>753.8547</v>
      </c>
      <c r="C10392" s="12">
        <v>0</v>
      </c>
      <c r="D10392" s="13">
        <v>0</v>
      </c>
      <c r="E10392" s="12">
        <v>0</v>
      </c>
      <c r="F10392" s="14">
        <v>0</v>
      </c>
      <c r="G10392" s="13">
        <v>36929.842</v>
      </c>
      <c r="H10392" s="14">
        <v>27839734.961957</v>
      </c>
      <c r="I10392" s="14" t="e">
        <f>=Round(1255.07000000,0)</f>
        <v>#VALUE!</v>
      </c>
      <c r="J10392" s="14" t="e">
        <f>=Round(0.00000000,0)</f>
        <v>#VALUE!</v>
      </c>
    </row>
    <row r="10393">
      <c r="A10393" s="11" t="s">
        <v>43</v>
      </c>
      <c r="B10393" s="12">
        <v>753.8547</v>
      </c>
      <c r="C10393" s="12">
        <v>0</v>
      </c>
      <c r="D10393" s="13">
        <v>0</v>
      </c>
      <c r="E10393" s="12">
        <v>0</v>
      </c>
      <c r="F10393" s="14">
        <v>0</v>
      </c>
      <c r="G10393" s="13">
        <v>36929.842</v>
      </c>
      <c r="H10393" s="14">
        <v>27839734.961957</v>
      </c>
      <c r="I10393" s="14" t="e">
        <f>=Round(1255.07000000,0)</f>
        <v>#VALUE!</v>
      </c>
      <c r="J10393" s="14" t="e">
        <f>=Round(0.00000000,0)</f>
        <v>#VALUE!</v>
      </c>
    </row>
    <row r="10394">
      <c r="A10394" s="11" t="s">
        <v>44</v>
      </c>
      <c r="B10394" s="12">
        <v>727.6631</v>
      </c>
      <c r="C10394" s="12">
        <v>0</v>
      </c>
      <c r="D10394" s="13">
        <v>0</v>
      </c>
      <c r="E10394" s="12">
        <v>0</v>
      </c>
      <c r="F10394" s="14">
        <v>0</v>
      </c>
      <c r="G10394" s="13">
        <v>36929.842</v>
      </c>
      <c r="H10394" s="14">
        <v>26872483.31223</v>
      </c>
      <c r="I10394" s="14" t="e">
        <f>=Round(1255.07000000,0)</f>
        <v>#VALUE!</v>
      </c>
      <c r="J10394" s="14" t="e">
        <f>=Round(0.00000000,0)</f>
        <v>#VALUE!</v>
      </c>
    </row>
    <row r="10395">
      <c r="A10395" s="11" t="s">
        <v>45</v>
      </c>
      <c r="B10395" s="12">
        <v>759.8876</v>
      </c>
      <c r="C10395" s="12">
        <v>0</v>
      </c>
      <c r="D10395" s="13">
        <v>0</v>
      </c>
      <c r="E10395" s="12">
        <v>0</v>
      </c>
      <c r="F10395" s="14">
        <v>0</v>
      </c>
      <c r="G10395" s="13">
        <v>36929.842</v>
      </c>
      <c r="H10395" s="14">
        <v>28062529.005759</v>
      </c>
      <c r="I10395" s="14" t="e">
        <f>=Round(1211.46440000,0)</f>
        <v>#VALUE!</v>
      </c>
      <c r="J10395" s="14" t="e">
        <f>=Round(0.00000000,0)</f>
        <v>#VALUE!</v>
      </c>
    </row>
    <row r="10396">
      <c r="A10396" s="11" t="s">
        <v>46</v>
      </c>
      <c r="B10396" s="12">
        <v>777.7063</v>
      </c>
      <c r="C10396" s="12">
        <v>0</v>
      </c>
      <c r="D10396" s="13">
        <v>0</v>
      </c>
      <c r="E10396" s="12">
        <v>0</v>
      </c>
      <c r="F10396" s="14">
        <v>0</v>
      </c>
      <c r="G10396" s="13">
        <v>36929.842</v>
      </c>
      <c r="H10396" s="14">
        <v>28720570.781405</v>
      </c>
      <c r="I10396" s="14" t="e">
        <f>=Round(1265.11400000,0)</f>
        <v>#VALUE!</v>
      </c>
      <c r="J10396" s="14" t="e">
        <f>=Round(0.00000000,0)</f>
        <v>#VALUE!</v>
      </c>
    </row>
    <row r="10397">
      <c r="A10397" s="11" t="s">
        <v>47</v>
      </c>
      <c r="B10397" s="12">
        <v>805.2169</v>
      </c>
      <c r="C10397" s="12">
        <v>0</v>
      </c>
      <c r="D10397" s="13">
        <v>0</v>
      </c>
      <c r="E10397" s="12">
        <v>0</v>
      </c>
      <c r="F10397" s="14">
        <v>0</v>
      </c>
      <c r="G10397" s="13">
        <v>36929.842</v>
      </c>
      <c r="H10397" s="14">
        <v>29736532.89273</v>
      </c>
      <c r="I10397" s="14" t="e">
        <f>=Round(1294.77980000,0)</f>
        <v>#VALUE!</v>
      </c>
      <c r="J10397" s="14" t="e">
        <f>=Round(0.00000000,0)</f>
        <v>#VALUE!</v>
      </c>
    </row>
    <row r="10398">
      <c r="A10398" s="11" t="s">
        <v>48</v>
      </c>
      <c r="B10398" s="12">
        <v>819.447</v>
      </c>
      <c r="C10398" s="12">
        <v>0</v>
      </c>
      <c r="D10398" s="13">
        <v>0</v>
      </c>
      <c r="E10398" s="12">
        <v>0</v>
      </c>
      <c r="F10398" s="14">
        <v>0</v>
      </c>
      <c r="G10398" s="13">
        <v>36929.842</v>
      </c>
      <c r="H10398" s="14">
        <v>30262048.237374</v>
      </c>
      <c r="I10398" s="14" t="e">
        <f>=Round(1340.58140000,0)</f>
        <v>#VALUE!</v>
      </c>
      <c r="J10398" s="14" t="e">
        <f>=Round(0.00000000,0)</f>
        <v>#VALUE!</v>
      </c>
    </row>
    <row r="10399">
      <c r="A10399" s="11" t="s">
        <v>49</v>
      </c>
      <c r="B10399" s="12">
        <v>819.447</v>
      </c>
      <c r="C10399" s="12">
        <v>0</v>
      </c>
      <c r="D10399" s="13">
        <v>0</v>
      </c>
      <c r="E10399" s="12">
        <v>0</v>
      </c>
      <c r="F10399" s="14">
        <v>0</v>
      </c>
      <c r="G10399" s="13">
        <v>36929.842</v>
      </c>
      <c r="H10399" s="14">
        <v>30262048.237374</v>
      </c>
      <c r="I10399" s="14" t="e">
        <f>=Round(1364.27270000,0)</f>
        <v>#VALUE!</v>
      </c>
      <c r="J10399" s="14" t="e">
        <f>=Round(0.00000000,0)</f>
        <v>#VALUE!</v>
      </c>
    </row>
    <row r="10400">
      <c r="A10400" s="11" t="s">
        <v>50</v>
      </c>
      <c r="B10400" s="12">
        <v>819.447</v>
      </c>
      <c r="C10400" s="12">
        <v>0</v>
      </c>
      <c r="D10400" s="13">
        <v>0</v>
      </c>
      <c r="E10400" s="12">
        <v>0</v>
      </c>
      <c r="F10400" s="14">
        <v>0</v>
      </c>
      <c r="G10400" s="13">
        <v>36929.842</v>
      </c>
      <c r="H10400" s="14">
        <v>30262048.237374</v>
      </c>
      <c r="I10400" s="14" t="e">
        <f>=Round(1364.27270000,0)</f>
        <v>#VALUE!</v>
      </c>
      <c r="J10400" s="14" t="e">
        <f>=Round(0.00000000,0)</f>
        <v>#VALUE!</v>
      </c>
    </row>
    <row r="10401">
      <c r="A10401" s="11" t="s">
        <v>51</v>
      </c>
      <c r="B10401" s="12">
        <v>859.2617</v>
      </c>
      <c r="C10401" s="12">
        <v>0</v>
      </c>
      <c r="D10401" s="13">
        <v>0</v>
      </c>
      <c r="E10401" s="12">
        <v>0</v>
      </c>
      <c r="F10401" s="14">
        <v>0</v>
      </c>
      <c r="G10401" s="13">
        <v>36929.842</v>
      </c>
      <c r="H10401" s="14">
        <v>31732398.817651</v>
      </c>
      <c r="I10401" s="14" t="e">
        <f>=Round(1364.27270000,0)</f>
        <v>#VALUE!</v>
      </c>
      <c r="J10401" s="14" t="e">
        <f>=Round(0.00000000,0)</f>
        <v>#VALUE!</v>
      </c>
    </row>
    <row r="10402">
      <c r="A10402" s="11" t="s">
        <v>52</v>
      </c>
      <c r="B10402" s="12">
        <v>903.6329</v>
      </c>
      <c r="C10402" s="12">
        <v>0</v>
      </c>
      <c r="D10402" s="13">
        <v>0</v>
      </c>
      <c r="E10402" s="12">
        <v>0</v>
      </c>
      <c r="F10402" s="14">
        <v>0</v>
      </c>
      <c r="G10402" s="13">
        <v>36929.842</v>
      </c>
      <c r="H10402" s="14">
        <v>33371020.223002</v>
      </c>
      <c r="I10402" s="14" t="e">
        <f>=Round(1430.55900000,0)</f>
        <v>#VALUE!</v>
      </c>
      <c r="J10402" s="14" t="e">
        <f>=Round(0.00000000,0)</f>
        <v>#VALUE!</v>
      </c>
    </row>
    <row r="10403">
      <c r="A10403" s="11" t="s">
        <v>53</v>
      </c>
      <c r="B10403" s="12">
        <v>865.5295</v>
      </c>
      <c r="C10403" s="12">
        <v>0</v>
      </c>
      <c r="D10403" s="13">
        <v>0</v>
      </c>
      <c r="E10403" s="12">
        <v>0</v>
      </c>
      <c r="F10403" s="14">
        <v>0</v>
      </c>
      <c r="G10403" s="13">
        <v>36929.842</v>
      </c>
      <c r="H10403" s="14">
        <v>31963867.681339</v>
      </c>
      <c r="I10403" s="14" t="e">
        <f>=Round(1504.43120000,0)</f>
        <v>#VALUE!</v>
      </c>
      <c r="J10403" s="14" t="e">
        <f>=Round(0.00000000,0)</f>
        <v>#VALUE!</v>
      </c>
    </row>
    <row r="10404">
      <c r="A10404" s="11" t="s">
        <v>54</v>
      </c>
      <c r="B10404" s="12">
        <v>866.0858</v>
      </c>
      <c r="C10404" s="12">
        <v>0</v>
      </c>
      <c r="D10404" s="13">
        <v>0</v>
      </c>
      <c r="E10404" s="12">
        <v>0</v>
      </c>
      <c r="F10404" s="14">
        <v>0</v>
      </c>
      <c r="G10404" s="13">
        <v>36929.842</v>
      </c>
      <c r="H10404" s="14">
        <v>31984411.752444</v>
      </c>
      <c r="I10404" s="14" t="e">
        <f>=Round(1440.99400000,0)</f>
        <v>#VALUE!</v>
      </c>
      <c r="J10404" s="14" t="e">
        <f>=Round(0.00000000,0)</f>
        <v>#VALUE!</v>
      </c>
    </row>
    <row r="10405">
      <c r="A10405" s="11" t="s">
        <v>55</v>
      </c>
      <c r="B10405" s="12">
        <v>845.204</v>
      </c>
      <c r="C10405" s="12">
        <v>0</v>
      </c>
      <c r="D10405" s="13">
        <v>0</v>
      </c>
      <c r="E10405" s="12">
        <v>0</v>
      </c>
      <c r="F10405" s="14">
        <v>0</v>
      </c>
      <c r="G10405" s="13">
        <v>36929.842</v>
      </c>
      <c r="H10405" s="14">
        <v>31213250.177768</v>
      </c>
      <c r="I10405" s="14" t="e">
        <f>=Round(1441.92020000,0)</f>
        <v>#VALUE!</v>
      </c>
      <c r="J10405" s="14" t="e">
        <f>=Round(0.00000000,0)</f>
        <v>#VALUE!</v>
      </c>
    </row>
    <row r="10406" ht="-1">
      <c r="A10406" s="15"/>
      <c r="B10406" s="16" t="s">
        <v>56</v>
      </c>
      <c r="C10406" s="15"/>
      <c r="D10406" s="15"/>
      <c r="E10406" s="15"/>
      <c r="F10406" s="15"/>
      <c r="G10406" s="15"/>
      <c r="H10406" s="15"/>
      <c r="I10406" s="17" t="e">
        <f>=Round(SUM(I10380:I10405),0)</f>
        <v>#VALUE!</v>
      </c>
      <c r="J10406" s="17" t="e">
        <f>=Round(SUM(J10380:J10405),0)</f>
        <v>#VALUE!</v>
      </c>
    </row>
    <row r="10407">
      <c r="A10407" s="1" t="s">
        <v>0</v>
      </c>
      <c r="B10407" s="1"/>
      <c r="C10407" s="1"/>
      <c r="D10407" s="1"/>
    </row>
    <row r="10408">
      <c r="A10408" s="0" t="s">
        <v>1</v>
      </c>
      <c r="C10408" s="0" t="s">
        <v>358</v>
      </c>
      <c r="H10408" s="2" t="s">
        <v>3</v>
      </c>
    </row>
    <row r="10409">
      <c r="A10409" s="0" t="s">
        <v>4</v>
      </c>
      <c r="C10409" s="0" t="s">
        <v>126</v>
      </c>
      <c r="H10409" s="3" t="s">
        <v>6</v>
      </c>
    </row>
    <row r="10410">
      <c r="A10410" s="0" t="s">
        <v>7</v>
      </c>
      <c r="C10410" s="4" t="s">
        <v>359</v>
      </c>
      <c r="H10410" s="2" t="s">
        <v>9</v>
      </c>
    </row>
    <row r="10411">
      <c r="A10411" s="0" t="s">
        <v>10</v>
      </c>
      <c r="C10411" s="4" t="s">
        <v>124</v>
      </c>
      <c r="H10411" s="2" t="s">
        <v>12</v>
      </c>
    </row>
    <row r="10412">
      <c r="A10412" s="0" t="s">
        <v>13</v>
      </c>
      <c r="C10412" s="0" t="s">
        <v>14</v>
      </c>
    </row>
    <row r="10413">
      <c r="A10413" s="0" t="s">
        <v>15</v>
      </c>
      <c r="C10413" s="0" t="s">
        <v>16</v>
      </c>
    </row>
    <row r="10414">
      <c r="A10414" s="0" t="s">
        <v>17</v>
      </c>
      <c r="C10414" s="0" t="s">
        <v>360</v>
      </c>
    </row>
    <row r="10417">
      <c r="A10417" s="5" t="s">
        <v>19</v>
      </c>
      <c r="B10417" s="5" t="s">
        <v>20</v>
      </c>
      <c r="C10417" s="7" t="s">
        <v>21</v>
      </c>
      <c r="D10417" s="9"/>
      <c r="E10417" s="7" t="s">
        <v>22</v>
      </c>
      <c r="F10417" s="9"/>
      <c r="G10417" s="5" t="s">
        <v>23</v>
      </c>
      <c r="H10417" s="5" t="s">
        <v>24</v>
      </c>
      <c r="I10417" s="5" t="s">
        <v>361</v>
      </c>
      <c r="J10417" s="5" t="s">
        <v>125</v>
      </c>
    </row>
    <row r="10418">
      <c r="A10418" s="6"/>
      <c r="B10418" s="6"/>
      <c r="C10418" s="8" t="s">
        <v>27</v>
      </c>
      <c r="D10418" s="8" t="s">
        <v>28</v>
      </c>
      <c r="E10418" s="8" t="s">
        <v>27</v>
      </c>
      <c r="F10418" s="8" t="s">
        <v>28</v>
      </c>
      <c r="G10418" s="6"/>
      <c r="H10418" s="6"/>
      <c r="I10418" s="10" t="s">
        <v>29</v>
      </c>
      <c r="J10418" s="6"/>
    </row>
    <row r="10419">
      <c r="A10419" s="11" t="s">
        <v>30</v>
      </c>
      <c r="B10419" s="12">
        <v>1.005</v>
      </c>
      <c r="C10419" s="12">
        <v>0</v>
      </c>
      <c r="D10419" s="13">
        <v>0</v>
      </c>
      <c r="E10419" s="12">
        <v>0</v>
      </c>
      <c r="F10419" s="14">
        <v>0</v>
      </c>
      <c r="G10419" s="13">
        <v>20936000</v>
      </c>
      <c r="H10419" s="14">
        <v>21040680</v>
      </c>
      <c r="I10419" s="14" t="e">
        <f>=Round(31.58700000,0)</f>
        <v>#VALUE!</v>
      </c>
      <c r="J10419" s="14" t="e">
        <f>=Round(14.35770000,0)</f>
        <v>#VALUE!</v>
      </c>
    </row>
    <row r="10420">
      <c r="A10420" s="11" t="s">
        <v>31</v>
      </c>
      <c r="B10420" s="12">
        <v>1.005</v>
      </c>
      <c r="C10420" s="12">
        <v>0</v>
      </c>
      <c r="D10420" s="13">
        <v>0</v>
      </c>
      <c r="E10420" s="12">
        <v>0</v>
      </c>
      <c r="F10420" s="14">
        <v>0</v>
      </c>
      <c r="G10420" s="13">
        <v>20936000</v>
      </c>
      <c r="H10420" s="14">
        <v>21040680</v>
      </c>
      <c r="I10420" s="14" t="e">
        <f>=Round(31.61850000,0)</f>
        <v>#VALUE!</v>
      </c>
      <c r="J10420" s="14" t="e">
        <f>=Round(14.37200000,0)</f>
        <v>#VALUE!</v>
      </c>
    </row>
    <row r="10421">
      <c r="A10421" s="11" t="s">
        <v>32</v>
      </c>
      <c r="B10421" s="12">
        <v>1.005</v>
      </c>
      <c r="C10421" s="12">
        <v>0</v>
      </c>
      <c r="D10421" s="13">
        <v>0</v>
      </c>
      <c r="E10421" s="12">
        <v>0</v>
      </c>
      <c r="F10421" s="14">
        <v>0</v>
      </c>
      <c r="G10421" s="13">
        <v>20936000</v>
      </c>
      <c r="H10421" s="14">
        <v>21040680</v>
      </c>
      <c r="I10421" s="14" t="e">
        <f>=Round(31.61850000,0)</f>
        <v>#VALUE!</v>
      </c>
      <c r="J10421" s="14" t="e">
        <f>=Round(14.37200000,0)</f>
        <v>#VALUE!</v>
      </c>
    </row>
    <row r="10422">
      <c r="A10422" s="11" t="s">
        <v>33</v>
      </c>
      <c r="B10422" s="12">
        <v>1.005</v>
      </c>
      <c r="C10422" s="12">
        <v>0</v>
      </c>
      <c r="D10422" s="13">
        <v>0</v>
      </c>
      <c r="E10422" s="12">
        <v>0</v>
      </c>
      <c r="F10422" s="14">
        <v>0</v>
      </c>
      <c r="G10422" s="13">
        <v>20936000</v>
      </c>
      <c r="H10422" s="14">
        <v>21040680</v>
      </c>
      <c r="I10422" s="14" t="e">
        <f>=Round(31.61850000,0)</f>
        <v>#VALUE!</v>
      </c>
      <c r="J10422" s="14" t="e">
        <f>=Round(14.37200000,0)</f>
        <v>#VALUE!</v>
      </c>
    </row>
    <row r="10423">
      <c r="A10423" s="11" t="s">
        <v>34</v>
      </c>
      <c r="B10423" s="12">
        <v>1.005</v>
      </c>
      <c r="C10423" s="12">
        <v>0</v>
      </c>
      <c r="D10423" s="13">
        <v>0</v>
      </c>
      <c r="E10423" s="12">
        <v>0</v>
      </c>
      <c r="F10423" s="14">
        <v>0</v>
      </c>
      <c r="G10423" s="13">
        <v>20936000</v>
      </c>
      <c r="H10423" s="14">
        <v>21040680</v>
      </c>
      <c r="I10423" s="14" t="e">
        <f>=Round(31.61850000,0)</f>
        <v>#VALUE!</v>
      </c>
      <c r="J10423" s="14" t="e">
        <f>=Round(14.37200000,0)</f>
        <v>#VALUE!</v>
      </c>
    </row>
    <row r="10424">
      <c r="A10424" s="11" t="s">
        <v>35</v>
      </c>
      <c r="B10424" s="12">
        <v>1.005</v>
      </c>
      <c r="C10424" s="12">
        <v>0</v>
      </c>
      <c r="D10424" s="13">
        <v>0</v>
      </c>
      <c r="E10424" s="12">
        <v>0</v>
      </c>
      <c r="F10424" s="14">
        <v>0</v>
      </c>
      <c r="G10424" s="13">
        <v>20936000</v>
      </c>
      <c r="H10424" s="14">
        <v>21040680</v>
      </c>
      <c r="I10424" s="14" t="e">
        <f>=Round(31.61850000,0)</f>
        <v>#VALUE!</v>
      </c>
      <c r="J10424" s="14" t="e">
        <f>=Round(14.37200000,0)</f>
        <v>#VALUE!</v>
      </c>
    </row>
    <row r="10425">
      <c r="A10425" s="11" t="s">
        <v>36</v>
      </c>
      <c r="B10425" s="12">
        <v>1.005</v>
      </c>
      <c r="C10425" s="12">
        <v>0</v>
      </c>
      <c r="D10425" s="13">
        <v>0</v>
      </c>
      <c r="E10425" s="12">
        <v>0</v>
      </c>
      <c r="F10425" s="14">
        <v>0</v>
      </c>
      <c r="G10425" s="13">
        <v>20936000</v>
      </c>
      <c r="H10425" s="14">
        <v>21040680</v>
      </c>
      <c r="I10425" s="14" t="e">
        <f>=Round(31.61850000,0)</f>
        <v>#VALUE!</v>
      </c>
      <c r="J10425" s="14" t="e">
        <f>=Round(14.37200000,0)</f>
        <v>#VALUE!</v>
      </c>
    </row>
    <row r="10426">
      <c r="A10426" s="11" t="s">
        <v>37</v>
      </c>
      <c r="B10426" s="12">
        <v>1.006</v>
      </c>
      <c r="C10426" s="12">
        <v>0</v>
      </c>
      <c r="D10426" s="13">
        <v>0</v>
      </c>
      <c r="E10426" s="12">
        <v>0</v>
      </c>
      <c r="F10426" s="14">
        <v>0</v>
      </c>
      <c r="G10426" s="13">
        <v>20936000</v>
      </c>
      <c r="H10426" s="14">
        <v>21061616</v>
      </c>
      <c r="I10426" s="14" t="e">
        <f>=Round(31.61850000,0)</f>
        <v>#VALUE!</v>
      </c>
      <c r="J10426" s="14" t="e">
        <f>=Round(14.37200000,0)</f>
        <v>#VALUE!</v>
      </c>
    </row>
    <row r="10427">
      <c r="A10427" s="11" t="s">
        <v>38</v>
      </c>
      <c r="B10427" s="12">
        <v>1.006</v>
      </c>
      <c r="C10427" s="12">
        <v>0</v>
      </c>
      <c r="D10427" s="13">
        <v>0</v>
      </c>
      <c r="E10427" s="12">
        <v>0</v>
      </c>
      <c r="F10427" s="14">
        <v>0</v>
      </c>
      <c r="G10427" s="13">
        <v>20936000</v>
      </c>
      <c r="H10427" s="14">
        <v>21061616</v>
      </c>
      <c r="I10427" s="14" t="e">
        <f>=Round(31.65000000,0)</f>
        <v>#VALUE!</v>
      </c>
      <c r="J10427" s="14" t="e">
        <f>=Round(14.38630000,0)</f>
        <v>#VALUE!</v>
      </c>
    </row>
    <row r="10428">
      <c r="A10428" s="11" t="s">
        <v>39</v>
      </c>
      <c r="B10428" s="12">
        <v>1.006</v>
      </c>
      <c r="C10428" s="12">
        <v>0</v>
      </c>
      <c r="D10428" s="13">
        <v>0</v>
      </c>
      <c r="E10428" s="12">
        <v>0</v>
      </c>
      <c r="F10428" s="14">
        <v>0</v>
      </c>
      <c r="G10428" s="13">
        <v>20936000</v>
      </c>
      <c r="H10428" s="14">
        <v>21061616</v>
      </c>
      <c r="I10428" s="14" t="e">
        <f>=Round(31.65000000,0)</f>
        <v>#VALUE!</v>
      </c>
      <c r="J10428" s="14" t="e">
        <f>=Round(14.38630000,0)</f>
        <v>#VALUE!</v>
      </c>
    </row>
    <row r="10429">
      <c r="A10429" s="11" t="s">
        <v>40</v>
      </c>
      <c r="B10429" s="12">
        <v>1.006</v>
      </c>
      <c r="C10429" s="12">
        <v>0</v>
      </c>
      <c r="D10429" s="13">
        <v>0</v>
      </c>
      <c r="E10429" s="12">
        <v>0</v>
      </c>
      <c r="F10429" s="14">
        <v>0</v>
      </c>
      <c r="G10429" s="13">
        <v>20936000</v>
      </c>
      <c r="H10429" s="14">
        <v>21061616</v>
      </c>
      <c r="I10429" s="14" t="e">
        <f>=Round(31.65000000,0)</f>
        <v>#VALUE!</v>
      </c>
      <c r="J10429" s="14" t="e">
        <f>=Round(14.38630000,0)</f>
        <v>#VALUE!</v>
      </c>
    </row>
    <row r="10430">
      <c r="A10430" s="11" t="s">
        <v>41</v>
      </c>
      <c r="B10430" s="12">
        <v>1.007</v>
      </c>
      <c r="C10430" s="12">
        <v>0</v>
      </c>
      <c r="D10430" s="13">
        <v>0</v>
      </c>
      <c r="E10430" s="12">
        <v>0</v>
      </c>
      <c r="F10430" s="14">
        <v>0</v>
      </c>
      <c r="G10430" s="13">
        <v>20936000</v>
      </c>
      <c r="H10430" s="14">
        <v>21082552</v>
      </c>
      <c r="I10430" s="14" t="e">
        <f>=Round(31.65000000,0)</f>
        <v>#VALUE!</v>
      </c>
      <c r="J10430" s="14" t="e">
        <f>=Round(14.38630000,0)</f>
        <v>#VALUE!</v>
      </c>
    </row>
    <row r="10431">
      <c r="A10431" s="11" t="s">
        <v>42</v>
      </c>
      <c r="B10431" s="12">
        <v>1.007</v>
      </c>
      <c r="C10431" s="12">
        <v>0</v>
      </c>
      <c r="D10431" s="13">
        <v>0</v>
      </c>
      <c r="E10431" s="12">
        <v>0</v>
      </c>
      <c r="F10431" s="14">
        <v>0</v>
      </c>
      <c r="G10431" s="13">
        <v>20936000</v>
      </c>
      <c r="H10431" s="14">
        <v>21082552</v>
      </c>
      <c r="I10431" s="14" t="e">
        <f>=Round(31.68140000,0)</f>
        <v>#VALUE!</v>
      </c>
      <c r="J10431" s="14" t="e">
        <f>=Round(14.40060000,0)</f>
        <v>#VALUE!</v>
      </c>
    </row>
    <row r="10432">
      <c r="A10432" s="11" t="s">
        <v>43</v>
      </c>
      <c r="B10432" s="12">
        <v>1.007</v>
      </c>
      <c r="C10432" s="12">
        <v>0</v>
      </c>
      <c r="D10432" s="13">
        <v>0</v>
      </c>
      <c r="E10432" s="12">
        <v>0</v>
      </c>
      <c r="F10432" s="14">
        <v>0</v>
      </c>
      <c r="G10432" s="13">
        <v>20936000</v>
      </c>
      <c r="H10432" s="14">
        <v>21082552</v>
      </c>
      <c r="I10432" s="14" t="e">
        <f>=Round(31.68140000,0)</f>
        <v>#VALUE!</v>
      </c>
      <c r="J10432" s="14" t="e">
        <f>=Round(14.40060000,0)</f>
        <v>#VALUE!</v>
      </c>
    </row>
    <row r="10433">
      <c r="A10433" s="11" t="s">
        <v>44</v>
      </c>
      <c r="B10433" s="12">
        <v>1.007</v>
      </c>
      <c r="C10433" s="12">
        <v>0</v>
      </c>
      <c r="D10433" s="13">
        <v>0</v>
      </c>
      <c r="E10433" s="12">
        <v>0</v>
      </c>
      <c r="F10433" s="14">
        <v>0</v>
      </c>
      <c r="G10433" s="13">
        <v>20936000</v>
      </c>
      <c r="H10433" s="14">
        <v>21082552</v>
      </c>
      <c r="I10433" s="14" t="e">
        <f>=Round(31.68140000,0)</f>
        <v>#VALUE!</v>
      </c>
      <c r="J10433" s="14" t="e">
        <f>=Round(14.40060000,0)</f>
        <v>#VALUE!</v>
      </c>
    </row>
    <row r="10434">
      <c r="A10434" s="11" t="s">
        <v>45</v>
      </c>
      <c r="B10434" s="12">
        <v>1.007</v>
      </c>
      <c r="C10434" s="12">
        <v>0</v>
      </c>
      <c r="D10434" s="13">
        <v>0</v>
      </c>
      <c r="E10434" s="12">
        <v>0</v>
      </c>
      <c r="F10434" s="14">
        <v>0</v>
      </c>
      <c r="G10434" s="13">
        <v>20936000</v>
      </c>
      <c r="H10434" s="14">
        <v>21082552</v>
      </c>
      <c r="I10434" s="14" t="e">
        <f>=Round(31.68140000,0)</f>
        <v>#VALUE!</v>
      </c>
      <c r="J10434" s="14" t="e">
        <f>=Round(14.40060000,0)</f>
        <v>#VALUE!</v>
      </c>
    </row>
    <row r="10435">
      <c r="A10435" s="11" t="s">
        <v>46</v>
      </c>
      <c r="B10435" s="12">
        <v>1.007</v>
      </c>
      <c r="C10435" s="12">
        <v>0</v>
      </c>
      <c r="D10435" s="13">
        <v>0</v>
      </c>
      <c r="E10435" s="12">
        <v>0</v>
      </c>
      <c r="F10435" s="14">
        <v>0</v>
      </c>
      <c r="G10435" s="13">
        <v>20936000</v>
      </c>
      <c r="H10435" s="14">
        <v>21082552</v>
      </c>
      <c r="I10435" s="14" t="e">
        <f>=Round(31.68140000,0)</f>
        <v>#VALUE!</v>
      </c>
      <c r="J10435" s="14" t="e">
        <f>=Round(14.40060000,0)</f>
        <v>#VALUE!</v>
      </c>
    </row>
    <row r="10436">
      <c r="A10436" s="11" t="s">
        <v>47</v>
      </c>
      <c r="B10436" s="12">
        <v>1.007</v>
      </c>
      <c r="C10436" s="12">
        <v>0</v>
      </c>
      <c r="D10436" s="13">
        <v>0</v>
      </c>
      <c r="E10436" s="12">
        <v>0</v>
      </c>
      <c r="F10436" s="14">
        <v>0</v>
      </c>
      <c r="G10436" s="13">
        <v>20936000</v>
      </c>
      <c r="H10436" s="14">
        <v>21082552</v>
      </c>
      <c r="I10436" s="14" t="e">
        <f>=Round(31.68140000,0)</f>
        <v>#VALUE!</v>
      </c>
      <c r="J10436" s="14" t="e">
        <f>=Round(14.40060000,0)</f>
        <v>#VALUE!</v>
      </c>
    </row>
    <row r="10437">
      <c r="A10437" s="11" t="s">
        <v>48</v>
      </c>
      <c r="B10437" s="12">
        <v>1.008</v>
      </c>
      <c r="C10437" s="12">
        <v>0</v>
      </c>
      <c r="D10437" s="13">
        <v>0</v>
      </c>
      <c r="E10437" s="12">
        <v>0</v>
      </c>
      <c r="F10437" s="14">
        <v>0</v>
      </c>
      <c r="G10437" s="13">
        <v>20936000</v>
      </c>
      <c r="H10437" s="14">
        <v>21103488</v>
      </c>
      <c r="I10437" s="14" t="e">
        <f>=Round(31.68140000,0)</f>
        <v>#VALUE!</v>
      </c>
      <c r="J10437" s="14" t="e">
        <f>=Round(14.40060000,0)</f>
        <v>#VALUE!</v>
      </c>
    </row>
    <row r="10438">
      <c r="A10438" s="11" t="s">
        <v>49</v>
      </c>
      <c r="B10438" s="12">
        <v>1.008</v>
      </c>
      <c r="C10438" s="12">
        <v>0</v>
      </c>
      <c r="D10438" s="13">
        <v>0</v>
      </c>
      <c r="E10438" s="12">
        <v>0</v>
      </c>
      <c r="F10438" s="14">
        <v>0</v>
      </c>
      <c r="G10438" s="13">
        <v>20936000</v>
      </c>
      <c r="H10438" s="14">
        <v>21103488</v>
      </c>
      <c r="I10438" s="14" t="e">
        <f>=Round(31.71290000,0)</f>
        <v>#VALUE!</v>
      </c>
      <c r="J10438" s="14" t="e">
        <f>=Round(14.41490000,0)</f>
        <v>#VALUE!</v>
      </c>
    </row>
    <row r="10439">
      <c r="A10439" s="11" t="s">
        <v>50</v>
      </c>
      <c r="B10439" s="12">
        <v>1.008</v>
      </c>
      <c r="C10439" s="12">
        <v>0</v>
      </c>
      <c r="D10439" s="13">
        <v>0</v>
      </c>
      <c r="E10439" s="12">
        <v>0</v>
      </c>
      <c r="F10439" s="14">
        <v>0</v>
      </c>
      <c r="G10439" s="13">
        <v>20936000</v>
      </c>
      <c r="H10439" s="14">
        <v>21103488</v>
      </c>
      <c r="I10439" s="14" t="e">
        <f>=Round(31.71290000,0)</f>
        <v>#VALUE!</v>
      </c>
      <c r="J10439" s="14" t="e">
        <f>=Round(14.41490000,0)</f>
        <v>#VALUE!</v>
      </c>
    </row>
    <row r="10440">
      <c r="A10440" s="11" t="s">
        <v>51</v>
      </c>
      <c r="B10440" s="12">
        <v>1.008</v>
      </c>
      <c r="C10440" s="12">
        <v>0</v>
      </c>
      <c r="D10440" s="13">
        <v>0</v>
      </c>
      <c r="E10440" s="12">
        <v>0</v>
      </c>
      <c r="F10440" s="14">
        <v>0</v>
      </c>
      <c r="G10440" s="13">
        <v>20936000</v>
      </c>
      <c r="H10440" s="14">
        <v>21103488</v>
      </c>
      <c r="I10440" s="14" t="e">
        <f>=Round(31.71290000,0)</f>
        <v>#VALUE!</v>
      </c>
      <c r="J10440" s="14" t="e">
        <f>=Round(14.41490000,0)</f>
        <v>#VALUE!</v>
      </c>
    </row>
    <row r="10441">
      <c r="A10441" s="11" t="s">
        <v>52</v>
      </c>
      <c r="B10441" s="12">
        <v>1.008</v>
      </c>
      <c r="C10441" s="12">
        <v>0</v>
      </c>
      <c r="D10441" s="13">
        <v>0</v>
      </c>
      <c r="E10441" s="12">
        <v>0</v>
      </c>
      <c r="F10441" s="14">
        <v>0</v>
      </c>
      <c r="G10441" s="13">
        <v>20936000</v>
      </c>
      <c r="H10441" s="14">
        <v>21103488</v>
      </c>
      <c r="I10441" s="14" t="e">
        <f>=Round(31.71290000,0)</f>
        <v>#VALUE!</v>
      </c>
      <c r="J10441" s="14" t="e">
        <f>=Round(14.41490000,0)</f>
        <v>#VALUE!</v>
      </c>
    </row>
    <row r="10442">
      <c r="A10442" s="11" t="s">
        <v>53</v>
      </c>
      <c r="B10442" s="12">
        <v>1.008</v>
      </c>
      <c r="C10442" s="12">
        <v>0</v>
      </c>
      <c r="D10442" s="13">
        <v>0</v>
      </c>
      <c r="E10442" s="12">
        <v>0</v>
      </c>
      <c r="F10442" s="14">
        <v>0</v>
      </c>
      <c r="G10442" s="13">
        <v>20936000</v>
      </c>
      <c r="H10442" s="14">
        <v>21103488</v>
      </c>
      <c r="I10442" s="14" t="e">
        <f>=Round(31.71290000,0)</f>
        <v>#VALUE!</v>
      </c>
      <c r="J10442" s="14" t="e">
        <f>=Round(14.41490000,0)</f>
        <v>#VALUE!</v>
      </c>
    </row>
    <row r="10443">
      <c r="A10443" s="11" t="s">
        <v>54</v>
      </c>
      <c r="B10443" s="12">
        <v>1.008</v>
      </c>
      <c r="C10443" s="12">
        <v>0</v>
      </c>
      <c r="D10443" s="13">
        <v>0</v>
      </c>
      <c r="E10443" s="12">
        <v>0</v>
      </c>
      <c r="F10443" s="14">
        <v>0</v>
      </c>
      <c r="G10443" s="13">
        <v>20936000</v>
      </c>
      <c r="H10443" s="14">
        <v>21103488</v>
      </c>
      <c r="I10443" s="14" t="e">
        <f>=Round(31.71290000,0)</f>
        <v>#VALUE!</v>
      </c>
      <c r="J10443" s="14" t="e">
        <f>=Round(14.41490000,0)</f>
        <v>#VALUE!</v>
      </c>
    </row>
    <row r="10444">
      <c r="A10444" s="11" t="s">
        <v>55</v>
      </c>
      <c r="B10444" s="12">
        <v>1.009</v>
      </c>
      <c r="C10444" s="12">
        <v>0</v>
      </c>
      <c r="D10444" s="13">
        <v>0</v>
      </c>
      <c r="E10444" s="12">
        <v>0</v>
      </c>
      <c r="F10444" s="14">
        <v>0</v>
      </c>
      <c r="G10444" s="13">
        <v>20936000</v>
      </c>
      <c r="H10444" s="14">
        <v>21124424</v>
      </c>
      <c r="I10444" s="14" t="e">
        <f>=Round(31.71290000,0)</f>
        <v>#VALUE!</v>
      </c>
      <c r="J10444" s="14" t="e">
        <f>=Round(14.41490000,0)</f>
        <v>#VALUE!</v>
      </c>
    </row>
    <row r="10445" ht="-1">
      <c r="A10445" s="15"/>
      <c r="B10445" s="16" t="s">
        <v>56</v>
      </c>
      <c r="C10445" s="15"/>
      <c r="D10445" s="15"/>
      <c r="E10445" s="15"/>
      <c r="F10445" s="15"/>
      <c r="G10445" s="15"/>
      <c r="H10445" s="15"/>
      <c r="I10445" s="17" t="e">
        <f>=Round(SUM(I10419:I10444),0)</f>
        <v>#VALUE!</v>
      </c>
      <c r="J10445" s="17" t="e">
        <f>=Round(SUM(J10419:J10444),0)</f>
        <v>#VALUE!</v>
      </c>
    </row>
    <row r="10446">
      <c r="A10446" s="1" t="s">
        <v>0</v>
      </c>
      <c r="B10446" s="1"/>
      <c r="C10446" s="1"/>
      <c r="D10446" s="1"/>
    </row>
    <row r="10447">
      <c r="A10447" s="0" t="s">
        <v>1</v>
      </c>
      <c r="C10447" s="0" t="s">
        <v>362</v>
      </c>
      <c r="H10447" s="2" t="s">
        <v>3</v>
      </c>
    </row>
    <row r="10448">
      <c r="A10448" s="0" t="s">
        <v>4</v>
      </c>
      <c r="C10448" s="0" t="s">
        <v>283</v>
      </c>
      <c r="H10448" s="3" t="s">
        <v>6</v>
      </c>
    </row>
    <row r="10449">
      <c r="A10449" s="0" t="s">
        <v>7</v>
      </c>
      <c r="C10449" s="4" t="s">
        <v>363</v>
      </c>
      <c r="H10449" s="2" t="s">
        <v>9</v>
      </c>
    </row>
    <row r="10450">
      <c r="A10450" s="0" t="s">
        <v>10</v>
      </c>
      <c r="C10450" s="4" t="s">
        <v>11</v>
      </c>
      <c r="H10450" s="2" t="s">
        <v>12</v>
      </c>
    </row>
    <row r="10451">
      <c r="A10451" s="0" t="s">
        <v>13</v>
      </c>
      <c r="C10451" s="0" t="s">
        <v>14</v>
      </c>
    </row>
    <row r="10452">
      <c r="A10452" s="0" t="s">
        <v>15</v>
      </c>
      <c r="C10452" s="0" t="s">
        <v>16</v>
      </c>
    </row>
    <row r="10453">
      <c r="A10453" s="0" t="s">
        <v>17</v>
      </c>
      <c r="C10453" s="0" t="s">
        <v>18</v>
      </c>
    </row>
    <row r="10456">
      <c r="A10456" s="5" t="s">
        <v>19</v>
      </c>
      <c r="B10456" s="5" t="s">
        <v>20</v>
      </c>
      <c r="C10456" s="7" t="s">
        <v>21</v>
      </c>
      <c r="D10456" s="9"/>
      <c r="E10456" s="7" t="s">
        <v>22</v>
      </c>
      <c r="F10456" s="9"/>
      <c r="G10456" s="5" t="s">
        <v>23</v>
      </c>
      <c r="H10456" s="5" t="s">
        <v>24</v>
      </c>
      <c r="I10456" s="5" t="s">
        <v>364</v>
      </c>
      <c r="J10456" s="5" t="s">
        <v>26</v>
      </c>
    </row>
    <row r="10457">
      <c r="A10457" s="6"/>
      <c r="B10457" s="6"/>
      <c r="C10457" s="8" t="s">
        <v>27</v>
      </c>
      <c r="D10457" s="8" t="s">
        <v>28</v>
      </c>
      <c r="E10457" s="8" t="s">
        <v>27</v>
      </c>
      <c r="F10457" s="8" t="s">
        <v>28</v>
      </c>
      <c r="G10457" s="6"/>
      <c r="H10457" s="6"/>
      <c r="I10457" s="10" t="s">
        <v>29</v>
      </c>
      <c r="J10457" s="6"/>
    </row>
    <row r="10458">
      <c r="A10458" s="11" t="s">
        <v>30</v>
      </c>
      <c r="B10458" s="12">
        <v>1030.2098</v>
      </c>
      <c r="C10458" s="12">
        <v>0</v>
      </c>
      <c r="D10458" s="13">
        <v>0</v>
      </c>
      <c r="E10458" s="12">
        <v>0</v>
      </c>
      <c r="F10458" s="14">
        <v>0</v>
      </c>
      <c r="G10458" s="13">
        <v>75198975</v>
      </c>
      <c r="H10458" s="14">
        <v>77470720994.955</v>
      </c>
      <c r="I10458" s="14" t="e">
        <f>=Round(418809.61110000,0)</f>
        <v>#VALUE!</v>
      </c>
      <c r="J10458" s="14" t="e">
        <f>=Round(0.00000000,0)</f>
        <v>#VALUE!</v>
      </c>
    </row>
    <row r="10459">
      <c r="A10459" s="11" t="s">
        <v>31</v>
      </c>
      <c r="B10459" s="12">
        <v>1030.6815</v>
      </c>
      <c r="C10459" s="12">
        <v>0</v>
      </c>
      <c r="D10459" s="13">
        <v>0</v>
      </c>
      <c r="E10459" s="12">
        <v>0</v>
      </c>
      <c r="F10459" s="14">
        <v>0</v>
      </c>
      <c r="G10459" s="13">
        <v>75198975</v>
      </c>
      <c r="H10459" s="14">
        <v>77506192351.4625</v>
      </c>
      <c r="I10459" s="14" t="e">
        <f>=Round(419103.90050000,0)</f>
        <v>#VALUE!</v>
      </c>
      <c r="J10459" s="14" t="e">
        <f>=Round(0.00000000,0)</f>
        <v>#VALUE!</v>
      </c>
    </row>
    <row r="10460">
      <c r="A10460" s="11" t="s">
        <v>32</v>
      </c>
      <c r="B10460" s="12">
        <v>1030.9226</v>
      </c>
      <c r="C10460" s="12">
        <v>0</v>
      </c>
      <c r="D10460" s="13">
        <v>0</v>
      </c>
      <c r="E10460" s="12">
        <v>0</v>
      </c>
      <c r="F10460" s="14">
        <v>0</v>
      </c>
      <c r="G10460" s="13">
        <v>75198975</v>
      </c>
      <c r="H10460" s="14">
        <v>77524322824.335</v>
      </c>
      <c r="I10460" s="14" t="e">
        <f>=Round(419295.79470000,0)</f>
        <v>#VALUE!</v>
      </c>
      <c r="J10460" s="14" t="e">
        <f>=Round(0.00000000,0)</f>
        <v>#VALUE!</v>
      </c>
    </row>
    <row r="10461">
      <c r="A10461" s="11" t="s">
        <v>33</v>
      </c>
      <c r="B10461" s="12">
        <v>1030.9866</v>
      </c>
      <c r="C10461" s="12">
        <v>0</v>
      </c>
      <c r="D10461" s="13">
        <v>0</v>
      </c>
      <c r="E10461" s="12">
        <v>0</v>
      </c>
      <c r="F10461" s="14">
        <v>0</v>
      </c>
      <c r="G10461" s="13">
        <v>75198975</v>
      </c>
      <c r="H10461" s="14">
        <v>77529135558.735</v>
      </c>
      <c r="I10461" s="14" t="e">
        <f>=Round(419393.87760000,0)</f>
        <v>#VALUE!</v>
      </c>
      <c r="J10461" s="14" t="e">
        <f>=Round(0.00000000,0)</f>
        <v>#VALUE!</v>
      </c>
    </row>
    <row r="10462">
      <c r="A10462" s="11" t="s">
        <v>34</v>
      </c>
      <c r="B10462" s="12">
        <v>1031.2324</v>
      </c>
      <c r="C10462" s="12">
        <v>0</v>
      </c>
      <c r="D10462" s="13">
        <v>0</v>
      </c>
      <c r="E10462" s="12">
        <v>0</v>
      </c>
      <c r="F10462" s="14">
        <v>0</v>
      </c>
      <c r="G10462" s="13">
        <v>75198975</v>
      </c>
      <c r="H10462" s="14">
        <v>77547619466.79</v>
      </c>
      <c r="I10462" s="14" t="e">
        <f>=Round(419419.91370000,0)</f>
        <v>#VALUE!</v>
      </c>
      <c r="J10462" s="14" t="e">
        <f>=Round(0.00000000,0)</f>
        <v>#VALUE!</v>
      </c>
    </row>
    <row r="10463">
      <c r="A10463" s="11" t="s">
        <v>35</v>
      </c>
      <c r="B10463" s="12">
        <v>1031.2324</v>
      </c>
      <c r="C10463" s="12">
        <v>0</v>
      </c>
      <c r="D10463" s="13">
        <v>0</v>
      </c>
      <c r="E10463" s="12">
        <v>0</v>
      </c>
      <c r="F10463" s="14">
        <v>0</v>
      </c>
      <c r="G10463" s="13">
        <v>75198975</v>
      </c>
      <c r="H10463" s="14">
        <v>77547619466.79</v>
      </c>
      <c r="I10463" s="14" t="e">
        <f>=Round(419519.90860000,0)</f>
        <v>#VALUE!</v>
      </c>
      <c r="J10463" s="14" t="e">
        <f>=Round(0.00000000,0)</f>
        <v>#VALUE!</v>
      </c>
    </row>
    <row r="10464">
      <c r="A10464" s="11" t="s">
        <v>36</v>
      </c>
      <c r="B10464" s="12">
        <v>1031.2324</v>
      </c>
      <c r="C10464" s="12">
        <v>0</v>
      </c>
      <c r="D10464" s="13">
        <v>0</v>
      </c>
      <c r="E10464" s="12">
        <v>0</v>
      </c>
      <c r="F10464" s="14">
        <v>0</v>
      </c>
      <c r="G10464" s="13">
        <v>75198975</v>
      </c>
      <c r="H10464" s="14">
        <v>77547619466.79</v>
      </c>
      <c r="I10464" s="14" t="e">
        <f>=Round(419519.90860000,0)</f>
        <v>#VALUE!</v>
      </c>
      <c r="J10464" s="14" t="e">
        <f>=Round(0.00000000,0)</f>
        <v>#VALUE!</v>
      </c>
    </row>
    <row r="10465">
      <c r="A10465" s="11" t="s">
        <v>37</v>
      </c>
      <c r="B10465" s="12">
        <v>1032.0922</v>
      </c>
      <c r="C10465" s="12">
        <v>0</v>
      </c>
      <c r="D10465" s="13">
        <v>0</v>
      </c>
      <c r="E10465" s="12">
        <v>0</v>
      </c>
      <c r="F10465" s="14">
        <v>0</v>
      </c>
      <c r="G10465" s="13">
        <v>75198975</v>
      </c>
      <c r="H10465" s="14">
        <v>77612275545.49501</v>
      </c>
      <c r="I10465" s="14" t="e">
        <f>=Round(419519.90860000,0)</f>
        <v>#VALUE!</v>
      </c>
      <c r="J10465" s="14" t="e">
        <f>=Round(0.00000000,0)</f>
        <v>#VALUE!</v>
      </c>
    </row>
    <row r="10466">
      <c r="A10466" s="11" t="s">
        <v>38</v>
      </c>
      <c r="B10466" s="12">
        <v>1032.2965</v>
      </c>
      <c r="C10466" s="12">
        <v>0</v>
      </c>
      <c r="D10466" s="13">
        <v>0</v>
      </c>
      <c r="E10466" s="12">
        <v>0</v>
      </c>
      <c r="F10466" s="14">
        <v>0</v>
      </c>
      <c r="G10466" s="13">
        <v>75198975</v>
      </c>
      <c r="H10466" s="14">
        <v>77627638696.087509</v>
      </c>
      <c r="I10466" s="14" t="e">
        <f>=Round(419869.68740000,0)</f>
        <v>#VALUE!</v>
      </c>
      <c r="J10466" s="14" t="e">
        <f>=Round(0.00000000,0)</f>
        <v>#VALUE!</v>
      </c>
    </row>
    <row r="10467">
      <c r="A10467" s="11" t="s">
        <v>39</v>
      </c>
      <c r="B10467" s="12">
        <v>1035.8868</v>
      </c>
      <c r="C10467" s="12">
        <v>0</v>
      </c>
      <c r="D10467" s="13">
        <v>0</v>
      </c>
      <c r="E10467" s="12">
        <v>0</v>
      </c>
      <c r="F10467" s="14">
        <v>0</v>
      </c>
      <c r="G10467" s="13">
        <v>75198975</v>
      </c>
      <c r="H10467" s="14">
        <v>77897625576.03</v>
      </c>
      <c r="I10467" s="14" t="e">
        <f>=Round(419952.79950000,0)</f>
        <v>#VALUE!</v>
      </c>
      <c r="J10467" s="14" t="e">
        <f>=Round(0.00000000,0)</f>
        <v>#VALUE!</v>
      </c>
    </row>
    <row r="10468">
      <c r="A10468" s="11" t="s">
        <v>40</v>
      </c>
      <c r="B10468" s="12">
        <v>1037.6003</v>
      </c>
      <c r="C10468" s="12">
        <v>0</v>
      </c>
      <c r="D10468" s="13">
        <v>0</v>
      </c>
      <c r="E10468" s="12">
        <v>0</v>
      </c>
      <c r="F10468" s="14">
        <v>0</v>
      </c>
      <c r="G10468" s="13">
        <v>75198975</v>
      </c>
      <c r="H10468" s="14">
        <v>78026479019.69249</v>
      </c>
      <c r="I10468" s="14" t="e">
        <f>=Round(421413.38430000,0)</f>
        <v>#VALUE!</v>
      </c>
      <c r="J10468" s="14" t="e">
        <f>=Round(0.00000000,0)</f>
        <v>#VALUE!</v>
      </c>
    </row>
    <row r="10469">
      <c r="A10469" s="11" t="s">
        <v>41</v>
      </c>
      <c r="B10469" s="12">
        <v>1037.9321</v>
      </c>
      <c r="C10469" s="12">
        <v>0</v>
      </c>
      <c r="D10469" s="13">
        <v>0</v>
      </c>
      <c r="E10469" s="12">
        <v>0</v>
      </c>
      <c r="F10469" s="14">
        <v>0</v>
      </c>
      <c r="G10469" s="13">
        <v>75198975</v>
      </c>
      <c r="H10469" s="14">
        <v>78051430039.5975</v>
      </c>
      <c r="I10469" s="14" t="e">
        <f>=Round(422110.46030000,0)</f>
        <v>#VALUE!</v>
      </c>
      <c r="J10469" s="14" t="e">
        <f>=Round(0.00000000,0)</f>
        <v>#VALUE!</v>
      </c>
    </row>
    <row r="10470">
      <c r="A10470" s="11" t="s">
        <v>42</v>
      </c>
      <c r="B10470" s="12">
        <v>1037.9321</v>
      </c>
      <c r="C10470" s="12">
        <v>0</v>
      </c>
      <c r="D10470" s="13">
        <v>0</v>
      </c>
      <c r="E10470" s="12">
        <v>0</v>
      </c>
      <c r="F10470" s="14">
        <v>0</v>
      </c>
      <c r="G10470" s="13">
        <v>75198975</v>
      </c>
      <c r="H10470" s="14">
        <v>78051430039.5975</v>
      </c>
      <c r="I10470" s="14" t="e">
        <f>=Round(422245.44120000,0)</f>
        <v>#VALUE!</v>
      </c>
      <c r="J10470" s="14" t="e">
        <f>=Round(0.00000000,0)</f>
        <v>#VALUE!</v>
      </c>
    </row>
    <row r="10471">
      <c r="A10471" s="11" t="s">
        <v>43</v>
      </c>
      <c r="B10471" s="12">
        <v>1037.9321</v>
      </c>
      <c r="C10471" s="12">
        <v>0</v>
      </c>
      <c r="D10471" s="13">
        <v>0</v>
      </c>
      <c r="E10471" s="12">
        <v>0</v>
      </c>
      <c r="F10471" s="14">
        <v>0</v>
      </c>
      <c r="G10471" s="13">
        <v>75198975</v>
      </c>
      <c r="H10471" s="14">
        <v>78051430039.5975</v>
      </c>
      <c r="I10471" s="14" t="e">
        <f>=Round(422245.44120000,0)</f>
        <v>#VALUE!</v>
      </c>
      <c r="J10471" s="14" t="e">
        <f>=Round(0.00000000,0)</f>
        <v>#VALUE!</v>
      </c>
    </row>
    <row r="10472">
      <c r="A10472" s="11" t="s">
        <v>44</v>
      </c>
      <c r="B10472" s="12">
        <v>1038.7201</v>
      </c>
      <c r="C10472" s="12">
        <v>0</v>
      </c>
      <c r="D10472" s="13">
        <v>0</v>
      </c>
      <c r="E10472" s="12">
        <v>0</v>
      </c>
      <c r="F10472" s="14">
        <v>0</v>
      </c>
      <c r="G10472" s="13">
        <v>75198975</v>
      </c>
      <c r="H10472" s="14">
        <v>78110686831.8975</v>
      </c>
      <c r="I10472" s="14" t="e">
        <f>=Round(422245.44120000,0)</f>
        <v>#VALUE!</v>
      </c>
      <c r="J10472" s="14" t="e">
        <f>=Round(0.00000000,0)</f>
        <v>#VALUE!</v>
      </c>
    </row>
    <row r="10473">
      <c r="A10473" s="11" t="s">
        <v>45</v>
      </c>
      <c r="B10473" s="12">
        <v>1038.9611</v>
      </c>
      <c r="C10473" s="12">
        <v>0</v>
      </c>
      <c r="D10473" s="13">
        <v>0</v>
      </c>
      <c r="E10473" s="12">
        <v>0</v>
      </c>
      <c r="F10473" s="14">
        <v>0</v>
      </c>
      <c r="G10473" s="13">
        <v>75198975</v>
      </c>
      <c r="H10473" s="14">
        <v>78128809784.8725</v>
      </c>
      <c r="I10473" s="14" t="e">
        <f>=Round(422566.01070000,0)</f>
        <v>#VALUE!</v>
      </c>
      <c r="J10473" s="14" t="e">
        <f>=Round(0.00000000,0)</f>
        <v>#VALUE!</v>
      </c>
    </row>
    <row r="10474">
      <c r="A10474" s="11" t="s">
        <v>46</v>
      </c>
      <c r="B10474" s="12">
        <v>1039.2205</v>
      </c>
      <c r="C10474" s="12">
        <v>0</v>
      </c>
      <c r="D10474" s="13">
        <v>0</v>
      </c>
      <c r="E10474" s="12">
        <v>0</v>
      </c>
      <c r="F10474" s="14">
        <v>0</v>
      </c>
      <c r="G10474" s="13">
        <v>75198975</v>
      </c>
      <c r="H10474" s="14">
        <v>78148316398.9875</v>
      </c>
      <c r="I10474" s="14" t="e">
        <f>=Round(422664.05290000,0)</f>
        <v>#VALUE!</v>
      </c>
      <c r="J10474" s="14" t="e">
        <f>=Round(0.00000000,0)</f>
        <v>#VALUE!</v>
      </c>
    </row>
    <row r="10475">
      <c r="A10475" s="11" t="s">
        <v>47</v>
      </c>
      <c r="B10475" s="12">
        <v>1040.7197</v>
      </c>
      <c r="C10475" s="12">
        <v>0</v>
      </c>
      <c r="D10475" s="13">
        <v>0</v>
      </c>
      <c r="E10475" s="12">
        <v>0</v>
      </c>
      <c r="F10475" s="14">
        <v>0</v>
      </c>
      <c r="G10475" s="13">
        <v>75198975</v>
      </c>
      <c r="H10475" s="14">
        <v>78261054702.30751</v>
      </c>
      <c r="I10475" s="14" t="e">
        <f>=Round(422769.58050000,0)</f>
        <v>#VALUE!</v>
      </c>
      <c r="J10475" s="14" t="e">
        <f>=Round(0.00000000,0)</f>
        <v>#VALUE!</v>
      </c>
    </row>
    <row r="10476">
      <c r="A10476" s="11" t="s">
        <v>48</v>
      </c>
      <c r="B10476" s="12">
        <v>1041.7455</v>
      </c>
      <c r="C10476" s="12">
        <v>0</v>
      </c>
      <c r="D10476" s="13">
        <v>0</v>
      </c>
      <c r="E10476" s="12">
        <v>0</v>
      </c>
      <c r="F10476" s="14">
        <v>0</v>
      </c>
      <c r="G10476" s="13">
        <v>75198975</v>
      </c>
      <c r="H10476" s="14">
        <v>78338193810.8625</v>
      </c>
      <c r="I10476" s="14" t="e">
        <f>=Round(423379.47630000,0)</f>
        <v>#VALUE!</v>
      </c>
      <c r="J10476" s="14" t="e">
        <f>=Round(0.00000000,0)</f>
        <v>#VALUE!</v>
      </c>
    </row>
    <row r="10477">
      <c r="A10477" s="11" t="s">
        <v>49</v>
      </c>
      <c r="B10477" s="12">
        <v>1041.7455</v>
      </c>
      <c r="C10477" s="12">
        <v>0</v>
      </c>
      <c r="D10477" s="13">
        <v>0</v>
      </c>
      <c r="E10477" s="12">
        <v>0</v>
      </c>
      <c r="F10477" s="14">
        <v>0</v>
      </c>
      <c r="G10477" s="13">
        <v>75198975</v>
      </c>
      <c r="H10477" s="14">
        <v>78338193810.8625</v>
      </c>
      <c r="I10477" s="14" t="e">
        <f>=Round(423796.78620000,0)</f>
        <v>#VALUE!</v>
      </c>
      <c r="J10477" s="14" t="e">
        <f>=Round(0.00000000,0)</f>
        <v>#VALUE!</v>
      </c>
    </row>
    <row r="10478">
      <c r="A10478" s="11" t="s">
        <v>50</v>
      </c>
      <c r="B10478" s="12">
        <v>1041.7455</v>
      </c>
      <c r="C10478" s="12">
        <v>0</v>
      </c>
      <c r="D10478" s="13">
        <v>0</v>
      </c>
      <c r="E10478" s="12">
        <v>0</v>
      </c>
      <c r="F10478" s="14">
        <v>0</v>
      </c>
      <c r="G10478" s="13">
        <v>75198975</v>
      </c>
      <c r="H10478" s="14">
        <v>78338193810.8625</v>
      </c>
      <c r="I10478" s="14" t="e">
        <f>=Round(423796.78620000,0)</f>
        <v>#VALUE!</v>
      </c>
      <c r="J10478" s="14" t="e">
        <f>=Round(0.00000000,0)</f>
        <v>#VALUE!</v>
      </c>
    </row>
    <row r="10479">
      <c r="A10479" s="11" t="s">
        <v>51</v>
      </c>
      <c r="B10479" s="12">
        <v>1042.4686</v>
      </c>
      <c r="C10479" s="12">
        <v>0</v>
      </c>
      <c r="D10479" s="13">
        <v>0</v>
      </c>
      <c r="E10479" s="12">
        <v>0</v>
      </c>
      <c r="F10479" s="14">
        <v>0</v>
      </c>
      <c r="G10479" s="13">
        <v>75198975</v>
      </c>
      <c r="H10479" s="14">
        <v>78392570189.685</v>
      </c>
      <c r="I10479" s="14" t="e">
        <f>=Round(423796.78620000,0)</f>
        <v>#VALUE!</v>
      </c>
      <c r="J10479" s="14" t="e">
        <f>=Round(0.00000000,0)</f>
        <v>#VALUE!</v>
      </c>
    </row>
    <row r="10480">
      <c r="A10480" s="11" t="s">
        <v>52</v>
      </c>
      <c r="B10480" s="12">
        <v>1042.705</v>
      </c>
      <c r="C10480" s="12">
        <v>0</v>
      </c>
      <c r="D10480" s="13">
        <v>0</v>
      </c>
      <c r="E10480" s="12">
        <v>0</v>
      </c>
      <c r="F10480" s="14">
        <v>0</v>
      </c>
      <c r="G10480" s="13">
        <v>75198975</v>
      </c>
      <c r="H10480" s="14">
        <v>78410347227.375015</v>
      </c>
      <c r="I10480" s="14" t="e">
        <f>=Round(424090.95350000,0)</f>
        <v>#VALUE!</v>
      </c>
      <c r="J10480" s="14" t="e">
        <f>=Round(0.00000000,0)</f>
        <v>#VALUE!</v>
      </c>
    </row>
    <row r="10481">
      <c r="A10481" s="11" t="s">
        <v>53</v>
      </c>
      <c r="B10481" s="12">
        <v>1042.946</v>
      </c>
      <c r="C10481" s="12">
        <v>0</v>
      </c>
      <c r="D10481" s="13">
        <v>0</v>
      </c>
      <c r="E10481" s="12">
        <v>0</v>
      </c>
      <c r="F10481" s="14">
        <v>0</v>
      </c>
      <c r="G10481" s="13">
        <v>75198975</v>
      </c>
      <c r="H10481" s="14">
        <v>78428470180.35</v>
      </c>
      <c r="I10481" s="14" t="e">
        <f>=Round(424187.12430000,0)</f>
        <v>#VALUE!</v>
      </c>
      <c r="J10481" s="14" t="e">
        <f>=Round(0.00000000,0)</f>
        <v>#VALUE!</v>
      </c>
    </row>
    <row r="10482">
      <c r="A10482" s="11" t="s">
        <v>54</v>
      </c>
      <c r="B10482" s="12">
        <v>1043.187</v>
      </c>
      <c r="C10482" s="12">
        <v>0</v>
      </c>
      <c r="D10482" s="13">
        <v>0</v>
      </c>
      <c r="E10482" s="12">
        <v>0</v>
      </c>
      <c r="F10482" s="14">
        <v>0</v>
      </c>
      <c r="G10482" s="13">
        <v>75198975</v>
      </c>
      <c r="H10482" s="14">
        <v>78446593133.325</v>
      </c>
      <c r="I10482" s="14" t="e">
        <f>=Round(424285.16650000,0)</f>
        <v>#VALUE!</v>
      </c>
      <c r="J10482" s="14" t="e">
        <f>=Round(0.00000000,0)</f>
        <v>#VALUE!</v>
      </c>
    </row>
    <row r="10483">
      <c r="A10483" s="11" t="s">
        <v>55</v>
      </c>
      <c r="B10483" s="12">
        <v>1043.428</v>
      </c>
      <c r="C10483" s="12">
        <v>0</v>
      </c>
      <c r="D10483" s="13">
        <v>0</v>
      </c>
      <c r="E10483" s="12">
        <v>0</v>
      </c>
      <c r="F10483" s="14">
        <v>0</v>
      </c>
      <c r="G10483" s="13">
        <v>75198975</v>
      </c>
      <c r="H10483" s="14">
        <v>78464716086.3</v>
      </c>
      <c r="I10483" s="14" t="e">
        <f>=Round(424383.20880000,0)</f>
        <v>#VALUE!</v>
      </c>
      <c r="J10483" s="14" t="e">
        <f>=Round(0.00000000,0)</f>
        <v>#VALUE!</v>
      </c>
    </row>
    <row r="10484" ht="-1">
      <c r="A10484" s="15"/>
      <c r="B10484" s="16" t="s">
        <v>56</v>
      </c>
      <c r="C10484" s="15"/>
      <c r="D10484" s="15"/>
      <c r="E10484" s="15"/>
      <c r="F10484" s="15"/>
      <c r="G10484" s="15"/>
      <c r="H10484" s="15"/>
      <c r="I10484" s="17" t="e">
        <f>=Round(SUM(I10458:I10483),0)</f>
        <v>#VALUE!</v>
      </c>
      <c r="J10484" s="17" t="e">
        <f>=Round(SUM(J10458:J10483),0)</f>
        <v>#VALUE!</v>
      </c>
    </row>
    <row r="10485">
      <c r="A10485" s="1" t="s">
        <v>0</v>
      </c>
      <c r="B10485" s="1"/>
      <c r="C10485" s="1"/>
      <c r="D10485" s="1"/>
    </row>
    <row r="10486">
      <c r="A10486" s="0" t="s">
        <v>1</v>
      </c>
      <c r="C10486" s="0" t="s">
        <v>362</v>
      </c>
      <c r="H10486" s="2" t="s">
        <v>3</v>
      </c>
    </row>
    <row r="10487">
      <c r="A10487" s="0" t="s">
        <v>4</v>
      </c>
      <c r="C10487" s="0" t="s">
        <v>365</v>
      </c>
      <c r="H10487" s="3" t="s">
        <v>6</v>
      </c>
    </row>
    <row r="10488">
      <c r="A10488" s="0" t="s">
        <v>7</v>
      </c>
      <c r="C10488" s="4" t="s">
        <v>363</v>
      </c>
      <c r="H10488" s="2" t="s">
        <v>9</v>
      </c>
    </row>
    <row r="10489">
      <c r="A10489" s="0" t="s">
        <v>10</v>
      </c>
      <c r="C10489" s="4" t="s">
        <v>11</v>
      </c>
      <c r="H10489" s="2" t="s">
        <v>12</v>
      </c>
    </row>
    <row r="10490">
      <c r="A10490" s="0" t="s">
        <v>13</v>
      </c>
      <c r="C10490" s="0" t="s">
        <v>14</v>
      </c>
    </row>
    <row r="10491">
      <c r="A10491" s="0" t="s">
        <v>15</v>
      </c>
      <c r="C10491" s="0" t="s">
        <v>16</v>
      </c>
    </row>
    <row r="10492">
      <c r="A10492" s="0" t="s">
        <v>17</v>
      </c>
      <c r="C10492" s="0" t="s">
        <v>18</v>
      </c>
    </row>
    <row r="10495">
      <c r="A10495" s="5" t="s">
        <v>19</v>
      </c>
      <c r="B10495" s="5" t="s">
        <v>20</v>
      </c>
      <c r="C10495" s="7" t="s">
        <v>21</v>
      </c>
      <c r="D10495" s="9"/>
      <c r="E10495" s="7" t="s">
        <v>22</v>
      </c>
      <c r="F10495" s="9"/>
      <c r="G10495" s="5" t="s">
        <v>23</v>
      </c>
      <c r="H10495" s="5" t="s">
        <v>24</v>
      </c>
      <c r="I10495" s="5" t="s">
        <v>364</v>
      </c>
      <c r="J10495" s="5" t="s">
        <v>26</v>
      </c>
    </row>
    <row r="10496">
      <c r="A10496" s="6"/>
      <c r="B10496" s="6"/>
      <c r="C10496" s="8" t="s">
        <v>27</v>
      </c>
      <c r="D10496" s="8" t="s">
        <v>28</v>
      </c>
      <c r="E10496" s="8" t="s">
        <v>27</v>
      </c>
      <c r="F10496" s="8" t="s">
        <v>28</v>
      </c>
      <c r="G10496" s="6"/>
      <c r="H10496" s="6"/>
      <c r="I10496" s="10" t="s">
        <v>29</v>
      </c>
      <c r="J10496" s="6"/>
    </row>
    <row r="10497">
      <c r="A10497" s="11" t="s">
        <v>30</v>
      </c>
      <c r="B10497" s="12">
        <v>1030.2098</v>
      </c>
      <c r="C10497" s="12">
        <v>0</v>
      </c>
      <c r="D10497" s="13">
        <v>0</v>
      </c>
      <c r="E10497" s="12">
        <v>0</v>
      </c>
      <c r="F10497" s="14">
        <v>0</v>
      </c>
      <c r="G10497" s="13">
        <v>27396150</v>
      </c>
      <c r="H10497" s="14">
        <v>28223782212.27</v>
      </c>
      <c r="I10497" s="14" t="e">
        <f>=Round(152578.82080000,0)</f>
        <v>#VALUE!</v>
      </c>
      <c r="J10497" s="14" t="e">
        <f>=Round(0.00000000,0)</f>
        <v>#VALUE!</v>
      </c>
    </row>
    <row r="10498">
      <c r="A10498" s="11" t="s">
        <v>31</v>
      </c>
      <c r="B10498" s="12">
        <v>1030.6815</v>
      </c>
      <c r="C10498" s="12">
        <v>0</v>
      </c>
      <c r="D10498" s="13">
        <v>0</v>
      </c>
      <c r="E10498" s="12">
        <v>0</v>
      </c>
      <c r="F10498" s="14">
        <v>0</v>
      </c>
      <c r="G10498" s="13">
        <v>27396150</v>
      </c>
      <c r="H10498" s="14">
        <v>28236704976.225</v>
      </c>
      <c r="I10498" s="14" t="e">
        <f>=Round(152686.03490000,0)</f>
        <v>#VALUE!</v>
      </c>
      <c r="J10498" s="14" t="e">
        <f>=Round(0.00000000,0)</f>
        <v>#VALUE!</v>
      </c>
    </row>
    <row r="10499">
      <c r="A10499" s="11" t="s">
        <v>32</v>
      </c>
      <c r="B10499" s="12">
        <v>1030.9226</v>
      </c>
      <c r="C10499" s="12">
        <v>0</v>
      </c>
      <c r="D10499" s="13">
        <v>0</v>
      </c>
      <c r="E10499" s="12">
        <v>0</v>
      </c>
      <c r="F10499" s="14">
        <v>0</v>
      </c>
      <c r="G10499" s="13">
        <v>27396150</v>
      </c>
      <c r="H10499" s="14">
        <v>28243310187.99</v>
      </c>
      <c r="I10499" s="14" t="e">
        <f>=Round(152755.94500000,0)</f>
        <v>#VALUE!</v>
      </c>
      <c r="J10499" s="14" t="e">
        <f>=Round(0.00000000,0)</f>
        <v>#VALUE!</v>
      </c>
    </row>
    <row r="10500">
      <c r="A10500" s="11" t="s">
        <v>33</v>
      </c>
      <c r="B10500" s="12">
        <v>1030.9866</v>
      </c>
      <c r="C10500" s="12">
        <v>0</v>
      </c>
      <c r="D10500" s="13">
        <v>0</v>
      </c>
      <c r="E10500" s="12">
        <v>0</v>
      </c>
      <c r="F10500" s="14">
        <v>0</v>
      </c>
      <c r="G10500" s="13">
        <v>27396150</v>
      </c>
      <c r="H10500" s="14">
        <v>28245063541.59</v>
      </c>
      <c r="I10500" s="14" t="e">
        <f>=Round(152791.67810000,0)</f>
        <v>#VALUE!</v>
      </c>
      <c r="J10500" s="14" t="e">
        <f>=Round(0.00000000,0)</f>
        <v>#VALUE!</v>
      </c>
    </row>
    <row r="10501">
      <c r="A10501" s="11" t="s">
        <v>34</v>
      </c>
      <c r="B10501" s="12">
        <v>1031.2324</v>
      </c>
      <c r="C10501" s="12">
        <v>0</v>
      </c>
      <c r="D10501" s="13">
        <v>0</v>
      </c>
      <c r="E10501" s="12">
        <v>0</v>
      </c>
      <c r="F10501" s="14">
        <v>0</v>
      </c>
      <c r="G10501" s="13">
        <v>27396150</v>
      </c>
      <c r="H10501" s="14">
        <v>28251797515.26</v>
      </c>
      <c r="I10501" s="14" t="e">
        <f>=Round(152801.16340000,0)</f>
        <v>#VALUE!</v>
      </c>
      <c r="J10501" s="14" t="e">
        <f>=Round(0.00000000,0)</f>
        <v>#VALUE!</v>
      </c>
    </row>
    <row r="10502">
      <c r="A10502" s="11" t="s">
        <v>35</v>
      </c>
      <c r="B10502" s="12">
        <v>1031.2324</v>
      </c>
      <c r="C10502" s="12">
        <v>0</v>
      </c>
      <c r="D10502" s="13">
        <v>0</v>
      </c>
      <c r="E10502" s="12">
        <v>0</v>
      </c>
      <c r="F10502" s="14">
        <v>0</v>
      </c>
      <c r="G10502" s="13">
        <v>27396150</v>
      </c>
      <c r="H10502" s="14">
        <v>28251797515.26</v>
      </c>
      <c r="I10502" s="14" t="e">
        <f>=Round(152837.59310000,0)</f>
        <v>#VALUE!</v>
      </c>
      <c r="J10502" s="14" t="e">
        <f>=Round(0.00000000,0)</f>
        <v>#VALUE!</v>
      </c>
    </row>
    <row r="10503">
      <c r="A10503" s="11" t="s">
        <v>36</v>
      </c>
      <c r="B10503" s="12">
        <v>1031.2324</v>
      </c>
      <c r="C10503" s="12">
        <v>0</v>
      </c>
      <c r="D10503" s="13">
        <v>0</v>
      </c>
      <c r="E10503" s="12">
        <v>0</v>
      </c>
      <c r="F10503" s="14">
        <v>0</v>
      </c>
      <c r="G10503" s="13">
        <v>27396150</v>
      </c>
      <c r="H10503" s="14">
        <v>28251797515.26</v>
      </c>
      <c r="I10503" s="14" t="e">
        <f>=Round(152837.59310000,0)</f>
        <v>#VALUE!</v>
      </c>
      <c r="J10503" s="14" t="e">
        <f>=Round(0.00000000,0)</f>
        <v>#VALUE!</v>
      </c>
    </row>
    <row r="10504">
      <c r="A10504" s="11" t="s">
        <v>37</v>
      </c>
      <c r="B10504" s="12">
        <v>1032.0922</v>
      </c>
      <c r="C10504" s="12">
        <v>0</v>
      </c>
      <c r="D10504" s="13">
        <v>0</v>
      </c>
      <c r="E10504" s="12">
        <v>0</v>
      </c>
      <c r="F10504" s="14">
        <v>0</v>
      </c>
      <c r="G10504" s="13">
        <v>27396150</v>
      </c>
      <c r="H10504" s="14">
        <v>28275352725.03</v>
      </c>
      <c r="I10504" s="14" t="e">
        <f>=Round(152837.59310000,0)</f>
        <v>#VALUE!</v>
      </c>
      <c r="J10504" s="14" t="e">
        <f>=Round(0.00000000,0)</f>
        <v>#VALUE!</v>
      </c>
    </row>
    <row r="10505">
      <c r="A10505" s="11" t="s">
        <v>38</v>
      </c>
      <c r="B10505" s="12">
        <v>1032.2965</v>
      </c>
      <c r="C10505" s="12">
        <v>0</v>
      </c>
      <c r="D10505" s="13">
        <v>0</v>
      </c>
      <c r="E10505" s="12">
        <v>0</v>
      </c>
      <c r="F10505" s="14">
        <v>0</v>
      </c>
      <c r="G10505" s="13">
        <v>27396150</v>
      </c>
      <c r="H10505" s="14">
        <v>28280949758.475</v>
      </c>
      <c r="I10505" s="14" t="e">
        <f>=Round(152965.02290000,0)</f>
        <v>#VALUE!</v>
      </c>
      <c r="J10505" s="14" t="e">
        <f>=Round(0.00000000,0)</f>
        <v>#VALUE!</v>
      </c>
    </row>
    <row r="10506">
      <c r="A10506" s="11" t="s">
        <v>39</v>
      </c>
      <c r="B10506" s="12">
        <v>1035.8868</v>
      </c>
      <c r="C10506" s="12">
        <v>0</v>
      </c>
      <c r="D10506" s="13">
        <v>0</v>
      </c>
      <c r="E10506" s="12">
        <v>0</v>
      </c>
      <c r="F10506" s="14">
        <v>0</v>
      </c>
      <c r="G10506" s="13">
        <v>27396150</v>
      </c>
      <c r="H10506" s="14">
        <v>28379310155.82</v>
      </c>
      <c r="I10506" s="14" t="e">
        <f>=Round(152995.30200000,0)</f>
        <v>#VALUE!</v>
      </c>
      <c r="J10506" s="14" t="e">
        <f>=Round(0.00000000,0)</f>
        <v>#VALUE!</v>
      </c>
    </row>
    <row r="10507">
      <c r="A10507" s="11" t="s">
        <v>40</v>
      </c>
      <c r="B10507" s="12">
        <v>1037.6003</v>
      </c>
      <c r="C10507" s="12">
        <v>0</v>
      </c>
      <c r="D10507" s="13">
        <v>0</v>
      </c>
      <c r="E10507" s="12">
        <v>0</v>
      </c>
      <c r="F10507" s="14">
        <v>0</v>
      </c>
      <c r="G10507" s="13">
        <v>27396150</v>
      </c>
      <c r="H10507" s="14">
        <v>28426253458.845</v>
      </c>
      <c r="I10507" s="14" t="e">
        <f>=Round(153527.41560000,0)</f>
        <v>#VALUE!</v>
      </c>
      <c r="J10507" s="14" t="e">
        <f>=Round(0.00000000,0)</f>
        <v>#VALUE!</v>
      </c>
    </row>
    <row r="10508">
      <c r="A10508" s="11" t="s">
        <v>41</v>
      </c>
      <c r="B10508" s="12">
        <v>1037.9321</v>
      </c>
      <c r="C10508" s="12">
        <v>0</v>
      </c>
      <c r="D10508" s="13">
        <v>0</v>
      </c>
      <c r="E10508" s="12">
        <v>0</v>
      </c>
      <c r="F10508" s="14">
        <v>0</v>
      </c>
      <c r="G10508" s="13">
        <v>27396150</v>
      </c>
      <c r="H10508" s="14">
        <v>28435343501.415</v>
      </c>
      <c r="I10508" s="14" t="e">
        <f>=Round(153781.37120000,0)</f>
        <v>#VALUE!</v>
      </c>
      <c r="J10508" s="14" t="e">
        <f>=Round(0.00000000,0)</f>
        <v>#VALUE!</v>
      </c>
    </row>
    <row r="10509">
      <c r="A10509" s="11" t="s">
        <v>42</v>
      </c>
      <c r="B10509" s="12">
        <v>1037.9321</v>
      </c>
      <c r="C10509" s="12">
        <v>0</v>
      </c>
      <c r="D10509" s="13">
        <v>0</v>
      </c>
      <c r="E10509" s="12">
        <v>0</v>
      </c>
      <c r="F10509" s="14">
        <v>0</v>
      </c>
      <c r="G10509" s="13">
        <v>27396150</v>
      </c>
      <c r="H10509" s="14">
        <v>28435343501.415</v>
      </c>
      <c r="I10509" s="14" t="e">
        <f>=Round(153830.54680000,0)</f>
        <v>#VALUE!</v>
      </c>
      <c r="J10509" s="14" t="e">
        <f>=Round(0.00000000,0)</f>
        <v>#VALUE!</v>
      </c>
    </row>
    <row r="10510">
      <c r="A10510" s="11" t="s">
        <v>43</v>
      </c>
      <c r="B10510" s="12">
        <v>1037.9321</v>
      </c>
      <c r="C10510" s="12">
        <v>0</v>
      </c>
      <c r="D10510" s="13">
        <v>0</v>
      </c>
      <c r="E10510" s="12">
        <v>0</v>
      </c>
      <c r="F10510" s="14">
        <v>0</v>
      </c>
      <c r="G10510" s="13">
        <v>27396150</v>
      </c>
      <c r="H10510" s="14">
        <v>28435343501.415</v>
      </c>
      <c r="I10510" s="14" t="e">
        <f>=Round(153830.54680000,0)</f>
        <v>#VALUE!</v>
      </c>
      <c r="J10510" s="14" t="e">
        <f>=Round(0.00000000,0)</f>
        <v>#VALUE!</v>
      </c>
    </row>
    <row r="10511">
      <c r="A10511" s="11" t="s">
        <v>44</v>
      </c>
      <c r="B10511" s="12">
        <v>1038.7201</v>
      </c>
      <c r="C10511" s="12">
        <v>0</v>
      </c>
      <c r="D10511" s="13">
        <v>0</v>
      </c>
      <c r="E10511" s="12">
        <v>0</v>
      </c>
      <c r="F10511" s="14">
        <v>0</v>
      </c>
      <c r="G10511" s="13">
        <v>27396150</v>
      </c>
      <c r="H10511" s="14">
        <v>28456931667.615</v>
      </c>
      <c r="I10511" s="14" t="e">
        <f>=Round(153830.54680000,0)</f>
        <v>#VALUE!</v>
      </c>
      <c r="J10511" s="14" t="e">
        <f>=Round(0.00000000,0)</f>
        <v>#VALUE!</v>
      </c>
    </row>
    <row r="10512">
      <c r="A10512" s="11" t="s">
        <v>45</v>
      </c>
      <c r="B10512" s="12">
        <v>1038.9611</v>
      </c>
      <c r="C10512" s="12">
        <v>0</v>
      </c>
      <c r="D10512" s="13">
        <v>0</v>
      </c>
      <c r="E10512" s="12">
        <v>0</v>
      </c>
      <c r="F10512" s="14">
        <v>0</v>
      </c>
      <c r="G10512" s="13">
        <v>27396150</v>
      </c>
      <c r="H10512" s="14">
        <v>28463534139.765</v>
      </c>
      <c r="I10512" s="14" t="e">
        <f>=Round(153947.33530000,0)</f>
        <v>#VALUE!</v>
      </c>
      <c r="J10512" s="14" t="e">
        <f>=Round(0.00000000,0)</f>
        <v>#VALUE!</v>
      </c>
    </row>
    <row r="10513">
      <c r="A10513" s="11" t="s">
        <v>46</v>
      </c>
      <c r="B10513" s="12">
        <v>1039.2205</v>
      </c>
      <c r="C10513" s="12">
        <v>0</v>
      </c>
      <c r="D10513" s="13">
        <v>0</v>
      </c>
      <c r="E10513" s="12">
        <v>0</v>
      </c>
      <c r="F10513" s="14">
        <v>0</v>
      </c>
      <c r="G10513" s="13">
        <v>27396150</v>
      </c>
      <c r="H10513" s="14">
        <v>28470640701.075</v>
      </c>
      <c r="I10513" s="14" t="e">
        <f>=Round(153983.05350000,0)</f>
        <v>#VALUE!</v>
      </c>
      <c r="J10513" s="14" t="e">
        <f>=Round(0.00000000,0)</f>
        <v>#VALUE!</v>
      </c>
    </row>
    <row r="10514">
      <c r="A10514" s="11" t="s">
        <v>47</v>
      </c>
      <c r="B10514" s="12">
        <v>1040.7197</v>
      </c>
      <c r="C10514" s="12">
        <v>0</v>
      </c>
      <c r="D10514" s="13">
        <v>0</v>
      </c>
      <c r="E10514" s="12">
        <v>0</v>
      </c>
      <c r="F10514" s="14">
        <v>0</v>
      </c>
      <c r="G10514" s="13">
        <v>27396150</v>
      </c>
      <c r="H10514" s="14">
        <v>28511713009.155</v>
      </c>
      <c r="I10514" s="14" t="e">
        <f>=Round(154021.49890000,0)</f>
        <v>#VALUE!</v>
      </c>
      <c r="J10514" s="14" t="e">
        <f>=Round(0.00000000,0)</f>
        <v>#VALUE!</v>
      </c>
    </row>
    <row r="10515">
      <c r="A10515" s="11" t="s">
        <v>48</v>
      </c>
      <c r="B10515" s="12">
        <v>1041.7455</v>
      </c>
      <c r="C10515" s="12">
        <v>0</v>
      </c>
      <c r="D10515" s="13">
        <v>0</v>
      </c>
      <c r="E10515" s="12">
        <v>0</v>
      </c>
      <c r="F10515" s="14">
        <v>0</v>
      </c>
      <c r="G10515" s="13">
        <v>27396150</v>
      </c>
      <c r="H10515" s="14">
        <v>28539815979.825</v>
      </c>
      <c r="I10515" s="14" t="e">
        <f>=Round(154243.69330000,0)</f>
        <v>#VALUE!</v>
      </c>
      <c r="J10515" s="14" t="e">
        <f>=Round(0.00000000,0)</f>
        <v>#VALUE!</v>
      </c>
    </row>
    <row r="10516">
      <c r="A10516" s="11" t="s">
        <v>49</v>
      </c>
      <c r="B10516" s="12">
        <v>1041.7455</v>
      </c>
      <c r="C10516" s="12">
        <v>0</v>
      </c>
      <c r="D10516" s="13">
        <v>0</v>
      </c>
      <c r="E10516" s="12">
        <v>0</v>
      </c>
      <c r="F10516" s="14">
        <v>0</v>
      </c>
      <c r="G10516" s="13">
        <v>27396150</v>
      </c>
      <c r="H10516" s="14">
        <v>28539815979.825</v>
      </c>
      <c r="I10516" s="14" t="e">
        <f>=Round(154395.72580000,0)</f>
        <v>#VALUE!</v>
      </c>
      <c r="J10516" s="14" t="e">
        <f>=Round(0.00000000,0)</f>
        <v>#VALUE!</v>
      </c>
    </row>
    <row r="10517">
      <c r="A10517" s="11" t="s">
        <v>50</v>
      </c>
      <c r="B10517" s="12">
        <v>1041.7455</v>
      </c>
      <c r="C10517" s="12">
        <v>0</v>
      </c>
      <c r="D10517" s="13">
        <v>0</v>
      </c>
      <c r="E10517" s="12">
        <v>0</v>
      </c>
      <c r="F10517" s="14">
        <v>0</v>
      </c>
      <c r="G10517" s="13">
        <v>27396150</v>
      </c>
      <c r="H10517" s="14">
        <v>28539815979.825</v>
      </c>
      <c r="I10517" s="14" t="e">
        <f>=Round(154395.72580000,0)</f>
        <v>#VALUE!</v>
      </c>
      <c r="J10517" s="14" t="e">
        <f>=Round(0.00000000,0)</f>
        <v>#VALUE!</v>
      </c>
    </row>
    <row r="10518">
      <c r="A10518" s="11" t="s">
        <v>51</v>
      </c>
      <c r="B10518" s="12">
        <v>1042.4686</v>
      </c>
      <c r="C10518" s="12">
        <v>0</v>
      </c>
      <c r="D10518" s="13">
        <v>0</v>
      </c>
      <c r="E10518" s="12">
        <v>0</v>
      </c>
      <c r="F10518" s="14">
        <v>0</v>
      </c>
      <c r="G10518" s="13">
        <v>27396150</v>
      </c>
      <c r="H10518" s="14">
        <v>28559626135.89</v>
      </c>
      <c r="I10518" s="14" t="e">
        <f>=Round(154395.72580000,0)</f>
        <v>#VALUE!</v>
      </c>
      <c r="J10518" s="14" t="e">
        <f>=Round(0.00000000,0)</f>
        <v>#VALUE!</v>
      </c>
    </row>
    <row r="10519">
      <c r="A10519" s="11" t="s">
        <v>52</v>
      </c>
      <c r="B10519" s="12">
        <v>1042.705</v>
      </c>
      <c r="C10519" s="12">
        <v>0</v>
      </c>
      <c r="D10519" s="13">
        <v>0</v>
      </c>
      <c r="E10519" s="12">
        <v>0</v>
      </c>
      <c r="F10519" s="14">
        <v>0</v>
      </c>
      <c r="G10519" s="13">
        <v>27396150</v>
      </c>
      <c r="H10519" s="14">
        <v>28566102585.75</v>
      </c>
      <c r="I10519" s="14" t="e">
        <f>=Round(154502.89550000,0)</f>
        <v>#VALUE!</v>
      </c>
      <c r="J10519" s="14" t="e">
        <f>=Round(0.00000000,0)</f>
        <v>#VALUE!</v>
      </c>
    </row>
    <row r="10520">
      <c r="A10520" s="11" t="s">
        <v>53</v>
      </c>
      <c r="B10520" s="12">
        <v>1042.946</v>
      </c>
      <c r="C10520" s="12">
        <v>0</v>
      </c>
      <c r="D10520" s="13">
        <v>0</v>
      </c>
      <c r="E10520" s="12">
        <v>0</v>
      </c>
      <c r="F10520" s="14">
        <v>0</v>
      </c>
      <c r="G10520" s="13">
        <v>27396150</v>
      </c>
      <c r="H10520" s="14">
        <v>28572705057.9</v>
      </c>
      <c r="I10520" s="14" t="e">
        <f>=Round(154537.93200000,0)</f>
        <v>#VALUE!</v>
      </c>
      <c r="J10520" s="14" t="e">
        <f>=Round(0.00000000,0)</f>
        <v>#VALUE!</v>
      </c>
    </row>
    <row r="10521">
      <c r="A10521" s="11" t="s">
        <v>54</v>
      </c>
      <c r="B10521" s="12">
        <v>1043.187</v>
      </c>
      <c r="C10521" s="12">
        <v>0</v>
      </c>
      <c r="D10521" s="13">
        <v>0</v>
      </c>
      <c r="E10521" s="12">
        <v>0</v>
      </c>
      <c r="F10521" s="14">
        <v>0</v>
      </c>
      <c r="G10521" s="13">
        <v>27396150</v>
      </c>
      <c r="H10521" s="14">
        <v>28579307530.05</v>
      </c>
      <c r="I10521" s="14" t="e">
        <f>=Round(154573.65030000,0)</f>
        <v>#VALUE!</v>
      </c>
      <c r="J10521" s="14" t="e">
        <f>=Round(0.00000000,0)</f>
        <v>#VALUE!</v>
      </c>
    </row>
    <row r="10522">
      <c r="A10522" s="11" t="s">
        <v>55</v>
      </c>
      <c r="B10522" s="12">
        <v>1043.428</v>
      </c>
      <c r="C10522" s="12">
        <v>0</v>
      </c>
      <c r="D10522" s="13">
        <v>0</v>
      </c>
      <c r="E10522" s="12">
        <v>0</v>
      </c>
      <c r="F10522" s="14">
        <v>0</v>
      </c>
      <c r="G10522" s="13">
        <v>27396150</v>
      </c>
      <c r="H10522" s="14">
        <v>28585910002.2</v>
      </c>
      <c r="I10522" s="14" t="e">
        <f>=Round(154609.36860000,0)</f>
        <v>#VALUE!</v>
      </c>
      <c r="J10522" s="14" t="e">
        <f>=Round(0.00000000,0)</f>
        <v>#VALUE!</v>
      </c>
    </row>
    <row r="10523" ht="-1">
      <c r="A10523" s="15"/>
      <c r="B10523" s="16" t="s">
        <v>56</v>
      </c>
      <c r="C10523" s="15"/>
      <c r="D10523" s="15"/>
      <c r="E10523" s="15"/>
      <c r="F10523" s="15"/>
      <c r="G10523" s="15"/>
      <c r="H10523" s="15"/>
      <c r="I10523" s="17" t="e">
        <f>=Round(SUM(I10497:I10522),0)</f>
        <v>#VALUE!</v>
      </c>
      <c r="J10523" s="17" t="e">
        <f>=Round(SUM(J10497:J10522),0)</f>
        <v>#VALUE!</v>
      </c>
    </row>
    <row r="10524">
      <c r="A10524" s="1" t="s">
        <v>0</v>
      </c>
      <c r="B10524" s="1"/>
      <c r="C10524" s="1"/>
      <c r="D10524" s="1"/>
    </row>
    <row r="10525">
      <c r="A10525" s="0" t="s">
        <v>1</v>
      </c>
      <c r="C10525" s="0" t="s">
        <v>362</v>
      </c>
      <c r="H10525" s="2" t="s">
        <v>3</v>
      </c>
    </row>
    <row r="10526">
      <c r="A10526" s="0" t="s">
        <v>4</v>
      </c>
      <c r="C10526" s="0" t="s">
        <v>175</v>
      </c>
      <c r="H10526" s="3" t="s">
        <v>6</v>
      </c>
    </row>
    <row r="10527">
      <c r="A10527" s="0" t="s">
        <v>7</v>
      </c>
      <c r="C10527" s="4" t="s">
        <v>363</v>
      </c>
      <c r="H10527" s="2" t="s">
        <v>9</v>
      </c>
    </row>
    <row r="10528">
      <c r="A10528" s="0" t="s">
        <v>10</v>
      </c>
      <c r="C10528" s="4" t="s">
        <v>11</v>
      </c>
      <c r="H10528" s="2" t="s">
        <v>12</v>
      </c>
    </row>
    <row r="10529">
      <c r="A10529" s="0" t="s">
        <v>13</v>
      </c>
      <c r="C10529" s="0" t="s">
        <v>14</v>
      </c>
    </row>
    <row r="10530">
      <c r="A10530" s="0" t="s">
        <v>15</v>
      </c>
      <c r="C10530" s="0" t="s">
        <v>16</v>
      </c>
    </row>
    <row r="10531">
      <c r="A10531" s="0" t="s">
        <v>17</v>
      </c>
      <c r="C10531" s="0" t="s">
        <v>18</v>
      </c>
    </row>
    <row r="10534">
      <c r="A10534" s="5" t="s">
        <v>19</v>
      </c>
      <c r="B10534" s="5" t="s">
        <v>20</v>
      </c>
      <c r="C10534" s="7" t="s">
        <v>21</v>
      </c>
      <c r="D10534" s="9"/>
      <c r="E10534" s="7" t="s">
        <v>22</v>
      </c>
      <c r="F10534" s="9"/>
      <c r="G10534" s="5" t="s">
        <v>23</v>
      </c>
      <c r="H10534" s="5" t="s">
        <v>24</v>
      </c>
      <c r="I10534" s="5" t="s">
        <v>364</v>
      </c>
      <c r="J10534" s="5" t="s">
        <v>26</v>
      </c>
    </row>
    <row r="10535">
      <c r="A10535" s="6"/>
      <c r="B10535" s="6"/>
      <c r="C10535" s="8" t="s">
        <v>27</v>
      </c>
      <c r="D10535" s="8" t="s">
        <v>28</v>
      </c>
      <c r="E10535" s="8" t="s">
        <v>27</v>
      </c>
      <c r="F10535" s="8" t="s">
        <v>28</v>
      </c>
      <c r="G10535" s="6"/>
      <c r="H10535" s="6"/>
      <c r="I10535" s="10" t="s">
        <v>29</v>
      </c>
      <c r="J10535" s="6"/>
    </row>
    <row r="10536">
      <c r="A10536" s="11" t="s">
        <v>30</v>
      </c>
      <c r="B10536" s="12">
        <v>1030.2098</v>
      </c>
      <c r="C10536" s="12">
        <v>0</v>
      </c>
      <c r="D10536" s="13">
        <v>0</v>
      </c>
      <c r="E10536" s="12">
        <v>0</v>
      </c>
      <c r="F10536" s="14">
        <v>0</v>
      </c>
      <c r="G10536" s="13">
        <v>75904875</v>
      </c>
      <c r="H10536" s="14">
        <v>78197946092.775009</v>
      </c>
      <c r="I10536" s="14" t="e">
        <f>=Round(422741.01720000,0)</f>
        <v>#VALUE!</v>
      </c>
      <c r="J10536" s="14" t="e">
        <f>=Round(0.00000000,0)</f>
        <v>#VALUE!</v>
      </c>
    </row>
    <row r="10537">
      <c r="A10537" s="11" t="s">
        <v>31</v>
      </c>
      <c r="B10537" s="12">
        <v>1030.6815</v>
      </c>
      <c r="C10537" s="12">
        <v>0</v>
      </c>
      <c r="D10537" s="13">
        <v>0</v>
      </c>
      <c r="E10537" s="12">
        <v>0</v>
      </c>
      <c r="F10537" s="14">
        <v>0</v>
      </c>
      <c r="G10537" s="13">
        <v>75904875</v>
      </c>
      <c r="H10537" s="14">
        <v>78233750422.3125</v>
      </c>
      <c r="I10537" s="14" t="e">
        <f>=Round(423038.06900000,0)</f>
        <v>#VALUE!</v>
      </c>
      <c r="J10537" s="14" t="e">
        <f>=Round(0.00000000,0)</f>
        <v>#VALUE!</v>
      </c>
    </row>
    <row r="10538">
      <c r="A10538" s="11" t="s">
        <v>32</v>
      </c>
      <c r="B10538" s="12">
        <v>1030.9226</v>
      </c>
      <c r="C10538" s="12">
        <v>0</v>
      </c>
      <c r="D10538" s="13">
        <v>0</v>
      </c>
      <c r="E10538" s="12">
        <v>0</v>
      </c>
      <c r="F10538" s="14">
        <v>0</v>
      </c>
      <c r="G10538" s="13">
        <v>75904875</v>
      </c>
      <c r="H10538" s="14">
        <v>78252051087.675</v>
      </c>
      <c r="I10538" s="14" t="e">
        <f>=Round(423231.76460000,0)</f>
        <v>#VALUE!</v>
      </c>
      <c r="J10538" s="14" t="e">
        <f>=Round(0.00000000,0)</f>
        <v>#VALUE!</v>
      </c>
    </row>
    <row r="10539">
      <c r="A10539" s="11" t="s">
        <v>33</v>
      </c>
      <c r="B10539" s="12">
        <v>1030.9866</v>
      </c>
      <c r="C10539" s="12">
        <v>0</v>
      </c>
      <c r="D10539" s="13">
        <v>0</v>
      </c>
      <c r="E10539" s="12">
        <v>0</v>
      </c>
      <c r="F10539" s="14">
        <v>0</v>
      </c>
      <c r="G10539" s="13">
        <v>75904875</v>
      </c>
      <c r="H10539" s="14">
        <v>78256908999.675</v>
      </c>
      <c r="I10539" s="14" t="e">
        <f>=Round(423330.76820000,0)</f>
        <v>#VALUE!</v>
      </c>
      <c r="J10539" s="14" t="e">
        <f>=Round(0.00000000,0)</f>
        <v>#VALUE!</v>
      </c>
    </row>
    <row r="10540">
      <c r="A10540" s="11" t="s">
        <v>34</v>
      </c>
      <c r="B10540" s="12">
        <v>1031.2324</v>
      </c>
      <c r="C10540" s="12">
        <v>0</v>
      </c>
      <c r="D10540" s="13">
        <v>0</v>
      </c>
      <c r="E10540" s="12">
        <v>0</v>
      </c>
      <c r="F10540" s="14">
        <v>0</v>
      </c>
      <c r="G10540" s="13">
        <v>75904875</v>
      </c>
      <c r="H10540" s="14">
        <v>78275566417.95</v>
      </c>
      <c r="I10540" s="14" t="e">
        <f>=Round(423357.04870000,0)</f>
        <v>#VALUE!</v>
      </c>
      <c r="J10540" s="14" t="e">
        <f>=Round(0.00000000,0)</f>
        <v>#VALUE!</v>
      </c>
    </row>
    <row r="10541">
      <c r="A10541" s="11" t="s">
        <v>35</v>
      </c>
      <c r="B10541" s="12">
        <v>1031.2324</v>
      </c>
      <c r="C10541" s="12">
        <v>0</v>
      </c>
      <c r="D10541" s="13">
        <v>0</v>
      </c>
      <c r="E10541" s="12">
        <v>0</v>
      </c>
      <c r="F10541" s="14">
        <v>0</v>
      </c>
      <c r="G10541" s="13">
        <v>75904875</v>
      </c>
      <c r="H10541" s="14">
        <v>78275566417.95</v>
      </c>
      <c r="I10541" s="14" t="e">
        <f>=Round(423457.98230000,0)</f>
        <v>#VALUE!</v>
      </c>
      <c r="J10541" s="14" t="e">
        <f>=Round(0.00000000,0)</f>
        <v>#VALUE!</v>
      </c>
    </row>
    <row r="10542">
      <c r="A10542" s="11" t="s">
        <v>36</v>
      </c>
      <c r="B10542" s="12">
        <v>1031.2324</v>
      </c>
      <c r="C10542" s="12">
        <v>0</v>
      </c>
      <c r="D10542" s="13">
        <v>0</v>
      </c>
      <c r="E10542" s="12">
        <v>0</v>
      </c>
      <c r="F10542" s="14">
        <v>0</v>
      </c>
      <c r="G10542" s="13">
        <v>75904875</v>
      </c>
      <c r="H10542" s="14">
        <v>78275566417.95</v>
      </c>
      <c r="I10542" s="14" t="e">
        <f>=Round(423457.98230000,0)</f>
        <v>#VALUE!</v>
      </c>
      <c r="J10542" s="14" t="e">
        <f>=Round(0.00000000,0)</f>
        <v>#VALUE!</v>
      </c>
    </row>
    <row r="10543">
      <c r="A10543" s="11" t="s">
        <v>37</v>
      </c>
      <c r="B10543" s="12">
        <v>1032.0922</v>
      </c>
      <c r="C10543" s="12">
        <v>0</v>
      </c>
      <c r="D10543" s="13">
        <v>0</v>
      </c>
      <c r="E10543" s="12">
        <v>0</v>
      </c>
      <c r="F10543" s="14">
        <v>0</v>
      </c>
      <c r="G10543" s="13">
        <v>75904875</v>
      </c>
      <c r="H10543" s="14">
        <v>78340829429.475</v>
      </c>
      <c r="I10543" s="14" t="e">
        <f>=Round(423457.98230000,0)</f>
        <v>#VALUE!</v>
      </c>
      <c r="J10543" s="14" t="e">
        <f>=Round(0.00000000,0)</f>
        <v>#VALUE!</v>
      </c>
    </row>
    <row r="10544">
      <c r="A10544" s="11" t="s">
        <v>38</v>
      </c>
      <c r="B10544" s="12">
        <v>1032.2965</v>
      </c>
      <c r="C10544" s="12">
        <v>0</v>
      </c>
      <c r="D10544" s="13">
        <v>0</v>
      </c>
      <c r="E10544" s="12">
        <v>0</v>
      </c>
      <c r="F10544" s="14">
        <v>0</v>
      </c>
      <c r="G10544" s="13">
        <v>75904875</v>
      </c>
      <c r="H10544" s="14">
        <v>78356336795.4375</v>
      </c>
      <c r="I10544" s="14" t="e">
        <f>=Round(423811.04450000,0)</f>
        <v>#VALUE!</v>
      </c>
      <c r="J10544" s="14" t="e">
        <f>=Round(0.00000000,0)</f>
        <v>#VALUE!</v>
      </c>
    </row>
    <row r="10545">
      <c r="A10545" s="11" t="s">
        <v>39</v>
      </c>
      <c r="B10545" s="12">
        <v>1035.8868</v>
      </c>
      <c r="C10545" s="12">
        <v>0</v>
      </c>
      <c r="D10545" s="13">
        <v>0</v>
      </c>
      <c r="E10545" s="12">
        <v>0</v>
      </c>
      <c r="F10545" s="14">
        <v>0</v>
      </c>
      <c r="G10545" s="13">
        <v>75904875</v>
      </c>
      <c r="H10545" s="14">
        <v>78628858068.15</v>
      </c>
      <c r="I10545" s="14" t="e">
        <f>=Round(423894.93680000,0)</f>
        <v>#VALUE!</v>
      </c>
      <c r="J10545" s="14" t="e">
        <f>=Round(0.00000000,0)</f>
        <v>#VALUE!</v>
      </c>
    </row>
    <row r="10546">
      <c r="A10546" s="11" t="s">
        <v>40</v>
      </c>
      <c r="B10546" s="12">
        <v>1037.6003</v>
      </c>
      <c r="C10546" s="12">
        <v>0</v>
      </c>
      <c r="D10546" s="13">
        <v>0</v>
      </c>
      <c r="E10546" s="12">
        <v>0</v>
      </c>
      <c r="F10546" s="14">
        <v>0</v>
      </c>
      <c r="G10546" s="13">
        <v>75904875</v>
      </c>
      <c r="H10546" s="14">
        <v>78758921071.4625</v>
      </c>
      <c r="I10546" s="14" t="e">
        <f>=Round(425369.23220000,0)</f>
        <v>#VALUE!</v>
      </c>
      <c r="J10546" s="14" t="e">
        <f>=Round(0.00000000,0)</f>
        <v>#VALUE!</v>
      </c>
    </row>
    <row r="10547">
      <c r="A10547" s="11" t="s">
        <v>41</v>
      </c>
      <c r="B10547" s="12">
        <v>1037.9321</v>
      </c>
      <c r="C10547" s="12">
        <v>0</v>
      </c>
      <c r="D10547" s="13">
        <v>0</v>
      </c>
      <c r="E10547" s="12">
        <v>0</v>
      </c>
      <c r="F10547" s="14">
        <v>0</v>
      </c>
      <c r="G10547" s="13">
        <v>75904875</v>
      </c>
      <c r="H10547" s="14">
        <v>78784106308.9875</v>
      </c>
      <c r="I10547" s="14" t="e">
        <f>=Round(426072.85170000,0)</f>
        <v>#VALUE!</v>
      </c>
      <c r="J10547" s="14" t="e">
        <f>=Round(0.00000000,0)</f>
        <v>#VALUE!</v>
      </c>
    </row>
    <row r="10548">
      <c r="A10548" s="11" t="s">
        <v>42</v>
      </c>
      <c r="B10548" s="12">
        <v>1037.9321</v>
      </c>
      <c r="C10548" s="12">
        <v>0</v>
      </c>
      <c r="D10548" s="13">
        <v>0</v>
      </c>
      <c r="E10548" s="12">
        <v>0</v>
      </c>
      <c r="F10548" s="14">
        <v>0</v>
      </c>
      <c r="G10548" s="13">
        <v>75904875</v>
      </c>
      <c r="H10548" s="14">
        <v>78784106308.9875</v>
      </c>
      <c r="I10548" s="14" t="e">
        <f>=Round(426209.09970000,0)</f>
        <v>#VALUE!</v>
      </c>
      <c r="J10548" s="14" t="e">
        <f>=Round(0.00000000,0)</f>
        <v>#VALUE!</v>
      </c>
    </row>
    <row r="10549">
      <c r="A10549" s="11" t="s">
        <v>43</v>
      </c>
      <c r="B10549" s="12">
        <v>1037.9321</v>
      </c>
      <c r="C10549" s="12">
        <v>0</v>
      </c>
      <c r="D10549" s="13">
        <v>0</v>
      </c>
      <c r="E10549" s="12">
        <v>0</v>
      </c>
      <c r="F10549" s="14">
        <v>0</v>
      </c>
      <c r="G10549" s="13">
        <v>75904875</v>
      </c>
      <c r="H10549" s="14">
        <v>78784106308.9875</v>
      </c>
      <c r="I10549" s="14" t="e">
        <f>=Round(426209.09970000,0)</f>
        <v>#VALUE!</v>
      </c>
      <c r="J10549" s="14" t="e">
        <f>=Round(0.00000000,0)</f>
        <v>#VALUE!</v>
      </c>
    </row>
    <row r="10550">
      <c r="A10550" s="11" t="s">
        <v>44</v>
      </c>
      <c r="B10550" s="12">
        <v>1038.7201</v>
      </c>
      <c r="C10550" s="12">
        <v>0</v>
      </c>
      <c r="D10550" s="13">
        <v>0</v>
      </c>
      <c r="E10550" s="12">
        <v>0</v>
      </c>
      <c r="F10550" s="14">
        <v>0</v>
      </c>
      <c r="G10550" s="13">
        <v>75904875</v>
      </c>
      <c r="H10550" s="14">
        <v>78843919350.4875</v>
      </c>
      <c r="I10550" s="14" t="e">
        <f>=Round(426209.09970000,0)</f>
        <v>#VALUE!</v>
      </c>
      <c r="J10550" s="14" t="e">
        <f>=Round(0.00000000,0)</f>
        <v>#VALUE!</v>
      </c>
    </row>
    <row r="10551">
      <c r="A10551" s="11" t="s">
        <v>45</v>
      </c>
      <c r="B10551" s="12">
        <v>1038.9611</v>
      </c>
      <c r="C10551" s="12">
        <v>0</v>
      </c>
      <c r="D10551" s="13">
        <v>0</v>
      </c>
      <c r="E10551" s="12">
        <v>0</v>
      </c>
      <c r="F10551" s="14">
        <v>0</v>
      </c>
      <c r="G10551" s="13">
        <v>75904875</v>
      </c>
      <c r="H10551" s="14">
        <v>78862212425.3625</v>
      </c>
      <c r="I10551" s="14" t="e">
        <f>=Round(426532.67850000,0)</f>
        <v>#VALUE!</v>
      </c>
      <c r="J10551" s="14" t="e">
        <f>=Round(0.00000000,0)</f>
        <v>#VALUE!</v>
      </c>
    </row>
    <row r="10552">
      <c r="A10552" s="11" t="s">
        <v>46</v>
      </c>
      <c r="B10552" s="12">
        <v>1039.2205</v>
      </c>
      <c r="C10552" s="12">
        <v>0</v>
      </c>
      <c r="D10552" s="13">
        <v>0</v>
      </c>
      <c r="E10552" s="12">
        <v>0</v>
      </c>
      <c r="F10552" s="14">
        <v>0</v>
      </c>
      <c r="G10552" s="13">
        <v>75904875</v>
      </c>
      <c r="H10552" s="14">
        <v>78881902149.9375</v>
      </c>
      <c r="I10552" s="14" t="e">
        <f>=Round(426631.64100000,0)</f>
        <v>#VALUE!</v>
      </c>
      <c r="J10552" s="14" t="e">
        <f>=Round(0.00000000,0)</f>
        <v>#VALUE!</v>
      </c>
    </row>
    <row r="10553">
      <c r="A10553" s="11" t="s">
        <v>47</v>
      </c>
      <c r="B10553" s="12">
        <v>1040.7197</v>
      </c>
      <c r="C10553" s="12">
        <v>0</v>
      </c>
      <c r="D10553" s="13">
        <v>0</v>
      </c>
      <c r="E10553" s="12">
        <v>0</v>
      </c>
      <c r="F10553" s="14">
        <v>0</v>
      </c>
      <c r="G10553" s="13">
        <v>75904875</v>
      </c>
      <c r="H10553" s="14">
        <v>78995698738.5375</v>
      </c>
      <c r="I10553" s="14" t="e">
        <f>=Round(426738.15920000,0)</f>
        <v>#VALUE!</v>
      </c>
      <c r="J10553" s="14" t="e">
        <f>=Round(0.00000000,0)</f>
        <v>#VALUE!</v>
      </c>
    </row>
    <row r="10554">
      <c r="A10554" s="11" t="s">
        <v>48</v>
      </c>
      <c r="B10554" s="12">
        <v>1041.7455</v>
      </c>
      <c r="C10554" s="12">
        <v>0</v>
      </c>
      <c r="D10554" s="13">
        <v>0</v>
      </c>
      <c r="E10554" s="12">
        <v>0</v>
      </c>
      <c r="F10554" s="14">
        <v>0</v>
      </c>
      <c r="G10554" s="13">
        <v>75904875</v>
      </c>
      <c r="H10554" s="14">
        <v>79073561959.3125</v>
      </c>
      <c r="I10554" s="14" t="e">
        <f>=Round(427353.78010000,0)</f>
        <v>#VALUE!</v>
      </c>
      <c r="J10554" s="14" t="e">
        <f>=Round(0.00000000,0)</f>
        <v>#VALUE!</v>
      </c>
    </row>
    <row r="10555">
      <c r="A10555" s="11" t="s">
        <v>49</v>
      </c>
      <c r="B10555" s="12">
        <v>1041.7455</v>
      </c>
      <c r="C10555" s="12">
        <v>0</v>
      </c>
      <c r="D10555" s="13">
        <v>0</v>
      </c>
      <c r="E10555" s="12">
        <v>0</v>
      </c>
      <c r="F10555" s="14">
        <v>0</v>
      </c>
      <c r="G10555" s="13">
        <v>75904875</v>
      </c>
      <c r="H10555" s="14">
        <v>79073561959.3125</v>
      </c>
      <c r="I10555" s="14" t="e">
        <f>=Round(427775.00730000,0)</f>
        <v>#VALUE!</v>
      </c>
      <c r="J10555" s="14" t="e">
        <f>=Round(0.00000000,0)</f>
        <v>#VALUE!</v>
      </c>
    </row>
    <row r="10556">
      <c r="A10556" s="11" t="s">
        <v>50</v>
      </c>
      <c r="B10556" s="12">
        <v>1041.7455</v>
      </c>
      <c r="C10556" s="12">
        <v>0</v>
      </c>
      <c r="D10556" s="13">
        <v>0</v>
      </c>
      <c r="E10556" s="12">
        <v>0</v>
      </c>
      <c r="F10556" s="14">
        <v>0</v>
      </c>
      <c r="G10556" s="13">
        <v>75904875</v>
      </c>
      <c r="H10556" s="14">
        <v>79073561959.3125</v>
      </c>
      <c r="I10556" s="14" t="e">
        <f>=Round(427775.00730000,0)</f>
        <v>#VALUE!</v>
      </c>
      <c r="J10556" s="14" t="e">
        <f>=Round(0.00000000,0)</f>
        <v>#VALUE!</v>
      </c>
    </row>
    <row r="10557">
      <c r="A10557" s="11" t="s">
        <v>51</v>
      </c>
      <c r="B10557" s="12">
        <v>1042.4686</v>
      </c>
      <c r="C10557" s="12">
        <v>0</v>
      </c>
      <c r="D10557" s="13">
        <v>0</v>
      </c>
      <c r="E10557" s="12">
        <v>0</v>
      </c>
      <c r="F10557" s="14">
        <v>0</v>
      </c>
      <c r="G10557" s="13">
        <v>75904875</v>
      </c>
      <c r="H10557" s="14">
        <v>79128448774.424988</v>
      </c>
      <c r="I10557" s="14" t="e">
        <f>=Round(427775.00730000,0)</f>
        <v>#VALUE!</v>
      </c>
      <c r="J10557" s="14" t="e">
        <f>=Round(0.00000000,0)</f>
        <v>#VALUE!</v>
      </c>
    </row>
    <row r="10558">
      <c r="A10558" s="11" t="s">
        <v>52</v>
      </c>
      <c r="B10558" s="12">
        <v>1042.705</v>
      </c>
      <c r="C10558" s="12">
        <v>0</v>
      </c>
      <c r="D10558" s="13">
        <v>0</v>
      </c>
      <c r="E10558" s="12">
        <v>0</v>
      </c>
      <c r="F10558" s="14">
        <v>0</v>
      </c>
      <c r="G10558" s="13">
        <v>75904875</v>
      </c>
      <c r="H10558" s="14">
        <v>79146392686.875015</v>
      </c>
      <c r="I10558" s="14" t="e">
        <f>=Round(428071.93600000,0)</f>
        <v>#VALUE!</v>
      </c>
      <c r="J10558" s="14" t="e">
        <f>=Round(0.00000000,0)</f>
        <v>#VALUE!</v>
      </c>
    </row>
    <row r="10559">
      <c r="A10559" s="11" t="s">
        <v>53</v>
      </c>
      <c r="B10559" s="12">
        <v>1042.946</v>
      </c>
      <c r="C10559" s="12">
        <v>0</v>
      </c>
      <c r="D10559" s="13">
        <v>0</v>
      </c>
      <c r="E10559" s="12">
        <v>0</v>
      </c>
      <c r="F10559" s="14">
        <v>0</v>
      </c>
      <c r="G10559" s="13">
        <v>75904875</v>
      </c>
      <c r="H10559" s="14">
        <v>79164685761.75</v>
      </c>
      <c r="I10559" s="14" t="e">
        <f>=Round(428169.00960000,0)</f>
        <v>#VALUE!</v>
      </c>
      <c r="J10559" s="14" t="e">
        <f>=Round(0.00000000,0)</f>
        <v>#VALUE!</v>
      </c>
    </row>
    <row r="10560">
      <c r="A10560" s="11" t="s">
        <v>54</v>
      </c>
      <c r="B10560" s="12">
        <v>1043.187</v>
      </c>
      <c r="C10560" s="12">
        <v>0</v>
      </c>
      <c r="D10560" s="13">
        <v>0</v>
      </c>
      <c r="E10560" s="12">
        <v>0</v>
      </c>
      <c r="F10560" s="14">
        <v>0</v>
      </c>
      <c r="G10560" s="13">
        <v>75904875</v>
      </c>
      <c r="H10560" s="14">
        <v>79182978836.624985</v>
      </c>
      <c r="I10560" s="14" t="e">
        <f>=Round(428267.97220000,0)</f>
        <v>#VALUE!</v>
      </c>
      <c r="J10560" s="14" t="e">
        <f>=Round(0.00000000,0)</f>
        <v>#VALUE!</v>
      </c>
    </row>
    <row r="10561">
      <c r="A10561" s="11" t="s">
        <v>55</v>
      </c>
      <c r="B10561" s="12">
        <v>1043.428</v>
      </c>
      <c r="C10561" s="12">
        <v>0</v>
      </c>
      <c r="D10561" s="13">
        <v>0</v>
      </c>
      <c r="E10561" s="12">
        <v>0</v>
      </c>
      <c r="F10561" s="14">
        <v>0</v>
      </c>
      <c r="G10561" s="13">
        <v>75904875</v>
      </c>
      <c r="H10561" s="14">
        <v>79201271911.5</v>
      </c>
      <c r="I10561" s="14" t="e">
        <f>=Round(428366.93470000,0)</f>
        <v>#VALUE!</v>
      </c>
      <c r="J10561" s="14" t="e">
        <f>=Round(0.00000000,0)</f>
        <v>#VALUE!</v>
      </c>
    </row>
    <row r="10562" ht="-1">
      <c r="A10562" s="15"/>
      <c r="B10562" s="16" t="s">
        <v>56</v>
      </c>
      <c r="C10562" s="15"/>
      <c r="D10562" s="15"/>
      <c r="E10562" s="15"/>
      <c r="F10562" s="15"/>
      <c r="G10562" s="15"/>
      <c r="H10562" s="15"/>
      <c r="I10562" s="17" t="e">
        <f>=Round(SUM(I10536:I10561),0)</f>
        <v>#VALUE!</v>
      </c>
      <c r="J10562" s="17" t="e">
        <f>=Round(SUM(J10536:J10561),0)</f>
        <v>#VALUE!</v>
      </c>
    </row>
    <row r="10563">
      <c r="A10563" s="1" t="s">
        <v>0</v>
      </c>
      <c r="B10563" s="1"/>
      <c r="C10563" s="1"/>
      <c r="D10563" s="1"/>
    </row>
    <row r="10564">
      <c r="A10564" s="0" t="s">
        <v>1</v>
      </c>
      <c r="C10564" s="0" t="s">
        <v>366</v>
      </c>
      <c r="H10564" s="2" t="s">
        <v>3</v>
      </c>
    </row>
    <row r="10565">
      <c r="A10565" s="0" t="s">
        <v>4</v>
      </c>
      <c r="C10565" s="0" t="s">
        <v>367</v>
      </c>
      <c r="H10565" s="3" t="s">
        <v>6</v>
      </c>
    </row>
    <row r="10566">
      <c r="A10566" s="0" t="s">
        <v>7</v>
      </c>
      <c r="C10566" s="4" t="s">
        <v>146</v>
      </c>
      <c r="H10566" s="2" t="s">
        <v>9</v>
      </c>
    </row>
    <row r="10567">
      <c r="A10567" s="0" t="s">
        <v>10</v>
      </c>
      <c r="C10567" s="4" t="s">
        <v>11</v>
      </c>
      <c r="H10567" s="2" t="s">
        <v>12</v>
      </c>
    </row>
    <row r="10568">
      <c r="A10568" s="0" t="s">
        <v>13</v>
      </c>
      <c r="C10568" s="0" t="s">
        <v>14</v>
      </c>
    </row>
    <row r="10569">
      <c r="A10569" s="0" t="s">
        <v>15</v>
      </c>
      <c r="C10569" s="0" t="s">
        <v>16</v>
      </c>
    </row>
    <row r="10570">
      <c r="A10570" s="0" t="s">
        <v>17</v>
      </c>
      <c r="C10570" s="0" t="s">
        <v>18</v>
      </c>
    </row>
    <row r="10573">
      <c r="A10573" s="5" t="s">
        <v>19</v>
      </c>
      <c r="B10573" s="5" t="s">
        <v>20</v>
      </c>
      <c r="C10573" s="7" t="s">
        <v>21</v>
      </c>
      <c r="D10573" s="9"/>
      <c r="E10573" s="7" t="s">
        <v>22</v>
      </c>
      <c r="F10573" s="9"/>
      <c r="G10573" s="5" t="s">
        <v>23</v>
      </c>
      <c r="H10573" s="5" t="s">
        <v>24</v>
      </c>
      <c r="I10573" s="5" t="s">
        <v>147</v>
      </c>
      <c r="J10573" s="5" t="s">
        <v>26</v>
      </c>
    </row>
    <row r="10574">
      <c r="A10574" s="6"/>
      <c r="B10574" s="6"/>
      <c r="C10574" s="8" t="s">
        <v>27</v>
      </c>
      <c r="D10574" s="8" t="s">
        <v>28</v>
      </c>
      <c r="E10574" s="8" t="s">
        <v>27</v>
      </c>
      <c r="F10574" s="8" t="s">
        <v>28</v>
      </c>
      <c r="G10574" s="6"/>
      <c r="H10574" s="6"/>
      <c r="I10574" s="10" t="s">
        <v>29</v>
      </c>
      <c r="J10574" s="6"/>
    </row>
    <row r="10575">
      <c r="A10575" s="11" t="s">
        <v>30</v>
      </c>
      <c r="B10575" s="12">
        <v>1258.0991</v>
      </c>
      <c r="C10575" s="12">
        <v>0</v>
      </c>
      <c r="D10575" s="13">
        <v>0</v>
      </c>
      <c r="E10575" s="12">
        <v>0</v>
      </c>
      <c r="F10575" s="14">
        <v>0</v>
      </c>
      <c r="G10575" s="13">
        <v>79655264.759</v>
      </c>
      <c r="H10575" s="14">
        <v>100214216903.55962</v>
      </c>
      <c r="I10575" s="14" t="e">
        <f>=Round(1505134.03170000,0)</f>
        <v>#VALUE!</v>
      </c>
      <c r="J10575" s="14" t="e">
        <f>=Round(0.00000000,0)</f>
        <v>#VALUE!</v>
      </c>
    </row>
    <row r="10576">
      <c r="A10576" s="11" t="s">
        <v>31</v>
      </c>
      <c r="B10576" s="12">
        <v>1258.2818</v>
      </c>
      <c r="C10576" s="12">
        <v>0</v>
      </c>
      <c r="D10576" s="13">
        <v>0</v>
      </c>
      <c r="E10576" s="12">
        <v>0</v>
      </c>
      <c r="F10576" s="14">
        <v>0</v>
      </c>
      <c r="G10576" s="13">
        <v>79655264.759</v>
      </c>
      <c r="H10576" s="14">
        <v>100228769920.43109</v>
      </c>
      <c r="I10576" s="14" t="e">
        <f>=Round(1505951.34690000,0)</f>
        <v>#VALUE!</v>
      </c>
      <c r="J10576" s="14" t="e">
        <f>=Round(0.00000000,0)</f>
        <v>#VALUE!</v>
      </c>
    </row>
    <row r="10577">
      <c r="A10577" s="11" t="s">
        <v>32</v>
      </c>
      <c r="B10577" s="12">
        <v>1258.4222</v>
      </c>
      <c r="C10577" s="12">
        <v>0</v>
      </c>
      <c r="D10577" s="13">
        <v>0</v>
      </c>
      <c r="E10577" s="12">
        <v>0</v>
      </c>
      <c r="F10577" s="14">
        <v>0</v>
      </c>
      <c r="G10577" s="13">
        <v>79655264.759</v>
      </c>
      <c r="H10577" s="14">
        <v>100239953519.60324</v>
      </c>
      <c r="I10577" s="14" t="e">
        <f>=Round(1506170.03980000,0)</f>
        <v>#VALUE!</v>
      </c>
      <c r="J10577" s="14" t="e">
        <f>=Round(0.00000000,0)</f>
        <v>#VALUE!</v>
      </c>
    </row>
    <row r="10578">
      <c r="A10578" s="11" t="s">
        <v>33</v>
      </c>
      <c r="B10578" s="12">
        <v>1258.7152</v>
      </c>
      <c r="C10578" s="12">
        <v>0</v>
      </c>
      <c r="D10578" s="13">
        <v>0</v>
      </c>
      <c r="E10578" s="12">
        <v>0</v>
      </c>
      <c r="F10578" s="14">
        <v>0</v>
      </c>
      <c r="G10578" s="13">
        <v>79655264.759</v>
      </c>
      <c r="H10578" s="14">
        <v>100263292512.17763</v>
      </c>
      <c r="I10578" s="14" t="e">
        <f>=Round(1506338.09930000,0)</f>
        <v>#VALUE!</v>
      </c>
      <c r="J10578" s="14" t="e">
        <f>=Round(0.00000000,0)</f>
        <v>#VALUE!</v>
      </c>
    </row>
    <row r="10579">
      <c r="A10579" s="11" t="s">
        <v>34</v>
      </c>
      <c r="B10579" s="12">
        <v>1258.875</v>
      </c>
      <c r="C10579" s="12">
        <v>0</v>
      </c>
      <c r="D10579" s="13">
        <v>0</v>
      </c>
      <c r="E10579" s="12">
        <v>0</v>
      </c>
      <c r="F10579" s="14">
        <v>0</v>
      </c>
      <c r="G10579" s="13">
        <v>79655264.759</v>
      </c>
      <c r="H10579" s="14">
        <v>100276021423.48613</v>
      </c>
      <c r="I10579" s="14" t="e">
        <f>=Round(1506688.82190000,0)</f>
        <v>#VALUE!</v>
      </c>
      <c r="J10579" s="14" t="e">
        <f>=Round(0.00000000,0)</f>
        <v>#VALUE!</v>
      </c>
    </row>
    <row r="10580">
      <c r="A10580" s="11" t="s">
        <v>35</v>
      </c>
      <c r="B10580" s="12">
        <v>1258.875</v>
      </c>
      <c r="C10580" s="12">
        <v>0</v>
      </c>
      <c r="D10580" s="13">
        <v>0</v>
      </c>
      <c r="E10580" s="12">
        <v>0</v>
      </c>
      <c r="F10580" s="14">
        <v>0</v>
      </c>
      <c r="G10580" s="13">
        <v>79655264.759</v>
      </c>
      <c r="H10580" s="14">
        <v>100276021423.48613</v>
      </c>
      <c r="I10580" s="14" t="e">
        <f>=Round(1506880.10340000,0)</f>
        <v>#VALUE!</v>
      </c>
      <c r="J10580" s="14" t="e">
        <f>=Round(0.00000000,0)</f>
        <v>#VALUE!</v>
      </c>
    </row>
    <row r="10581">
      <c r="A10581" s="11" t="s">
        <v>36</v>
      </c>
      <c r="B10581" s="12">
        <v>1258.875</v>
      </c>
      <c r="C10581" s="12">
        <v>0</v>
      </c>
      <c r="D10581" s="13">
        <v>0</v>
      </c>
      <c r="E10581" s="12">
        <v>0</v>
      </c>
      <c r="F10581" s="14">
        <v>0</v>
      </c>
      <c r="G10581" s="13">
        <v>79655264.759</v>
      </c>
      <c r="H10581" s="14">
        <v>100276021423.48613</v>
      </c>
      <c r="I10581" s="14" t="e">
        <f>=Round(1506880.10340000,0)</f>
        <v>#VALUE!</v>
      </c>
      <c r="J10581" s="14" t="e">
        <f>=Round(0.00000000,0)</f>
        <v>#VALUE!</v>
      </c>
    </row>
    <row r="10582">
      <c r="A10582" s="11" t="s">
        <v>37</v>
      </c>
      <c r="B10582" s="12">
        <v>1259.4622</v>
      </c>
      <c r="C10582" s="12">
        <v>0</v>
      </c>
      <c r="D10582" s="13">
        <v>0</v>
      </c>
      <c r="E10582" s="12">
        <v>0</v>
      </c>
      <c r="F10582" s="14">
        <v>0</v>
      </c>
      <c r="G10582" s="13">
        <v>79655264.759</v>
      </c>
      <c r="H10582" s="14">
        <v>100322794994.95261</v>
      </c>
      <c r="I10582" s="14" t="e">
        <f>=Round(1506880.10340000,0)</f>
        <v>#VALUE!</v>
      </c>
      <c r="J10582" s="14" t="e">
        <f>=Round(0.00000000,0)</f>
        <v>#VALUE!</v>
      </c>
    </row>
    <row r="10583">
      <c r="A10583" s="11" t="s">
        <v>38</v>
      </c>
      <c r="B10583" s="12">
        <v>1259.6716</v>
      </c>
      <c r="C10583" s="12">
        <v>0</v>
      </c>
      <c r="D10583" s="13">
        <v>0</v>
      </c>
      <c r="E10583" s="12">
        <v>0</v>
      </c>
      <c r="F10583" s="14">
        <v>0</v>
      </c>
      <c r="G10583" s="13">
        <v>79655264.759</v>
      </c>
      <c r="H10583" s="14">
        <v>100339474807.39316</v>
      </c>
      <c r="I10583" s="14" t="e">
        <f>=Round(1507582.98490000,0)</f>
        <v>#VALUE!</v>
      </c>
      <c r="J10583" s="14" t="e">
        <f>=Round(0.00000000,0)</f>
        <v>#VALUE!</v>
      </c>
    </row>
    <row r="10584">
      <c r="A10584" s="11" t="s">
        <v>39</v>
      </c>
      <c r="B10584" s="12">
        <v>1259.9086</v>
      </c>
      <c r="C10584" s="12">
        <v>0</v>
      </c>
      <c r="D10584" s="13">
        <v>0</v>
      </c>
      <c r="E10584" s="12">
        <v>0</v>
      </c>
      <c r="F10584" s="14">
        <v>0</v>
      </c>
      <c r="G10584" s="13">
        <v>79655264.759</v>
      </c>
      <c r="H10584" s="14">
        <v>100358353105.14102</v>
      </c>
      <c r="I10584" s="14" t="e">
        <f>=Round(1507833.63780000,0)</f>
        <v>#VALUE!</v>
      </c>
      <c r="J10584" s="14" t="e">
        <f>=Round(0.00000000,0)</f>
        <v>#VALUE!</v>
      </c>
    </row>
    <row r="10585">
      <c r="A10585" s="11" t="s">
        <v>40</v>
      </c>
      <c r="B10585" s="12">
        <v>1260.1224</v>
      </c>
      <c r="C10585" s="12">
        <v>0</v>
      </c>
      <c r="D10585" s="13">
        <v>0</v>
      </c>
      <c r="E10585" s="12">
        <v>0</v>
      </c>
      <c r="F10585" s="14">
        <v>0</v>
      </c>
      <c r="G10585" s="13">
        <v>79655264.759</v>
      </c>
      <c r="H10585" s="14">
        <v>100375383400.74649</v>
      </c>
      <c r="I10585" s="14" t="e">
        <f>=Round(1508117.32810000,0)</f>
        <v>#VALUE!</v>
      </c>
      <c r="J10585" s="14" t="e">
        <f>=Round(0.00000000,0)</f>
        <v>#VALUE!</v>
      </c>
    </row>
    <row r="10586">
      <c r="A10586" s="11" t="s">
        <v>41</v>
      </c>
      <c r="B10586" s="12">
        <v>1260.3272</v>
      </c>
      <c r="C10586" s="12">
        <v>0</v>
      </c>
      <c r="D10586" s="13">
        <v>0</v>
      </c>
      <c r="E10586" s="12">
        <v>0</v>
      </c>
      <c r="F10586" s="14">
        <v>0</v>
      </c>
      <c r="G10586" s="13">
        <v>79655264.759</v>
      </c>
      <c r="H10586" s="14">
        <v>100391696798.96915</v>
      </c>
      <c r="I10586" s="14" t="e">
        <f>=Round(1508373.24780000,0)</f>
        <v>#VALUE!</v>
      </c>
      <c r="J10586" s="14" t="e">
        <f>=Round(0.00000000,0)</f>
        <v>#VALUE!</v>
      </c>
    </row>
    <row r="10587">
      <c r="A10587" s="11" t="s">
        <v>42</v>
      </c>
      <c r="B10587" s="12">
        <v>1260.3272</v>
      </c>
      <c r="C10587" s="12">
        <v>0</v>
      </c>
      <c r="D10587" s="13">
        <v>0</v>
      </c>
      <c r="E10587" s="12">
        <v>0</v>
      </c>
      <c r="F10587" s="14">
        <v>0</v>
      </c>
      <c r="G10587" s="13">
        <v>79655264.759</v>
      </c>
      <c r="H10587" s="14">
        <v>100391696798.96915</v>
      </c>
      <c r="I10587" s="14" t="e">
        <f>=Round(1508618.39450000,0)</f>
        <v>#VALUE!</v>
      </c>
      <c r="J10587" s="14" t="e">
        <f>=Round(0.00000000,0)</f>
        <v>#VALUE!</v>
      </c>
    </row>
    <row r="10588">
      <c r="A10588" s="11" t="s">
        <v>43</v>
      </c>
      <c r="B10588" s="12">
        <v>1260.3272</v>
      </c>
      <c r="C10588" s="12">
        <v>0</v>
      </c>
      <c r="D10588" s="13">
        <v>0</v>
      </c>
      <c r="E10588" s="12">
        <v>0</v>
      </c>
      <c r="F10588" s="14">
        <v>0</v>
      </c>
      <c r="G10588" s="13">
        <v>79655264.759</v>
      </c>
      <c r="H10588" s="14">
        <v>100391696798.96915</v>
      </c>
      <c r="I10588" s="14" t="e">
        <f>=Round(1508618.39450000,0)</f>
        <v>#VALUE!</v>
      </c>
      <c r="J10588" s="14" t="e">
        <f>=Round(0.00000000,0)</f>
        <v>#VALUE!</v>
      </c>
    </row>
    <row r="10589">
      <c r="A10589" s="11" t="s">
        <v>44</v>
      </c>
      <c r="B10589" s="12">
        <v>1261.0801</v>
      </c>
      <c r="C10589" s="12">
        <v>0</v>
      </c>
      <c r="D10589" s="13">
        <v>0</v>
      </c>
      <c r="E10589" s="12">
        <v>0</v>
      </c>
      <c r="F10589" s="14">
        <v>0</v>
      </c>
      <c r="G10589" s="13">
        <v>79655264.759</v>
      </c>
      <c r="H10589" s="14">
        <v>100451669247.8062</v>
      </c>
      <c r="I10589" s="14" t="e">
        <f>=Round(1508618.39450000,0)</f>
        <v>#VALUE!</v>
      </c>
      <c r="J10589" s="14" t="e">
        <f>=Round(0.00000000,0)</f>
        <v>#VALUE!</v>
      </c>
    </row>
    <row r="10590">
      <c r="A10590" s="11" t="s">
        <v>45</v>
      </c>
      <c r="B10590" s="12">
        <v>1261.4714</v>
      </c>
      <c r="C10590" s="12">
        <v>0</v>
      </c>
      <c r="D10590" s="13">
        <v>0</v>
      </c>
      <c r="E10590" s="12">
        <v>0</v>
      </c>
      <c r="F10590" s="14">
        <v>0</v>
      </c>
      <c r="G10590" s="13">
        <v>79655264.759</v>
      </c>
      <c r="H10590" s="14">
        <v>100482838352.9064</v>
      </c>
      <c r="I10590" s="14" t="e">
        <f>=Round(1509519.61980000,0)</f>
        <v>#VALUE!</v>
      </c>
      <c r="J10590" s="14" t="e">
        <f>=Round(0.00000000,0)</f>
        <v>#VALUE!</v>
      </c>
    </row>
    <row r="10591">
      <c r="A10591" s="11" t="s">
        <v>46</v>
      </c>
      <c r="B10591" s="12">
        <v>1261.8206</v>
      </c>
      <c r="C10591" s="12">
        <v>0</v>
      </c>
      <c r="D10591" s="13">
        <v>0</v>
      </c>
      <c r="E10591" s="12">
        <v>0</v>
      </c>
      <c r="F10591" s="14">
        <v>0</v>
      </c>
      <c r="G10591" s="13">
        <v>79655264.759</v>
      </c>
      <c r="H10591" s="14">
        <v>100510653971.36025</v>
      </c>
      <c r="I10591" s="14" t="e">
        <f>=Round(1509988.00800000,0)</f>
        <v>#VALUE!</v>
      </c>
      <c r="J10591" s="14" t="e">
        <f>=Round(0.00000000,0)</f>
        <v>#VALUE!</v>
      </c>
    </row>
    <row r="10592">
      <c r="A10592" s="11" t="s">
        <v>47</v>
      </c>
      <c r="B10592" s="12">
        <v>1261.9679</v>
      </c>
      <c r="C10592" s="12">
        <v>0</v>
      </c>
      <c r="D10592" s="13">
        <v>0</v>
      </c>
      <c r="E10592" s="12">
        <v>0</v>
      </c>
      <c r="F10592" s="14">
        <v>0</v>
      </c>
      <c r="G10592" s="13">
        <v>79655264.759</v>
      </c>
      <c r="H10592" s="14">
        <v>100522387191.85924</v>
      </c>
      <c r="I10592" s="14" t="e">
        <f>=Round(1510406.00230000,0)</f>
        <v>#VALUE!</v>
      </c>
      <c r="J10592" s="14" t="e">
        <f>=Round(0.00000000,0)</f>
        <v>#VALUE!</v>
      </c>
    </row>
    <row r="10593">
      <c r="A10593" s="11" t="s">
        <v>48</v>
      </c>
      <c r="B10593" s="12">
        <v>1262.3062</v>
      </c>
      <c r="C10593" s="12">
        <v>0</v>
      </c>
      <c r="D10593" s="13">
        <v>0</v>
      </c>
      <c r="E10593" s="12">
        <v>0</v>
      </c>
      <c r="F10593" s="14">
        <v>0</v>
      </c>
      <c r="G10593" s="13">
        <v>79655264.759</v>
      </c>
      <c r="H10593" s="14">
        <v>100549334567.9272</v>
      </c>
      <c r="I10593" s="14" t="e">
        <f>=Round(1510582.32120000,0)</f>
        <v>#VALUE!</v>
      </c>
      <c r="J10593" s="14" t="e">
        <f>=Round(0.00000000,0)</f>
        <v>#VALUE!</v>
      </c>
    </row>
    <row r="10594">
      <c r="A10594" s="11" t="s">
        <v>49</v>
      </c>
      <c r="B10594" s="12">
        <v>1262.3062</v>
      </c>
      <c r="C10594" s="12">
        <v>0</v>
      </c>
      <c r="D10594" s="13">
        <v>0</v>
      </c>
      <c r="E10594" s="12">
        <v>0</v>
      </c>
      <c r="F10594" s="14">
        <v>0</v>
      </c>
      <c r="G10594" s="13">
        <v>79655264.759</v>
      </c>
      <c r="H10594" s="14">
        <v>100549334567.9272</v>
      </c>
      <c r="I10594" s="14" t="e">
        <f>=Round(1510987.26810000,0)</f>
        <v>#VALUE!</v>
      </c>
      <c r="J10594" s="14" t="e">
        <f>=Round(0.00000000,0)</f>
        <v>#VALUE!</v>
      </c>
    </row>
    <row r="10595">
      <c r="A10595" s="11" t="s">
        <v>50</v>
      </c>
      <c r="B10595" s="12">
        <v>1262.3062</v>
      </c>
      <c r="C10595" s="12">
        <v>0</v>
      </c>
      <c r="D10595" s="13">
        <v>0</v>
      </c>
      <c r="E10595" s="12">
        <v>0</v>
      </c>
      <c r="F10595" s="14">
        <v>0</v>
      </c>
      <c r="G10595" s="13">
        <v>79655264.759</v>
      </c>
      <c r="H10595" s="14">
        <v>100549334567.9272</v>
      </c>
      <c r="I10595" s="14" t="e">
        <f>=Round(1510987.26810000,0)</f>
        <v>#VALUE!</v>
      </c>
      <c r="J10595" s="14" t="e">
        <f>=Round(0.00000000,0)</f>
        <v>#VALUE!</v>
      </c>
    </row>
    <row r="10596">
      <c r="A10596" s="11" t="s">
        <v>51</v>
      </c>
      <c r="B10596" s="12">
        <v>1263.0094</v>
      </c>
      <c r="C10596" s="12">
        <v>0</v>
      </c>
      <c r="D10596" s="13">
        <v>0</v>
      </c>
      <c r="E10596" s="12">
        <v>79655264.759</v>
      </c>
      <c r="F10596" s="14">
        <v>100605348150</v>
      </c>
      <c r="G10596" s="13">
        <v>79655264.759</v>
      </c>
      <c r="H10596" s="14">
        <v>100605348150.10573</v>
      </c>
      <c r="I10596" s="14" t="e">
        <f>=Round(1510987.26810000,0)</f>
        <v>#VALUE!</v>
      </c>
      <c r="J10596" s="14" t="e">
        <f>=Round(0.00000000,0)</f>
        <v>#VALUE!</v>
      </c>
    </row>
    <row r="10597">
      <c r="A10597" s="11" t="s">
        <v>52</v>
      </c>
      <c r="B10597" s="12">
        <v>1263.3928</v>
      </c>
      <c r="C10597" s="12">
        <v>79151947.0429</v>
      </c>
      <c r="D10597" s="13">
        <v>100000000000</v>
      </c>
      <c r="E10597" s="12">
        <v>0</v>
      </c>
      <c r="F10597" s="14">
        <v>0</v>
      </c>
      <c r="G10597" s="13">
        <v>0</v>
      </c>
      <c r="H10597" s="14">
        <v>0</v>
      </c>
      <c r="I10597" s="14" t="e">
        <f>=Round(1511829.00230000,0)</f>
        <v>#VALUE!</v>
      </c>
      <c r="J10597" s="14" t="e">
        <f>=Round(0.00000000,0)</f>
        <v>#VALUE!</v>
      </c>
    </row>
    <row r="10598">
      <c r="A10598" s="11" t="s">
        <v>53</v>
      </c>
      <c r="B10598" s="12">
        <v>1263.6256</v>
      </c>
      <c r="C10598" s="12">
        <v>0</v>
      </c>
      <c r="D10598" s="13">
        <v>0</v>
      </c>
      <c r="E10598" s="12">
        <v>0</v>
      </c>
      <c r="F10598" s="14">
        <v>0</v>
      </c>
      <c r="G10598" s="13">
        <v>79151947.0429</v>
      </c>
      <c r="H10598" s="14">
        <v>100018426573.25273</v>
      </c>
      <c r="I10598" s="14" t="e">
        <f>=Round(0.00000000,0)</f>
        <v>#VALUE!</v>
      </c>
      <c r="J10598" s="14" t="e">
        <f>=Round(0.00000000,0)</f>
        <v>#VALUE!</v>
      </c>
    </row>
    <row r="10599">
      <c r="A10599" s="11" t="s">
        <v>54</v>
      </c>
      <c r="B10599" s="12">
        <v>1263.8533</v>
      </c>
      <c r="C10599" s="12">
        <v>0</v>
      </c>
      <c r="D10599" s="13">
        <v>0</v>
      </c>
      <c r="E10599" s="12">
        <v>0</v>
      </c>
      <c r="F10599" s="14">
        <v>0</v>
      </c>
      <c r="G10599" s="13">
        <v>79151947.0429</v>
      </c>
      <c r="H10599" s="14">
        <v>100036449471.59441</v>
      </c>
      <c r="I10599" s="14" t="e">
        <f>=Round(1503009.14250000,0)</f>
        <v>#VALUE!</v>
      </c>
      <c r="J10599" s="14" t="e">
        <f>=Round(0.00000000,0)</f>
        <v>#VALUE!</v>
      </c>
    </row>
    <row r="10600">
      <c r="A10600" s="11" t="s">
        <v>55</v>
      </c>
      <c r="B10600" s="12">
        <v>1264.0572</v>
      </c>
      <c r="C10600" s="12">
        <v>0</v>
      </c>
      <c r="D10600" s="13">
        <v>0</v>
      </c>
      <c r="E10600" s="12">
        <v>0</v>
      </c>
      <c r="F10600" s="14">
        <v>0</v>
      </c>
      <c r="G10600" s="13">
        <v>79151947.0429</v>
      </c>
      <c r="H10600" s="14">
        <v>100052588553.59645</v>
      </c>
      <c r="I10600" s="14" t="e">
        <f>=Round(1503279.97840000,0)</f>
        <v>#VALUE!</v>
      </c>
      <c r="J10600" s="14" t="e">
        <f>=Round(0.00000000,0)</f>
        <v>#VALUE!</v>
      </c>
    </row>
    <row r="10601" ht="-1">
      <c r="A10601" s="15"/>
      <c r="B10601" s="16" t="s">
        <v>56</v>
      </c>
      <c r="C10601" s="15"/>
      <c r="D10601" s="15"/>
      <c r="E10601" s="15"/>
      <c r="F10601" s="15"/>
      <c r="G10601" s="15"/>
      <c r="H10601" s="15"/>
      <c r="I10601" s="17" t="e">
        <f>=Round(SUM(I10575:I10600),0)</f>
        <v>#VALUE!</v>
      </c>
      <c r="J10601" s="17" t="e">
        <f>=Round(SUM(J10575:J10600),0)</f>
        <v>#VALUE!</v>
      </c>
    </row>
    <row r="10602">
      <c r="A10602" s="1" t="s">
        <v>0</v>
      </c>
      <c r="B10602" s="1"/>
      <c r="C10602" s="1"/>
      <c r="D10602" s="1"/>
    </row>
    <row r="10603">
      <c r="A10603" s="0" t="s">
        <v>1</v>
      </c>
      <c r="C10603" s="0" t="s">
        <v>366</v>
      </c>
      <c r="H10603" s="2" t="s">
        <v>3</v>
      </c>
    </row>
    <row r="10604">
      <c r="A10604" s="0" t="s">
        <v>4</v>
      </c>
      <c r="C10604" s="0" t="s">
        <v>127</v>
      </c>
      <c r="H10604" s="3" t="s">
        <v>6</v>
      </c>
    </row>
    <row r="10605">
      <c r="A10605" s="0" t="s">
        <v>7</v>
      </c>
      <c r="C10605" s="4" t="s">
        <v>146</v>
      </c>
      <c r="H10605" s="2" t="s">
        <v>9</v>
      </c>
    </row>
    <row r="10606">
      <c r="A10606" s="0" t="s">
        <v>10</v>
      </c>
      <c r="C10606" s="4" t="s">
        <v>124</v>
      </c>
      <c r="H10606" s="2" t="s">
        <v>12</v>
      </c>
    </row>
    <row r="10607">
      <c r="A10607" s="0" t="s">
        <v>13</v>
      </c>
      <c r="C10607" s="0" t="s">
        <v>14</v>
      </c>
    </row>
    <row r="10608">
      <c r="A10608" s="0" t="s">
        <v>15</v>
      </c>
      <c r="C10608" s="0" t="s">
        <v>16</v>
      </c>
    </row>
    <row r="10609">
      <c r="A10609" s="0" t="s">
        <v>17</v>
      </c>
      <c r="C10609" s="0" t="s">
        <v>18</v>
      </c>
    </row>
    <row r="10612">
      <c r="A10612" s="5" t="s">
        <v>19</v>
      </c>
      <c r="B10612" s="5" t="s">
        <v>20</v>
      </c>
      <c r="C10612" s="7" t="s">
        <v>21</v>
      </c>
      <c r="D10612" s="9"/>
      <c r="E10612" s="7" t="s">
        <v>22</v>
      </c>
      <c r="F10612" s="9"/>
      <c r="G10612" s="5" t="s">
        <v>23</v>
      </c>
      <c r="H10612" s="5" t="s">
        <v>24</v>
      </c>
      <c r="I10612" s="5" t="s">
        <v>147</v>
      </c>
      <c r="J10612" s="5" t="s">
        <v>125</v>
      </c>
    </row>
    <row r="10613">
      <c r="A10613" s="6"/>
      <c r="B10613" s="6"/>
      <c r="C10613" s="8" t="s">
        <v>27</v>
      </c>
      <c r="D10613" s="8" t="s">
        <v>28</v>
      </c>
      <c r="E10613" s="8" t="s">
        <v>27</v>
      </c>
      <c r="F10613" s="8" t="s">
        <v>28</v>
      </c>
      <c r="G10613" s="6"/>
      <c r="H10613" s="6"/>
      <c r="I10613" s="10" t="s">
        <v>29</v>
      </c>
      <c r="J10613" s="6"/>
    </row>
    <row r="10614">
      <c r="A10614" s="11" t="s">
        <v>30</v>
      </c>
      <c r="B10614" s="12">
        <v>1258.0991</v>
      </c>
      <c r="C10614" s="12">
        <v>112329.7632</v>
      </c>
      <c r="D10614" s="13">
        <v>141321974</v>
      </c>
      <c r="E10614" s="12">
        <v>9249.5624</v>
      </c>
      <c r="F10614" s="14">
        <v>11636865</v>
      </c>
      <c r="G10614" s="13">
        <v>14148932.5359</v>
      </c>
      <c r="H10614" s="14">
        <v>17800759289.376507</v>
      </c>
      <c r="I10614" s="14" t="e">
        <f>=Round(264450.55200000,0)</f>
        <v>#VALUE!</v>
      </c>
      <c r="J10614" s="14" t="e">
        <f>=Round(120204.67620000,0)</f>
        <v>#VALUE!</v>
      </c>
    </row>
    <row r="10615">
      <c r="A10615" s="11" t="s">
        <v>31</v>
      </c>
      <c r="B10615" s="12">
        <v>1258.2818</v>
      </c>
      <c r="C10615" s="12">
        <v>20964.5594</v>
      </c>
      <c r="D10615" s="13">
        <v>26379323</v>
      </c>
      <c r="E10615" s="12">
        <v>6276.3518</v>
      </c>
      <c r="F10615" s="14">
        <v>7897419.25</v>
      </c>
      <c r="G10615" s="13">
        <v>14252012.7367</v>
      </c>
      <c r="H10615" s="14">
        <v>17933048239.9578</v>
      </c>
      <c r="I10615" s="14" t="e">
        <f>=Round(267497.74890000,0)</f>
        <v>#VALUE!</v>
      </c>
      <c r="J10615" s="14" t="e">
        <f>=Round(121589.76430000,0)</f>
        <v>#VALUE!</v>
      </c>
    </row>
    <row r="10616">
      <c r="A10616" s="11" t="s">
        <v>32</v>
      </c>
      <c r="B10616" s="12">
        <v>1258.4222</v>
      </c>
      <c r="C10616" s="12">
        <v>24656.4112</v>
      </c>
      <c r="D10616" s="13">
        <v>31028175</v>
      </c>
      <c r="E10616" s="12">
        <v>7092.5577</v>
      </c>
      <c r="F10616" s="14">
        <v>8925432</v>
      </c>
      <c r="G10616" s="13">
        <v>14266700.9443</v>
      </c>
      <c r="H10616" s="14">
        <v>17953533189.068085</v>
      </c>
      <c r="I10616" s="14" t="e">
        <f>=Round(269485.69760000,0)</f>
        <v>#VALUE!</v>
      </c>
      <c r="J10616" s="14" t="e">
        <f>=Round(122493.37640000,0)</f>
        <v>#VALUE!</v>
      </c>
    </row>
    <row r="10617">
      <c r="A10617" s="11" t="s">
        <v>33</v>
      </c>
      <c r="B10617" s="12">
        <v>1258.7152</v>
      </c>
      <c r="C10617" s="12">
        <v>48159.5529</v>
      </c>
      <c r="D10617" s="13">
        <v>60619161</v>
      </c>
      <c r="E10617" s="12">
        <v>1399.6228</v>
      </c>
      <c r="F10617" s="14">
        <v>1761726</v>
      </c>
      <c r="G10617" s="13">
        <v>14284264.797799999</v>
      </c>
      <c r="H10617" s="14">
        <v>17979821221.815788</v>
      </c>
      <c r="I10617" s="14" t="e">
        <f>=Round(269793.53150000,0)</f>
        <v>#VALUE!</v>
      </c>
      <c r="J10617" s="14" t="e">
        <f>=Round(122633.30080000,0)</f>
        <v>#VALUE!</v>
      </c>
    </row>
    <row r="10618">
      <c r="A10618" s="11" t="s">
        <v>34</v>
      </c>
      <c r="B10618" s="12">
        <v>1258.875</v>
      </c>
      <c r="C10618" s="12">
        <v>12293.6257</v>
      </c>
      <c r="D10618" s="13">
        <v>15476138</v>
      </c>
      <c r="E10618" s="12">
        <v>50330.6883</v>
      </c>
      <c r="F10618" s="14">
        <v>63360045</v>
      </c>
      <c r="G10618" s="13">
        <v>14331024.7279</v>
      </c>
      <c r="H10618" s="14">
        <v>18040968754.335114</v>
      </c>
      <c r="I10618" s="14" t="e">
        <f>=Round(270188.57030000,0)</f>
        <v>#VALUE!</v>
      </c>
      <c r="J10618" s="14" t="e">
        <f>=Round(122812.86370000,0)</f>
        <v>#VALUE!</v>
      </c>
    </row>
    <row r="10619">
      <c r="A10619" s="11" t="s">
        <v>35</v>
      </c>
      <c r="B10619" s="12">
        <v>1258.875</v>
      </c>
      <c r="C10619" s="12">
        <v>0</v>
      </c>
      <c r="D10619" s="13">
        <v>0</v>
      </c>
      <c r="E10619" s="12">
        <v>0</v>
      </c>
      <c r="F10619" s="14">
        <v>0</v>
      </c>
      <c r="G10619" s="13">
        <v>14331024.7279</v>
      </c>
      <c r="H10619" s="14">
        <v>18040968754.335114</v>
      </c>
      <c r="I10619" s="14" t="e">
        <f>=Round(271107.45400000,0)</f>
        <v>#VALUE!</v>
      </c>
      <c r="J10619" s="14" t="e">
        <f>=Round(123230.53770000,0)</f>
        <v>#VALUE!</v>
      </c>
    </row>
    <row r="10620">
      <c r="A10620" s="11" t="s">
        <v>36</v>
      </c>
      <c r="B10620" s="12">
        <v>1258.875</v>
      </c>
      <c r="C10620" s="12">
        <v>0</v>
      </c>
      <c r="D10620" s="13">
        <v>0</v>
      </c>
      <c r="E10620" s="12">
        <v>0</v>
      </c>
      <c r="F10620" s="14">
        <v>0</v>
      </c>
      <c r="G10620" s="13">
        <v>14331024.7279</v>
      </c>
      <c r="H10620" s="14">
        <v>18040968754.335114</v>
      </c>
      <c r="I10620" s="14" t="e">
        <f>=Round(271107.45400000,0)</f>
        <v>#VALUE!</v>
      </c>
      <c r="J10620" s="14" t="e">
        <f>=Round(123230.53770000,0)</f>
        <v>#VALUE!</v>
      </c>
    </row>
    <row r="10621">
      <c r="A10621" s="11" t="s">
        <v>37</v>
      </c>
      <c r="B10621" s="12">
        <v>1259.4622</v>
      </c>
      <c r="C10621" s="12">
        <v>36484.7688</v>
      </c>
      <c r="D10621" s="13">
        <v>45951187</v>
      </c>
      <c r="E10621" s="12">
        <v>16034.0661</v>
      </c>
      <c r="F10621" s="14">
        <v>20194300</v>
      </c>
      <c r="G10621" s="13">
        <v>14292987.6653</v>
      </c>
      <c r="H10621" s="14">
        <v>18001477689.5116</v>
      </c>
      <c r="I10621" s="14" t="e">
        <f>=Round(271107.45400000,0)</f>
        <v>#VALUE!</v>
      </c>
      <c r="J10621" s="14" t="e">
        <f>=Round(123230.53770000,0)</f>
        <v>#VALUE!</v>
      </c>
    </row>
    <row r="10622">
      <c r="A10622" s="11" t="s">
        <v>38</v>
      </c>
      <c r="B10622" s="12">
        <v>1259.6716</v>
      </c>
      <c r="C10622" s="12">
        <v>9013.6749</v>
      </c>
      <c r="D10622" s="13">
        <v>11354270</v>
      </c>
      <c r="E10622" s="12">
        <v>18854.675</v>
      </c>
      <c r="F10622" s="14">
        <v>23750699</v>
      </c>
      <c r="G10622" s="13">
        <v>14313438.368</v>
      </c>
      <c r="H10622" s="14">
        <v>18030231810.519947</v>
      </c>
      <c r="I10622" s="14" t="e">
        <f>=Round(270514.00900000,0)</f>
        <v>#VALUE!</v>
      </c>
      <c r="J10622" s="14" t="e">
        <f>=Round(122960.79020000,0)</f>
        <v>#VALUE!</v>
      </c>
    </row>
    <row r="10623">
      <c r="A10623" s="11" t="s">
        <v>39</v>
      </c>
      <c r="B10623" s="12">
        <v>1259.9086</v>
      </c>
      <c r="C10623" s="12">
        <v>4613.4762</v>
      </c>
      <c r="D10623" s="13">
        <v>5812473</v>
      </c>
      <c r="E10623" s="12">
        <v>19990.4742</v>
      </c>
      <c r="F10623" s="14">
        <v>25186085.05</v>
      </c>
      <c r="G10623" s="13">
        <v>14303597.3679</v>
      </c>
      <c r="H10623" s="14">
        <v>18021225334.754578</v>
      </c>
      <c r="I10623" s="14" t="e">
        <f>=Round(270946.10640000,0)</f>
        <v>#VALUE!</v>
      </c>
      <c r="J10623" s="14" t="e">
        <f>=Round(123157.19800000,0)</f>
        <v>#VALUE!</v>
      </c>
    </row>
    <row r="10624">
      <c r="A10624" s="11" t="s">
        <v>40</v>
      </c>
      <c r="B10624" s="12">
        <v>1260.1224</v>
      </c>
      <c r="C10624" s="12">
        <v>6290.6589</v>
      </c>
      <c r="D10624" s="13">
        <v>7927000</v>
      </c>
      <c r="E10624" s="12">
        <v>247711.13</v>
      </c>
      <c r="F10624" s="14">
        <v>312146344</v>
      </c>
      <c r="G10624" s="13">
        <v>14288220.3699</v>
      </c>
      <c r="H10624" s="14">
        <v>18004906544.247276</v>
      </c>
      <c r="I10624" s="14" t="e">
        <f>=Round(270810.76320000,0)</f>
        <v>#VALUE!</v>
      </c>
      <c r="J10624" s="14" t="e">
        <f>=Round(123095.67840000,0)</f>
        <v>#VALUE!</v>
      </c>
    </row>
    <row r="10625">
      <c r="A10625" s="11" t="s">
        <v>41</v>
      </c>
      <c r="B10625" s="12">
        <v>1260.3272</v>
      </c>
      <c r="C10625" s="12">
        <v>1192.3491</v>
      </c>
      <c r="D10625" s="13">
        <v>1502750</v>
      </c>
      <c r="E10625" s="12">
        <v>1176.6452</v>
      </c>
      <c r="F10625" s="14">
        <v>1482957.8</v>
      </c>
      <c r="G10625" s="13">
        <v>14046799.8988</v>
      </c>
      <c r="H10625" s="14">
        <v>17703563985.414886</v>
      </c>
      <c r="I10625" s="14" t="e">
        <f>=Round(270565.53550000,0)</f>
        <v>#VALUE!</v>
      </c>
      <c r="J10625" s="14" t="e">
        <f>=Round(122984.21130000,0)</f>
        <v>#VALUE!</v>
      </c>
    </row>
    <row r="10626">
      <c r="A10626" s="11" t="s">
        <v>42</v>
      </c>
      <c r="B10626" s="12">
        <v>1260.3272</v>
      </c>
      <c r="C10626" s="12">
        <v>0</v>
      </c>
      <c r="D10626" s="13">
        <v>0</v>
      </c>
      <c r="E10626" s="12">
        <v>0</v>
      </c>
      <c r="F10626" s="14">
        <v>0</v>
      </c>
      <c r="G10626" s="13">
        <v>14046799.8988</v>
      </c>
      <c r="H10626" s="14">
        <v>17703563985.414886</v>
      </c>
      <c r="I10626" s="14" t="e">
        <f>=Round(266037.16370000,0)</f>
        <v>#VALUE!</v>
      </c>
      <c r="J10626" s="14" t="e">
        <f>=Round(120925.86260000,0)</f>
        <v>#VALUE!</v>
      </c>
    </row>
    <row r="10627">
      <c r="A10627" s="11" t="s">
        <v>43</v>
      </c>
      <c r="B10627" s="12">
        <v>1260.3272</v>
      </c>
      <c r="C10627" s="12">
        <v>0</v>
      </c>
      <c r="D10627" s="13">
        <v>0</v>
      </c>
      <c r="E10627" s="12">
        <v>0</v>
      </c>
      <c r="F10627" s="14">
        <v>0</v>
      </c>
      <c r="G10627" s="13">
        <v>14046799.8988</v>
      </c>
      <c r="H10627" s="14">
        <v>17703563985.414886</v>
      </c>
      <c r="I10627" s="14" t="e">
        <f>=Round(266037.16370000,0)</f>
        <v>#VALUE!</v>
      </c>
      <c r="J10627" s="14" t="e">
        <f>=Round(120925.86260000,0)</f>
        <v>#VALUE!</v>
      </c>
    </row>
    <row r="10628">
      <c r="A10628" s="11" t="s">
        <v>44</v>
      </c>
      <c r="B10628" s="12">
        <v>1261.0801</v>
      </c>
      <c r="C10628" s="12">
        <v>2101.3297</v>
      </c>
      <c r="D10628" s="13">
        <v>2649945</v>
      </c>
      <c r="E10628" s="12">
        <v>126772.1089</v>
      </c>
      <c r="F10628" s="14">
        <v>159870811</v>
      </c>
      <c r="G10628" s="13">
        <v>14046815.6027</v>
      </c>
      <c r="H10628" s="14">
        <v>17714159624.934475</v>
      </c>
      <c r="I10628" s="14" t="e">
        <f>=Round(266037.16370000,0)</f>
        <v>#VALUE!</v>
      </c>
      <c r="J10628" s="14" t="e">
        <f>=Round(120925.86260000,0)</f>
        <v>#VALUE!</v>
      </c>
    </row>
    <row r="10629">
      <c r="A10629" s="11" t="s">
        <v>45</v>
      </c>
      <c r="B10629" s="12">
        <v>1261.4714</v>
      </c>
      <c r="C10629" s="12">
        <v>16922.5728</v>
      </c>
      <c r="D10629" s="13">
        <v>21347310</v>
      </c>
      <c r="E10629" s="12">
        <v>4989.4693</v>
      </c>
      <c r="F10629" s="14">
        <v>6294073</v>
      </c>
      <c r="G10629" s="13">
        <v>13922144.823500002</v>
      </c>
      <c r="H10629" s="14">
        <v>17562387521.5033</v>
      </c>
      <c r="I10629" s="14" t="e">
        <f>=Round(266196.38780000,0)</f>
        <v>#VALUE!</v>
      </c>
      <c r="J10629" s="14" t="e">
        <f>=Round(120998.23710000,0)</f>
        <v>#VALUE!</v>
      </c>
    </row>
    <row r="10630">
      <c r="A10630" s="11" t="s">
        <v>46</v>
      </c>
      <c r="B10630" s="12">
        <v>1261.8206</v>
      </c>
      <c r="C10630" s="12">
        <v>546.829</v>
      </c>
      <c r="D10630" s="13">
        <v>690000</v>
      </c>
      <c r="E10630" s="12">
        <v>168140.5719</v>
      </c>
      <c r="F10630" s="14">
        <v>212163237</v>
      </c>
      <c r="G10630" s="13">
        <v>13934077.927000001</v>
      </c>
      <c r="H10630" s="14">
        <v>17582306570.293896</v>
      </c>
      <c r="I10630" s="14" t="e">
        <f>=Round(263915.65950000,0)</f>
        <v>#VALUE!</v>
      </c>
      <c r="J10630" s="14" t="e">
        <f>=Round(119961.54340000,0)</f>
        <v>#VALUE!</v>
      </c>
    </row>
    <row r="10631">
      <c r="A10631" s="11" t="s">
        <v>47</v>
      </c>
      <c r="B10631" s="12">
        <v>1261.9679</v>
      </c>
      <c r="C10631" s="12">
        <v>5763.772</v>
      </c>
      <c r="D10631" s="13">
        <v>7273664</v>
      </c>
      <c r="E10631" s="12">
        <v>6303.0435</v>
      </c>
      <c r="F10631" s="14">
        <v>7954239</v>
      </c>
      <c r="G10631" s="13">
        <v>13766484.1841</v>
      </c>
      <c r="H10631" s="14">
        <v>17372861136.191891</v>
      </c>
      <c r="I10631" s="14" t="e">
        <f>=Round(264214.98940000,0)</f>
        <v>#VALUE!</v>
      </c>
      <c r="J10631" s="14" t="e">
        <f>=Round(120097.60240000,0)</f>
        <v>#VALUE!</v>
      </c>
    </row>
    <row r="10632">
      <c r="A10632" s="11" t="s">
        <v>48</v>
      </c>
      <c r="B10632" s="12">
        <v>1262.3062</v>
      </c>
      <c r="C10632" s="12">
        <v>20304.1069</v>
      </c>
      <c r="D10632" s="13">
        <v>25630000</v>
      </c>
      <c r="E10632" s="12">
        <v>1584.4895</v>
      </c>
      <c r="F10632" s="14">
        <v>2000111</v>
      </c>
      <c r="G10632" s="13">
        <v>13765944.912600001</v>
      </c>
      <c r="H10632" s="14">
        <v>17376837612.03344</v>
      </c>
      <c r="I10632" s="14" t="e">
        <f>=Round(261067.58540000,0)</f>
        <v>#VALUE!</v>
      </c>
      <c r="J10632" s="14" t="e">
        <f>=Round(118666.96560000,0)</f>
        <v>#VALUE!</v>
      </c>
    </row>
    <row r="10633">
      <c r="A10633" s="11" t="s">
        <v>49</v>
      </c>
      <c r="B10633" s="12">
        <v>1262.3062</v>
      </c>
      <c r="C10633" s="12">
        <v>0</v>
      </c>
      <c r="D10633" s="13">
        <v>0</v>
      </c>
      <c r="E10633" s="12">
        <v>0</v>
      </c>
      <c r="F10633" s="14">
        <v>0</v>
      </c>
      <c r="G10633" s="13">
        <v>13765944.912600001</v>
      </c>
      <c r="H10633" s="14">
        <v>17376837612.03344</v>
      </c>
      <c r="I10633" s="14" t="e">
        <f>=Round(261127.34120000,0)</f>
        <v>#VALUE!</v>
      </c>
      <c r="J10633" s="14" t="e">
        <f>=Round(118694.12730000,0)</f>
        <v>#VALUE!</v>
      </c>
    </row>
    <row r="10634">
      <c r="A10634" s="11" t="s">
        <v>50</v>
      </c>
      <c r="B10634" s="12">
        <v>1262.3062</v>
      </c>
      <c r="C10634" s="12">
        <v>0</v>
      </c>
      <c r="D10634" s="13">
        <v>0</v>
      </c>
      <c r="E10634" s="12">
        <v>0</v>
      </c>
      <c r="F10634" s="14">
        <v>0</v>
      </c>
      <c r="G10634" s="13">
        <v>13765944.912600001</v>
      </c>
      <c r="H10634" s="14">
        <v>17376837612.03344</v>
      </c>
      <c r="I10634" s="14" t="e">
        <f>=Round(261127.34120000,0)</f>
        <v>#VALUE!</v>
      </c>
      <c r="J10634" s="14" t="e">
        <f>=Round(118694.12730000,0)</f>
        <v>#VALUE!</v>
      </c>
    </row>
    <row r="10635">
      <c r="A10635" s="11" t="s">
        <v>51</v>
      </c>
      <c r="B10635" s="12">
        <v>1263.0094</v>
      </c>
      <c r="C10635" s="12">
        <v>1205707.5974</v>
      </c>
      <c r="D10635" s="13">
        <v>1522820029</v>
      </c>
      <c r="E10635" s="12">
        <v>5334.0615</v>
      </c>
      <c r="F10635" s="14">
        <v>6736969.81</v>
      </c>
      <c r="G10635" s="13">
        <v>13784664.53</v>
      </c>
      <c r="H10635" s="14">
        <v>17410160877.236584</v>
      </c>
      <c r="I10635" s="14" t="e">
        <f>=Round(261127.34120000,0)</f>
        <v>#VALUE!</v>
      </c>
      <c r="J10635" s="14" t="e">
        <f>=Round(118694.12730000,0)</f>
        <v>#VALUE!</v>
      </c>
    </row>
    <row r="10636">
      <c r="A10636" s="11" t="s">
        <v>52</v>
      </c>
      <c r="B10636" s="12">
        <v>1263.3928</v>
      </c>
      <c r="C10636" s="12">
        <v>90186.7479</v>
      </c>
      <c r="D10636" s="13">
        <v>113941288</v>
      </c>
      <c r="E10636" s="12">
        <v>291543.907</v>
      </c>
      <c r="F10636" s="14">
        <v>368334473</v>
      </c>
      <c r="G10636" s="13">
        <v>14985038.0659</v>
      </c>
      <c r="H10636" s="14">
        <v>18931989200.183983</v>
      </c>
      <c r="I10636" s="14" t="e">
        <f>=Round(261628.10060000,0)</f>
        <v>#VALUE!</v>
      </c>
      <c r="J10636" s="14" t="e">
        <f>=Round(118921.74500000,0)</f>
        <v>#VALUE!</v>
      </c>
    </row>
    <row r="10637">
      <c r="A10637" s="11" t="s">
        <v>53</v>
      </c>
      <c r="B10637" s="12">
        <v>1263.6256</v>
      </c>
      <c r="C10637" s="12">
        <v>13824.9027</v>
      </c>
      <c r="D10637" s="13">
        <v>17469501</v>
      </c>
      <c r="E10637" s="12">
        <v>21004.5013</v>
      </c>
      <c r="F10637" s="14">
        <v>26541826</v>
      </c>
      <c r="G10637" s="13">
        <v>14783680.906800002</v>
      </c>
      <c r="H10637" s="14">
        <v>18681037656.063698</v>
      </c>
      <c r="I10637" s="14" t="e">
        <f>=Round(284497.10550000,0)</f>
        <v>#VALUE!</v>
      </c>
      <c r="J10637" s="14" t="e">
        <f>=Round(129316.73680000,0)</f>
        <v>#VALUE!</v>
      </c>
    </row>
    <row r="10638">
      <c r="A10638" s="11" t="s">
        <v>54</v>
      </c>
      <c r="B10638" s="12">
        <v>1263.8533</v>
      </c>
      <c r="C10638" s="12">
        <v>175795.2533</v>
      </c>
      <c r="D10638" s="13">
        <v>222179411</v>
      </c>
      <c r="E10638" s="12">
        <v>17297.1572</v>
      </c>
      <c r="F10638" s="14">
        <v>21861069</v>
      </c>
      <c r="G10638" s="13">
        <v>14776501.3082</v>
      </c>
      <c r="H10638" s="14">
        <v>18675329940.822887</v>
      </c>
      <c r="I10638" s="14" t="e">
        <f>=Round(280725.97570000,0)</f>
        <v>#VALUE!</v>
      </c>
      <c r="J10638" s="14" t="e">
        <f>=Round(127602.58860000,0)</f>
        <v>#VALUE!</v>
      </c>
    </row>
    <row r="10639">
      <c r="A10639" s="11" t="s">
        <v>55</v>
      </c>
      <c r="B10639" s="12">
        <v>1264.0572</v>
      </c>
      <c r="C10639" s="12">
        <v>25835.0761</v>
      </c>
      <c r="D10639" s="13">
        <v>32657014</v>
      </c>
      <c r="E10639" s="12">
        <v>2217.7928</v>
      </c>
      <c r="F10639" s="14">
        <v>2803416</v>
      </c>
      <c r="G10639" s="13">
        <v>14934999.4043</v>
      </c>
      <c r="H10639" s="14">
        <v>18878693529.001129</v>
      </c>
      <c r="I10639" s="14" t="e">
        <f>=Round(280640.20400000,0)</f>
        <v>#VALUE!</v>
      </c>
      <c r="J10639" s="14" t="e">
        <f>=Round(127563.60150000,0)</f>
        <v>#VALUE!</v>
      </c>
    </row>
    <row r="10640" ht="-1">
      <c r="A10640" s="15"/>
      <c r="B10640" s="16" t="s">
        <v>56</v>
      </c>
      <c r="C10640" s="15"/>
      <c r="D10640" s="15"/>
      <c r="E10640" s="15"/>
      <c r="F10640" s="15"/>
      <c r="G10640" s="15"/>
      <c r="H10640" s="15"/>
      <c r="I10640" s="17" t="e">
        <f>=Round(SUM(I10614:I10639),0)</f>
        <v>#VALUE!</v>
      </c>
      <c r="J10640" s="17" t="e">
        <f>=Round(SUM(J10614:J10639),0)</f>
        <v>#VALUE!</v>
      </c>
    </row>
    <row r="10641">
      <c r="A10641" s="1" t="s">
        <v>0</v>
      </c>
      <c r="B10641" s="1"/>
      <c r="C10641" s="1"/>
      <c r="D10641" s="1"/>
    </row>
    <row r="10642">
      <c r="A10642" s="0" t="s">
        <v>1</v>
      </c>
      <c r="C10642" s="0" t="s">
        <v>368</v>
      </c>
      <c r="H10642" s="2" t="s">
        <v>3</v>
      </c>
    </row>
    <row r="10643">
      <c r="A10643" s="0" t="s">
        <v>4</v>
      </c>
      <c r="C10643" s="0" t="s">
        <v>369</v>
      </c>
      <c r="H10643" s="3" t="s">
        <v>6</v>
      </c>
    </row>
    <row r="10644">
      <c r="A10644" s="0" t="s">
        <v>7</v>
      </c>
      <c r="C10644" s="4" t="s">
        <v>370</v>
      </c>
      <c r="H10644" s="2" t="s">
        <v>9</v>
      </c>
    </row>
    <row r="10645">
      <c r="A10645" s="0" t="s">
        <v>10</v>
      </c>
      <c r="C10645" s="4" t="s">
        <v>11</v>
      </c>
      <c r="H10645" s="2" t="s">
        <v>12</v>
      </c>
    </row>
    <row r="10646">
      <c r="A10646" s="0" t="s">
        <v>13</v>
      </c>
      <c r="C10646" s="0" t="s">
        <v>14</v>
      </c>
    </row>
    <row r="10647">
      <c r="A10647" s="0" t="s">
        <v>15</v>
      </c>
      <c r="C10647" s="0" t="s">
        <v>16</v>
      </c>
    </row>
    <row r="10648">
      <c r="A10648" s="0" t="s">
        <v>17</v>
      </c>
      <c r="C10648" s="0" t="s">
        <v>18</v>
      </c>
    </row>
    <row r="10651">
      <c r="A10651" s="5" t="s">
        <v>19</v>
      </c>
      <c r="B10651" s="5" t="s">
        <v>20</v>
      </c>
      <c r="C10651" s="7" t="s">
        <v>21</v>
      </c>
      <c r="D10651" s="9"/>
      <c r="E10651" s="7" t="s">
        <v>22</v>
      </c>
      <c r="F10651" s="9"/>
      <c r="G10651" s="5" t="s">
        <v>23</v>
      </c>
      <c r="H10651" s="5" t="s">
        <v>24</v>
      </c>
      <c r="I10651" s="5" t="s">
        <v>371</v>
      </c>
      <c r="J10651" s="5" t="s">
        <v>26</v>
      </c>
    </row>
    <row r="10652">
      <c r="A10652" s="6"/>
      <c r="B10652" s="6"/>
      <c r="C10652" s="8" t="s">
        <v>27</v>
      </c>
      <c r="D10652" s="8" t="s">
        <v>28</v>
      </c>
      <c r="E10652" s="8" t="s">
        <v>27</v>
      </c>
      <c r="F10652" s="8" t="s">
        <v>28</v>
      </c>
      <c r="G10652" s="6"/>
      <c r="H10652" s="6"/>
      <c r="I10652" s="10" t="s">
        <v>29</v>
      </c>
      <c r="J10652" s="6"/>
    </row>
    <row r="10653">
      <c r="A10653" s="11" t="s">
        <v>30</v>
      </c>
      <c r="B10653" s="12">
        <v>1005.2586</v>
      </c>
      <c r="C10653" s="12">
        <v>0</v>
      </c>
      <c r="D10653" s="13">
        <v>0</v>
      </c>
      <c r="E10653" s="12">
        <v>0</v>
      </c>
      <c r="F10653" s="14">
        <v>0</v>
      </c>
      <c r="G10653" s="13">
        <v>45115.1591</v>
      </c>
      <c r="H10653" s="14">
        <v>45352401.675643</v>
      </c>
      <c r="I10653" s="14" t="e">
        <f>=Round(1263.75980000,0)</f>
        <v>#VALUE!</v>
      </c>
      <c r="J10653" s="14" t="e">
        <f>=Round(0.00000000,0)</f>
        <v>#VALUE!</v>
      </c>
    </row>
    <row r="10654">
      <c r="A10654" s="11" t="s">
        <v>31</v>
      </c>
      <c r="B10654" s="12">
        <v>1018.8126</v>
      </c>
      <c r="C10654" s="12">
        <v>0</v>
      </c>
      <c r="D10654" s="13">
        <v>0</v>
      </c>
      <c r="E10654" s="12">
        <v>0</v>
      </c>
      <c r="F10654" s="14">
        <v>0</v>
      </c>
      <c r="G10654" s="13">
        <v>45115.1591</v>
      </c>
      <c r="H10654" s="14">
        <v>45963892.542085</v>
      </c>
      <c r="I10654" s="14" t="e">
        <f>=Round(1254.00630000,0)</f>
        <v>#VALUE!</v>
      </c>
      <c r="J10654" s="14" t="e">
        <f>=Round(0.00000000,0)</f>
        <v>#VALUE!</v>
      </c>
    </row>
    <row r="10655">
      <c r="A10655" s="11" t="s">
        <v>32</v>
      </c>
      <c r="B10655" s="12">
        <v>1030.4786</v>
      </c>
      <c r="C10655" s="12">
        <v>0</v>
      </c>
      <c r="D10655" s="13">
        <v>0</v>
      </c>
      <c r="E10655" s="12">
        <v>0</v>
      </c>
      <c r="F10655" s="14">
        <v>0</v>
      </c>
      <c r="G10655" s="13">
        <v>45115.1591</v>
      </c>
      <c r="H10655" s="14">
        <v>46490205.988145</v>
      </c>
      <c r="I10655" s="14" t="e">
        <f>=Round(1270.91420000,0)</f>
        <v>#VALUE!</v>
      </c>
      <c r="J10655" s="14" t="e">
        <f>=Round(0.00000000,0)</f>
        <v>#VALUE!</v>
      </c>
    </row>
    <row r="10656">
      <c r="A10656" s="11" t="s">
        <v>33</v>
      </c>
      <c r="B10656" s="12">
        <v>1030.4427</v>
      </c>
      <c r="C10656" s="12">
        <v>0</v>
      </c>
      <c r="D10656" s="13">
        <v>0</v>
      </c>
      <c r="E10656" s="12">
        <v>0</v>
      </c>
      <c r="F10656" s="14">
        <v>0</v>
      </c>
      <c r="G10656" s="13">
        <v>45115.1591</v>
      </c>
      <c r="H10656" s="14">
        <v>46488586.353934</v>
      </c>
      <c r="I10656" s="14" t="e">
        <f>=Round(1285.46690000,0)</f>
        <v>#VALUE!</v>
      </c>
      <c r="J10656" s="14" t="e">
        <f>=Round(0.00000000,0)</f>
        <v>#VALUE!</v>
      </c>
    </row>
    <row r="10657">
      <c r="A10657" s="11" t="s">
        <v>34</v>
      </c>
      <c r="B10657" s="12">
        <v>1031.1072</v>
      </c>
      <c r="C10657" s="12">
        <v>0</v>
      </c>
      <c r="D10657" s="13">
        <v>0</v>
      </c>
      <c r="E10657" s="12">
        <v>0</v>
      </c>
      <c r="F10657" s="14">
        <v>0</v>
      </c>
      <c r="G10657" s="13">
        <v>45115.1591</v>
      </c>
      <c r="H10657" s="14">
        <v>46518565.377156</v>
      </c>
      <c r="I10657" s="14" t="e">
        <f>=Round(1285.42210000,0)</f>
        <v>#VALUE!</v>
      </c>
      <c r="J10657" s="14" t="e">
        <f>=Round(0.00000000,0)</f>
        <v>#VALUE!</v>
      </c>
    </row>
    <row r="10658">
      <c r="A10658" s="11" t="s">
        <v>35</v>
      </c>
      <c r="B10658" s="12">
        <v>1031.1072</v>
      </c>
      <c r="C10658" s="12">
        <v>0</v>
      </c>
      <c r="D10658" s="13">
        <v>0</v>
      </c>
      <c r="E10658" s="12">
        <v>0</v>
      </c>
      <c r="F10658" s="14">
        <v>0</v>
      </c>
      <c r="G10658" s="13">
        <v>45115.1591</v>
      </c>
      <c r="H10658" s="14">
        <v>46518565.377156</v>
      </c>
      <c r="I10658" s="14" t="e">
        <f>=Round(1286.25100000,0)</f>
        <v>#VALUE!</v>
      </c>
      <c r="J10658" s="14" t="e">
        <f>=Round(0.00000000,0)</f>
        <v>#VALUE!</v>
      </c>
    </row>
    <row r="10659">
      <c r="A10659" s="11" t="s">
        <v>36</v>
      </c>
      <c r="B10659" s="12">
        <v>1031.1072</v>
      </c>
      <c r="C10659" s="12">
        <v>0</v>
      </c>
      <c r="D10659" s="13">
        <v>0</v>
      </c>
      <c r="E10659" s="12">
        <v>0</v>
      </c>
      <c r="F10659" s="14">
        <v>0</v>
      </c>
      <c r="G10659" s="13">
        <v>45115.1591</v>
      </c>
      <c r="H10659" s="14">
        <v>46518565.377156</v>
      </c>
      <c r="I10659" s="14" t="e">
        <f>=Round(1286.25100000,0)</f>
        <v>#VALUE!</v>
      </c>
      <c r="J10659" s="14" t="e">
        <f>=Round(0.00000000,0)</f>
        <v>#VALUE!</v>
      </c>
    </row>
    <row r="10660">
      <c r="A10660" s="11" t="s">
        <v>37</v>
      </c>
      <c r="B10660" s="12">
        <v>1025.3453</v>
      </c>
      <c r="C10660" s="12">
        <v>0</v>
      </c>
      <c r="D10660" s="13">
        <v>0</v>
      </c>
      <c r="E10660" s="12">
        <v>0</v>
      </c>
      <c r="F10660" s="14">
        <v>0</v>
      </c>
      <c r="G10660" s="13">
        <v>45115.1591</v>
      </c>
      <c r="H10660" s="14">
        <v>46258616.341937</v>
      </c>
      <c r="I10660" s="14" t="e">
        <f>=Round(1286.25100000,0)</f>
        <v>#VALUE!</v>
      </c>
      <c r="J10660" s="14" t="e">
        <f>=Round(0.00000000,0)</f>
        <v>#VALUE!</v>
      </c>
    </row>
    <row r="10661">
      <c r="A10661" s="11" t="s">
        <v>38</v>
      </c>
      <c r="B10661" s="12">
        <v>1022.7892</v>
      </c>
      <c r="C10661" s="12">
        <v>0</v>
      </c>
      <c r="D10661" s="13">
        <v>0</v>
      </c>
      <c r="E10661" s="12">
        <v>0</v>
      </c>
      <c r="F10661" s="14">
        <v>0</v>
      </c>
      <c r="G10661" s="13">
        <v>45115.1591</v>
      </c>
      <c r="H10661" s="14">
        <v>46143297.483762</v>
      </c>
      <c r="I10661" s="14" t="e">
        <f>=Round(1279.06340000,0)</f>
        <v>#VALUE!</v>
      </c>
      <c r="J10661" s="14" t="e">
        <f>=Round(0.00000000,0)</f>
        <v>#VALUE!</v>
      </c>
    </row>
    <row r="10662">
      <c r="A10662" s="11" t="s">
        <v>39</v>
      </c>
      <c r="B10662" s="12">
        <v>1015.9987</v>
      </c>
      <c r="C10662" s="12">
        <v>0</v>
      </c>
      <c r="D10662" s="13">
        <v>0</v>
      </c>
      <c r="E10662" s="12">
        <v>0</v>
      </c>
      <c r="F10662" s="14">
        <v>0</v>
      </c>
      <c r="G10662" s="13">
        <v>45115.1591</v>
      </c>
      <c r="H10662" s="14">
        <v>45836942.995893</v>
      </c>
      <c r="I10662" s="14" t="e">
        <f>=Round(1275.87480000,0)</f>
        <v>#VALUE!</v>
      </c>
      <c r="J10662" s="14" t="e">
        <f>=Round(0.00000000,0)</f>
        <v>#VALUE!</v>
      </c>
    </row>
    <row r="10663">
      <c r="A10663" s="11" t="s">
        <v>40</v>
      </c>
      <c r="B10663" s="12">
        <v>1011.1407</v>
      </c>
      <c r="C10663" s="12">
        <v>0</v>
      </c>
      <c r="D10663" s="13">
        <v>0</v>
      </c>
      <c r="E10663" s="12">
        <v>0</v>
      </c>
      <c r="F10663" s="14">
        <v>0</v>
      </c>
      <c r="G10663" s="13">
        <v>45115.1591</v>
      </c>
      <c r="H10663" s="14">
        <v>45617773.552985</v>
      </c>
      <c r="I10663" s="14" t="e">
        <f>=Round(1267.40400000,0)</f>
        <v>#VALUE!</v>
      </c>
      <c r="J10663" s="14" t="e">
        <f>=Round(0.00000000,0)</f>
        <v>#VALUE!</v>
      </c>
    </row>
    <row r="10664">
      <c r="A10664" s="11" t="s">
        <v>41</v>
      </c>
      <c r="B10664" s="12">
        <v>1008.6293</v>
      </c>
      <c r="C10664" s="12">
        <v>0</v>
      </c>
      <c r="D10664" s="13">
        <v>0</v>
      </c>
      <c r="E10664" s="12">
        <v>0</v>
      </c>
      <c r="F10664" s="14">
        <v>0</v>
      </c>
      <c r="G10664" s="13">
        <v>45115.1591</v>
      </c>
      <c r="H10664" s="14">
        <v>45504471.342422</v>
      </c>
      <c r="I10664" s="14" t="e">
        <f>=Round(1261.34390000,0)</f>
        <v>#VALUE!</v>
      </c>
      <c r="J10664" s="14" t="e">
        <f>=Round(0.00000000,0)</f>
        <v>#VALUE!</v>
      </c>
    </row>
    <row r="10665">
      <c r="A10665" s="11" t="s">
        <v>42</v>
      </c>
      <c r="B10665" s="12">
        <v>1008.6293</v>
      </c>
      <c r="C10665" s="12">
        <v>0</v>
      </c>
      <c r="D10665" s="13">
        <v>0</v>
      </c>
      <c r="E10665" s="12">
        <v>0</v>
      </c>
      <c r="F10665" s="14">
        <v>0</v>
      </c>
      <c r="G10665" s="13">
        <v>45115.1591</v>
      </c>
      <c r="H10665" s="14">
        <v>45504471.342422</v>
      </c>
      <c r="I10665" s="14" t="e">
        <f>=Round(1258.21110000,0)</f>
        <v>#VALUE!</v>
      </c>
      <c r="J10665" s="14" t="e">
        <f>=Round(0.00000000,0)</f>
        <v>#VALUE!</v>
      </c>
    </row>
    <row r="10666">
      <c r="A10666" s="11" t="s">
        <v>43</v>
      </c>
      <c r="B10666" s="12">
        <v>1008.6293</v>
      </c>
      <c r="C10666" s="12">
        <v>0</v>
      </c>
      <c r="D10666" s="13">
        <v>0</v>
      </c>
      <c r="E10666" s="12">
        <v>0</v>
      </c>
      <c r="F10666" s="14">
        <v>0</v>
      </c>
      <c r="G10666" s="13">
        <v>45115.1591</v>
      </c>
      <c r="H10666" s="14">
        <v>45504471.342422</v>
      </c>
      <c r="I10666" s="14" t="e">
        <f>=Round(1258.21110000,0)</f>
        <v>#VALUE!</v>
      </c>
      <c r="J10666" s="14" t="e">
        <f>=Round(0.00000000,0)</f>
        <v>#VALUE!</v>
      </c>
    </row>
    <row r="10667">
      <c r="A10667" s="11" t="s">
        <v>44</v>
      </c>
      <c r="B10667" s="12">
        <v>1006.9742</v>
      </c>
      <c r="C10667" s="12">
        <v>0</v>
      </c>
      <c r="D10667" s="13">
        <v>0</v>
      </c>
      <c r="E10667" s="12">
        <v>0</v>
      </c>
      <c r="F10667" s="14">
        <v>0</v>
      </c>
      <c r="G10667" s="13">
        <v>45115.1591</v>
      </c>
      <c r="H10667" s="14">
        <v>45429801.242595</v>
      </c>
      <c r="I10667" s="14" t="e">
        <f>=Round(1258.21110000,0)</f>
        <v>#VALUE!</v>
      </c>
      <c r="J10667" s="14" t="e">
        <f>=Round(0.00000000,0)</f>
        <v>#VALUE!</v>
      </c>
    </row>
    <row r="10668">
      <c r="A10668" s="11" t="s">
        <v>45</v>
      </c>
      <c r="B10668" s="12">
        <v>1005.4996</v>
      </c>
      <c r="C10668" s="12">
        <v>0</v>
      </c>
      <c r="D10668" s="13">
        <v>0</v>
      </c>
      <c r="E10668" s="12">
        <v>0</v>
      </c>
      <c r="F10668" s="14">
        <v>0</v>
      </c>
      <c r="G10668" s="13">
        <v>45115.1591</v>
      </c>
      <c r="H10668" s="14">
        <v>45363274.428986</v>
      </c>
      <c r="I10668" s="14" t="e">
        <f>=Round(1256.14640000,0)</f>
        <v>#VALUE!</v>
      </c>
      <c r="J10668" s="14" t="e">
        <f>=Round(0.00000000,0)</f>
        <v>#VALUE!</v>
      </c>
    </row>
    <row r="10669">
      <c r="A10669" s="11" t="s">
        <v>46</v>
      </c>
      <c r="B10669" s="12">
        <v>1014.8298</v>
      </c>
      <c r="C10669" s="12">
        <v>0</v>
      </c>
      <c r="D10669" s="13">
        <v>0</v>
      </c>
      <c r="E10669" s="12">
        <v>0</v>
      </c>
      <c r="F10669" s="14">
        <v>0</v>
      </c>
      <c r="G10669" s="13">
        <v>45115.1591</v>
      </c>
      <c r="H10669" s="14">
        <v>45784207.886421</v>
      </c>
      <c r="I10669" s="14" t="e">
        <f>=Round(1254.30690000,0)</f>
        <v>#VALUE!</v>
      </c>
      <c r="J10669" s="14" t="e">
        <f>=Round(0.00000000,0)</f>
        <v>#VALUE!</v>
      </c>
    </row>
    <row r="10670">
      <c r="A10670" s="11" t="s">
        <v>47</v>
      </c>
      <c r="B10670" s="12">
        <v>1018.9191</v>
      </c>
      <c r="C10670" s="12">
        <v>0</v>
      </c>
      <c r="D10670" s="13">
        <v>0</v>
      </c>
      <c r="E10670" s="12">
        <v>0</v>
      </c>
      <c r="F10670" s="14">
        <v>0</v>
      </c>
      <c r="G10670" s="13">
        <v>45115.1591</v>
      </c>
      <c r="H10670" s="14">
        <v>45968697.306529</v>
      </c>
      <c r="I10670" s="14" t="e">
        <f>=Round(1265.94590000,0)</f>
        <v>#VALUE!</v>
      </c>
      <c r="J10670" s="14" t="e">
        <f>=Round(0.00000000,0)</f>
        <v>#VALUE!</v>
      </c>
    </row>
    <row r="10671">
      <c r="A10671" s="11" t="s">
        <v>48</v>
      </c>
      <c r="B10671" s="12">
        <v>1011.3795</v>
      </c>
      <c r="C10671" s="12">
        <v>0</v>
      </c>
      <c r="D10671" s="13">
        <v>0</v>
      </c>
      <c r="E10671" s="12">
        <v>0</v>
      </c>
      <c r="F10671" s="14">
        <v>0</v>
      </c>
      <c r="G10671" s="13">
        <v>45115.1591</v>
      </c>
      <c r="H10671" s="14">
        <v>45628547.052978</v>
      </c>
      <c r="I10671" s="14" t="e">
        <f>=Round(1271.04700000,0)</f>
        <v>#VALUE!</v>
      </c>
      <c r="J10671" s="14" t="e">
        <f>=Round(0.00000000,0)</f>
        <v>#VALUE!</v>
      </c>
    </row>
    <row r="10672">
      <c r="A10672" s="11" t="s">
        <v>49</v>
      </c>
      <c r="B10672" s="12">
        <v>1011.3795</v>
      </c>
      <c r="C10672" s="12">
        <v>0</v>
      </c>
      <c r="D10672" s="13">
        <v>0</v>
      </c>
      <c r="E10672" s="12">
        <v>0</v>
      </c>
      <c r="F10672" s="14">
        <v>0</v>
      </c>
      <c r="G10672" s="13">
        <v>45115.1591</v>
      </c>
      <c r="H10672" s="14">
        <v>45628547.052978</v>
      </c>
      <c r="I10672" s="14" t="e">
        <f>=Round(1261.64180000,0)</f>
        <v>#VALUE!</v>
      </c>
      <c r="J10672" s="14" t="e">
        <f>=Round(0.00000000,0)</f>
        <v>#VALUE!</v>
      </c>
    </row>
    <row r="10673">
      <c r="A10673" s="11" t="s">
        <v>50</v>
      </c>
      <c r="B10673" s="12">
        <v>1011.3795</v>
      </c>
      <c r="C10673" s="12">
        <v>0</v>
      </c>
      <c r="D10673" s="13">
        <v>0</v>
      </c>
      <c r="E10673" s="12">
        <v>0</v>
      </c>
      <c r="F10673" s="14">
        <v>0</v>
      </c>
      <c r="G10673" s="13">
        <v>45115.1591</v>
      </c>
      <c r="H10673" s="14">
        <v>45628547.052978</v>
      </c>
      <c r="I10673" s="14" t="e">
        <f>=Round(1261.64180000,0)</f>
        <v>#VALUE!</v>
      </c>
      <c r="J10673" s="14" t="e">
        <f>=Round(0.00000000,0)</f>
        <v>#VALUE!</v>
      </c>
    </row>
    <row r="10674">
      <c r="A10674" s="11" t="s">
        <v>51</v>
      </c>
      <c r="B10674" s="12">
        <v>995.3126</v>
      </c>
      <c r="C10674" s="12">
        <v>0</v>
      </c>
      <c r="D10674" s="13">
        <v>0</v>
      </c>
      <c r="E10674" s="12">
        <v>0</v>
      </c>
      <c r="F10674" s="14">
        <v>0</v>
      </c>
      <c r="G10674" s="13">
        <v>45115.1591</v>
      </c>
      <c r="H10674" s="14">
        <v>44903686.303235</v>
      </c>
      <c r="I10674" s="14" t="e">
        <f>=Round(1261.64180000,0)</f>
        <v>#VALUE!</v>
      </c>
      <c r="J10674" s="14" t="e">
        <f>=Round(0.00000000,0)</f>
        <v>#VALUE!</v>
      </c>
    </row>
    <row r="10675">
      <c r="A10675" s="11" t="s">
        <v>52</v>
      </c>
      <c r="B10675" s="12">
        <v>996.4765</v>
      </c>
      <c r="C10675" s="12">
        <v>0</v>
      </c>
      <c r="D10675" s="13">
        <v>0</v>
      </c>
      <c r="E10675" s="12">
        <v>0</v>
      </c>
      <c r="F10675" s="14">
        <v>0</v>
      </c>
      <c r="G10675" s="13">
        <v>45115.1591</v>
      </c>
      <c r="H10675" s="14">
        <v>44956195.836911</v>
      </c>
      <c r="I10675" s="14" t="e">
        <f>=Round(1241.59920000,0)</f>
        <v>#VALUE!</v>
      </c>
      <c r="J10675" s="14" t="e">
        <f>=Round(0.00000000,0)</f>
        <v>#VALUE!</v>
      </c>
    </row>
    <row r="10676">
      <c r="A10676" s="11" t="s">
        <v>53</v>
      </c>
      <c r="B10676" s="12">
        <v>980.4424</v>
      </c>
      <c r="C10676" s="12">
        <v>0</v>
      </c>
      <c r="D10676" s="13">
        <v>0</v>
      </c>
      <c r="E10676" s="12">
        <v>0</v>
      </c>
      <c r="F10676" s="14">
        <v>0</v>
      </c>
      <c r="G10676" s="13">
        <v>45115.1591</v>
      </c>
      <c r="H10676" s="14">
        <v>44232814.864386</v>
      </c>
      <c r="I10676" s="14" t="e">
        <f>=Round(1243.05110000,0)</f>
        <v>#VALUE!</v>
      </c>
      <c r="J10676" s="14" t="e">
        <f>=Round(0.00000000,0)</f>
        <v>#VALUE!</v>
      </c>
    </row>
    <row r="10677">
      <c r="A10677" s="11" t="s">
        <v>54</v>
      </c>
      <c r="B10677" s="12">
        <v>953.8409</v>
      </c>
      <c r="C10677" s="12">
        <v>0</v>
      </c>
      <c r="D10677" s="13">
        <v>0</v>
      </c>
      <c r="E10677" s="12">
        <v>0</v>
      </c>
      <c r="F10677" s="14">
        <v>0</v>
      </c>
      <c r="G10677" s="13">
        <v>45115.1591</v>
      </c>
      <c r="H10677" s="14">
        <v>43032683.959587</v>
      </c>
      <c r="I10677" s="14" t="e">
        <f>=Round(1223.04940000,0)</f>
        <v>#VALUE!</v>
      </c>
      <c r="J10677" s="14" t="e">
        <f>=Round(0.00000000,0)</f>
        <v>#VALUE!</v>
      </c>
    </row>
    <row r="10678">
      <c r="A10678" s="11" t="s">
        <v>55</v>
      </c>
      <c r="B10678" s="12">
        <v>944.2202</v>
      </c>
      <c r="C10678" s="12">
        <v>0</v>
      </c>
      <c r="D10678" s="13">
        <v>0</v>
      </c>
      <c r="E10678" s="12">
        <v>0</v>
      </c>
      <c r="F10678" s="14">
        <v>0</v>
      </c>
      <c r="G10678" s="13">
        <v>45115.1591</v>
      </c>
      <c r="H10678" s="14">
        <v>42598644.548434</v>
      </c>
      <c r="I10678" s="14" t="e">
        <f>=Round(1189.86550000,0)</f>
        <v>#VALUE!</v>
      </c>
      <c r="J10678" s="14" t="e">
        <f>=Round(0.00000000,0)</f>
        <v>#VALUE!</v>
      </c>
    </row>
    <row r="10679" ht="-1">
      <c r="A10679" s="15"/>
      <c r="B10679" s="16" t="s">
        <v>56</v>
      </c>
      <c r="C10679" s="15"/>
      <c r="D10679" s="15"/>
      <c r="E10679" s="15"/>
      <c r="F10679" s="15"/>
      <c r="G10679" s="15"/>
      <c r="H10679" s="15"/>
      <c r="I10679" s="17" t="e">
        <f>=Round(SUM(I10653:I10678),0)</f>
        <v>#VALUE!</v>
      </c>
      <c r="J10679" s="17" t="e">
        <f>=Round(SUM(J10653:J10678),0)</f>
        <v>#VALUE!</v>
      </c>
    </row>
    <row r="10680">
      <c r="A10680" s="1" t="s">
        <v>0</v>
      </c>
      <c r="B10680" s="1"/>
      <c r="C10680" s="1"/>
      <c r="D10680" s="1"/>
    </row>
    <row r="10681">
      <c r="A10681" s="0" t="s">
        <v>1</v>
      </c>
      <c r="C10681" s="0" t="s">
        <v>368</v>
      </c>
      <c r="H10681" s="2" t="s">
        <v>3</v>
      </c>
    </row>
    <row r="10682">
      <c r="A10682" s="0" t="s">
        <v>4</v>
      </c>
      <c r="C10682" s="0" t="s">
        <v>351</v>
      </c>
      <c r="H10682" s="3" t="s">
        <v>6</v>
      </c>
    </row>
    <row r="10683">
      <c r="A10683" s="0" t="s">
        <v>7</v>
      </c>
      <c r="C10683" s="4" t="s">
        <v>370</v>
      </c>
      <c r="H10683" s="2" t="s">
        <v>9</v>
      </c>
    </row>
    <row r="10684">
      <c r="A10684" s="0" t="s">
        <v>10</v>
      </c>
      <c r="C10684" s="4" t="s">
        <v>11</v>
      </c>
      <c r="H10684" s="2" t="s">
        <v>12</v>
      </c>
    </row>
    <row r="10685">
      <c r="A10685" s="0" t="s">
        <v>13</v>
      </c>
      <c r="C10685" s="0" t="s">
        <v>14</v>
      </c>
    </row>
    <row r="10686">
      <c r="A10686" s="0" t="s">
        <v>15</v>
      </c>
      <c r="C10686" s="0" t="s">
        <v>16</v>
      </c>
    </row>
    <row r="10687">
      <c r="A10687" s="0" t="s">
        <v>17</v>
      </c>
      <c r="C10687" s="0" t="s">
        <v>18</v>
      </c>
    </row>
    <row r="10690">
      <c r="A10690" s="5" t="s">
        <v>19</v>
      </c>
      <c r="B10690" s="5" t="s">
        <v>20</v>
      </c>
      <c r="C10690" s="7" t="s">
        <v>21</v>
      </c>
      <c r="D10690" s="9"/>
      <c r="E10690" s="7" t="s">
        <v>22</v>
      </c>
      <c r="F10690" s="9"/>
      <c r="G10690" s="5" t="s">
        <v>23</v>
      </c>
      <c r="H10690" s="5" t="s">
        <v>24</v>
      </c>
      <c r="I10690" s="5" t="s">
        <v>371</v>
      </c>
      <c r="J10690" s="5" t="s">
        <v>26</v>
      </c>
    </row>
    <row r="10691">
      <c r="A10691" s="6"/>
      <c r="B10691" s="6"/>
      <c r="C10691" s="8" t="s">
        <v>27</v>
      </c>
      <c r="D10691" s="8" t="s">
        <v>28</v>
      </c>
      <c r="E10691" s="8" t="s">
        <v>27</v>
      </c>
      <c r="F10691" s="8" t="s">
        <v>28</v>
      </c>
      <c r="G10691" s="6"/>
      <c r="H10691" s="6"/>
      <c r="I10691" s="10" t="s">
        <v>29</v>
      </c>
      <c r="J10691" s="6"/>
    </row>
    <row r="10692">
      <c r="A10692" s="11" t="s">
        <v>30</v>
      </c>
      <c r="B10692" s="12">
        <v>1005.2586</v>
      </c>
      <c r="C10692" s="12">
        <v>0</v>
      </c>
      <c r="D10692" s="13">
        <v>0</v>
      </c>
      <c r="E10692" s="12">
        <v>0</v>
      </c>
      <c r="F10692" s="14">
        <v>0</v>
      </c>
      <c r="G10692" s="13">
        <v>250000</v>
      </c>
      <c r="H10692" s="14">
        <v>251314650</v>
      </c>
      <c r="I10692" s="14" t="e">
        <f>=Round(7002.96670000,0)</f>
        <v>#VALUE!</v>
      </c>
      <c r="J10692" s="14" t="e">
        <f>=Round(0.00000000,0)</f>
        <v>#VALUE!</v>
      </c>
    </row>
    <row r="10693">
      <c r="A10693" s="11" t="s">
        <v>31</v>
      </c>
      <c r="B10693" s="12">
        <v>1018.8126</v>
      </c>
      <c r="C10693" s="12">
        <v>0</v>
      </c>
      <c r="D10693" s="13">
        <v>0</v>
      </c>
      <c r="E10693" s="12">
        <v>0</v>
      </c>
      <c r="F10693" s="14">
        <v>0</v>
      </c>
      <c r="G10693" s="13">
        <v>250000</v>
      </c>
      <c r="H10693" s="14">
        <v>254703150</v>
      </c>
      <c r="I10693" s="14" t="e">
        <f>=Round(6948.91870000,0)</f>
        <v>#VALUE!</v>
      </c>
      <c r="J10693" s="14" t="e">
        <f>=Round(0.00000000,0)</f>
        <v>#VALUE!</v>
      </c>
    </row>
    <row r="10694">
      <c r="A10694" s="11" t="s">
        <v>32</v>
      </c>
      <c r="B10694" s="12">
        <v>1030.4786</v>
      </c>
      <c r="C10694" s="12">
        <v>0</v>
      </c>
      <c r="D10694" s="13">
        <v>0</v>
      </c>
      <c r="E10694" s="12">
        <v>0</v>
      </c>
      <c r="F10694" s="14">
        <v>0</v>
      </c>
      <c r="G10694" s="13">
        <v>250000</v>
      </c>
      <c r="H10694" s="14">
        <v>257619650</v>
      </c>
      <c r="I10694" s="14" t="e">
        <f>=Round(7042.61170000,0)</f>
        <v>#VALUE!</v>
      </c>
      <c r="J10694" s="14" t="e">
        <f>=Round(0.00000000,0)</f>
        <v>#VALUE!</v>
      </c>
    </row>
    <row r="10695">
      <c r="A10695" s="11" t="s">
        <v>33</v>
      </c>
      <c r="B10695" s="12">
        <v>1030.4427</v>
      </c>
      <c r="C10695" s="12">
        <v>0</v>
      </c>
      <c r="D10695" s="13">
        <v>0</v>
      </c>
      <c r="E10695" s="12">
        <v>0</v>
      </c>
      <c r="F10695" s="14">
        <v>0</v>
      </c>
      <c r="G10695" s="13">
        <v>250000</v>
      </c>
      <c r="H10695" s="14">
        <v>257610675</v>
      </c>
      <c r="I10695" s="14" t="e">
        <f>=Round(7123.25370000,0)</f>
        <v>#VALUE!</v>
      </c>
      <c r="J10695" s="14" t="e">
        <f>=Round(0.00000000,0)</f>
        <v>#VALUE!</v>
      </c>
    </row>
    <row r="10696">
      <c r="A10696" s="11" t="s">
        <v>34</v>
      </c>
      <c r="B10696" s="12">
        <v>1031.1072</v>
      </c>
      <c r="C10696" s="12">
        <v>0</v>
      </c>
      <c r="D10696" s="13">
        <v>0</v>
      </c>
      <c r="E10696" s="12">
        <v>0</v>
      </c>
      <c r="F10696" s="14">
        <v>0</v>
      </c>
      <c r="G10696" s="13">
        <v>250000</v>
      </c>
      <c r="H10696" s="14">
        <v>257776800</v>
      </c>
      <c r="I10696" s="14" t="e">
        <f>=Round(7123.00550000,0)</f>
        <v>#VALUE!</v>
      </c>
      <c r="J10696" s="14" t="e">
        <f>=Round(0.00000000,0)</f>
        <v>#VALUE!</v>
      </c>
    </row>
    <row r="10697">
      <c r="A10697" s="11" t="s">
        <v>35</v>
      </c>
      <c r="B10697" s="12">
        <v>1031.1072</v>
      </c>
      <c r="C10697" s="12">
        <v>0</v>
      </c>
      <c r="D10697" s="13">
        <v>0</v>
      </c>
      <c r="E10697" s="12">
        <v>0</v>
      </c>
      <c r="F10697" s="14">
        <v>0</v>
      </c>
      <c r="G10697" s="13">
        <v>250000</v>
      </c>
      <c r="H10697" s="14">
        <v>257776800</v>
      </c>
      <c r="I10697" s="14" t="e">
        <f>=Round(7127.59900000,0)</f>
        <v>#VALUE!</v>
      </c>
      <c r="J10697" s="14" t="e">
        <f>=Round(0.00000000,0)</f>
        <v>#VALUE!</v>
      </c>
    </row>
    <row r="10698">
      <c r="A10698" s="11" t="s">
        <v>36</v>
      </c>
      <c r="B10698" s="12">
        <v>1031.1072</v>
      </c>
      <c r="C10698" s="12">
        <v>0</v>
      </c>
      <c r="D10698" s="13">
        <v>0</v>
      </c>
      <c r="E10698" s="12">
        <v>0</v>
      </c>
      <c r="F10698" s="14">
        <v>0</v>
      </c>
      <c r="G10698" s="13">
        <v>250000</v>
      </c>
      <c r="H10698" s="14">
        <v>257776800</v>
      </c>
      <c r="I10698" s="14" t="e">
        <f>=Round(7127.59900000,0)</f>
        <v>#VALUE!</v>
      </c>
      <c r="J10698" s="14" t="e">
        <f>=Round(0.00000000,0)</f>
        <v>#VALUE!</v>
      </c>
    </row>
    <row r="10699">
      <c r="A10699" s="11" t="s">
        <v>37</v>
      </c>
      <c r="B10699" s="12">
        <v>1025.3453</v>
      </c>
      <c r="C10699" s="12">
        <v>0</v>
      </c>
      <c r="D10699" s="13">
        <v>0</v>
      </c>
      <c r="E10699" s="12">
        <v>0</v>
      </c>
      <c r="F10699" s="14">
        <v>0</v>
      </c>
      <c r="G10699" s="13">
        <v>250000</v>
      </c>
      <c r="H10699" s="14">
        <v>256336325</v>
      </c>
      <c r="I10699" s="14" t="e">
        <f>=Round(7127.59900000,0)</f>
        <v>#VALUE!</v>
      </c>
      <c r="J10699" s="14" t="e">
        <f>=Round(0.00000000,0)</f>
        <v>#VALUE!</v>
      </c>
    </row>
    <row r="10700">
      <c r="A10700" s="11" t="s">
        <v>38</v>
      </c>
      <c r="B10700" s="12">
        <v>1022.7892</v>
      </c>
      <c r="C10700" s="12">
        <v>0</v>
      </c>
      <c r="D10700" s="13">
        <v>0</v>
      </c>
      <c r="E10700" s="12">
        <v>0</v>
      </c>
      <c r="F10700" s="14">
        <v>0</v>
      </c>
      <c r="G10700" s="13">
        <v>250000</v>
      </c>
      <c r="H10700" s="14">
        <v>255697300</v>
      </c>
      <c r="I10700" s="14" t="e">
        <f>=Round(7087.76940000,0)</f>
        <v>#VALUE!</v>
      </c>
      <c r="J10700" s="14" t="e">
        <f>=Round(0.00000000,0)</f>
        <v>#VALUE!</v>
      </c>
    </row>
    <row r="10701">
      <c r="A10701" s="11" t="s">
        <v>39</v>
      </c>
      <c r="B10701" s="12">
        <v>1015.9987</v>
      </c>
      <c r="C10701" s="12">
        <v>0</v>
      </c>
      <c r="D10701" s="13">
        <v>0</v>
      </c>
      <c r="E10701" s="12">
        <v>0</v>
      </c>
      <c r="F10701" s="14">
        <v>0</v>
      </c>
      <c r="G10701" s="13">
        <v>250000</v>
      </c>
      <c r="H10701" s="14">
        <v>253999675</v>
      </c>
      <c r="I10701" s="14" t="e">
        <f>=Round(7070.10020000,0)</f>
        <v>#VALUE!</v>
      </c>
      <c r="J10701" s="14" t="e">
        <f>=Round(0.00000000,0)</f>
        <v>#VALUE!</v>
      </c>
    </row>
    <row r="10702">
      <c r="A10702" s="11" t="s">
        <v>40</v>
      </c>
      <c r="B10702" s="12">
        <v>1011.1407</v>
      </c>
      <c r="C10702" s="12">
        <v>0</v>
      </c>
      <c r="D10702" s="13">
        <v>0</v>
      </c>
      <c r="E10702" s="12">
        <v>0</v>
      </c>
      <c r="F10702" s="14">
        <v>0</v>
      </c>
      <c r="G10702" s="13">
        <v>250000</v>
      </c>
      <c r="H10702" s="14">
        <v>252785175</v>
      </c>
      <c r="I10702" s="14" t="e">
        <f>=Round(7023.16040000,0)</f>
        <v>#VALUE!</v>
      </c>
      <c r="J10702" s="14" t="e">
        <f>=Round(0.00000000,0)</f>
        <v>#VALUE!</v>
      </c>
    </row>
    <row r="10703">
      <c r="A10703" s="11" t="s">
        <v>41</v>
      </c>
      <c r="B10703" s="12">
        <v>1008.6293</v>
      </c>
      <c r="C10703" s="12">
        <v>0</v>
      </c>
      <c r="D10703" s="13">
        <v>0</v>
      </c>
      <c r="E10703" s="12">
        <v>0</v>
      </c>
      <c r="F10703" s="14">
        <v>0</v>
      </c>
      <c r="G10703" s="13">
        <v>250000</v>
      </c>
      <c r="H10703" s="14">
        <v>252157325</v>
      </c>
      <c r="I10703" s="14" t="e">
        <f>=Round(6989.57920000,0)</f>
        <v>#VALUE!</v>
      </c>
      <c r="J10703" s="14" t="e">
        <f>=Round(0.00000000,0)</f>
        <v>#VALUE!</v>
      </c>
    </row>
    <row r="10704">
      <c r="A10704" s="11" t="s">
        <v>42</v>
      </c>
      <c r="B10704" s="12">
        <v>1008.6293</v>
      </c>
      <c r="C10704" s="12">
        <v>0</v>
      </c>
      <c r="D10704" s="13">
        <v>0</v>
      </c>
      <c r="E10704" s="12">
        <v>0</v>
      </c>
      <c r="F10704" s="14">
        <v>0</v>
      </c>
      <c r="G10704" s="13">
        <v>250000</v>
      </c>
      <c r="H10704" s="14">
        <v>252157325</v>
      </c>
      <c r="I10704" s="14" t="e">
        <f>=Round(6972.21890000,0)</f>
        <v>#VALUE!</v>
      </c>
      <c r="J10704" s="14" t="e">
        <f>=Round(0.00000000,0)</f>
        <v>#VALUE!</v>
      </c>
    </row>
    <row r="10705">
      <c r="A10705" s="11" t="s">
        <v>43</v>
      </c>
      <c r="B10705" s="12">
        <v>1008.6293</v>
      </c>
      <c r="C10705" s="12">
        <v>0</v>
      </c>
      <c r="D10705" s="13">
        <v>0</v>
      </c>
      <c r="E10705" s="12">
        <v>0</v>
      </c>
      <c r="F10705" s="14">
        <v>0</v>
      </c>
      <c r="G10705" s="13">
        <v>250000</v>
      </c>
      <c r="H10705" s="14">
        <v>252157325</v>
      </c>
      <c r="I10705" s="14" t="e">
        <f>=Round(6972.21890000,0)</f>
        <v>#VALUE!</v>
      </c>
      <c r="J10705" s="14" t="e">
        <f>=Round(0.00000000,0)</f>
        <v>#VALUE!</v>
      </c>
    </row>
    <row r="10706">
      <c r="A10706" s="11" t="s">
        <v>44</v>
      </c>
      <c r="B10706" s="12">
        <v>1006.9742</v>
      </c>
      <c r="C10706" s="12">
        <v>0</v>
      </c>
      <c r="D10706" s="13">
        <v>0</v>
      </c>
      <c r="E10706" s="12">
        <v>0</v>
      </c>
      <c r="F10706" s="14">
        <v>0</v>
      </c>
      <c r="G10706" s="13">
        <v>250000</v>
      </c>
      <c r="H10706" s="14">
        <v>251743550</v>
      </c>
      <c r="I10706" s="14" t="e">
        <f>=Round(6972.21890000,0)</f>
        <v>#VALUE!</v>
      </c>
      <c r="J10706" s="14" t="e">
        <f>=Round(0.00000000,0)</f>
        <v>#VALUE!</v>
      </c>
    </row>
    <row r="10707">
      <c r="A10707" s="11" t="s">
        <v>45</v>
      </c>
      <c r="B10707" s="12">
        <v>1005.4996</v>
      </c>
      <c r="C10707" s="12">
        <v>0</v>
      </c>
      <c r="D10707" s="13">
        <v>0</v>
      </c>
      <c r="E10707" s="12">
        <v>0</v>
      </c>
      <c r="F10707" s="14">
        <v>0</v>
      </c>
      <c r="G10707" s="13">
        <v>250000</v>
      </c>
      <c r="H10707" s="14">
        <v>251374900</v>
      </c>
      <c r="I10707" s="14" t="e">
        <f>=Round(6960.77790000,0)</f>
        <v>#VALUE!</v>
      </c>
      <c r="J10707" s="14" t="e">
        <f>=Round(0.00000000,0)</f>
        <v>#VALUE!</v>
      </c>
    </row>
    <row r="10708">
      <c r="A10708" s="11" t="s">
        <v>46</v>
      </c>
      <c r="B10708" s="12">
        <v>1014.8298</v>
      </c>
      <c r="C10708" s="12">
        <v>0</v>
      </c>
      <c r="D10708" s="13">
        <v>0</v>
      </c>
      <c r="E10708" s="12">
        <v>0</v>
      </c>
      <c r="F10708" s="14">
        <v>0</v>
      </c>
      <c r="G10708" s="13">
        <v>250000</v>
      </c>
      <c r="H10708" s="14">
        <v>253707450</v>
      </c>
      <c r="I10708" s="14" t="e">
        <f>=Round(6950.58470000,0)</f>
        <v>#VALUE!</v>
      </c>
      <c r="J10708" s="14" t="e">
        <f>=Round(0.00000000,0)</f>
        <v>#VALUE!</v>
      </c>
    </row>
    <row r="10709">
      <c r="A10709" s="11" t="s">
        <v>47</v>
      </c>
      <c r="B10709" s="12">
        <v>1018.9191</v>
      </c>
      <c r="C10709" s="12">
        <v>0</v>
      </c>
      <c r="D10709" s="13">
        <v>0</v>
      </c>
      <c r="E10709" s="12">
        <v>0</v>
      </c>
      <c r="F10709" s="14">
        <v>0</v>
      </c>
      <c r="G10709" s="13">
        <v>250000</v>
      </c>
      <c r="H10709" s="14">
        <v>254729775</v>
      </c>
      <c r="I10709" s="14" t="e">
        <f>=Round(7015.08030000,0)</f>
        <v>#VALUE!</v>
      </c>
      <c r="J10709" s="14" t="e">
        <f>=Round(0.00000000,0)</f>
        <v>#VALUE!</v>
      </c>
    </row>
    <row r="10710">
      <c r="A10710" s="11" t="s">
        <v>48</v>
      </c>
      <c r="B10710" s="12">
        <v>1011.3795</v>
      </c>
      <c r="C10710" s="12">
        <v>0</v>
      </c>
      <c r="D10710" s="13">
        <v>0</v>
      </c>
      <c r="E10710" s="12">
        <v>0</v>
      </c>
      <c r="F10710" s="14">
        <v>0</v>
      </c>
      <c r="G10710" s="13">
        <v>250000</v>
      </c>
      <c r="H10710" s="14">
        <v>252844875</v>
      </c>
      <c r="I10710" s="14" t="e">
        <f>=Round(7043.34790000,0)</f>
        <v>#VALUE!</v>
      </c>
      <c r="J10710" s="14" t="e">
        <f>=Round(0.00000000,0)</f>
        <v>#VALUE!</v>
      </c>
    </row>
    <row r="10711">
      <c r="A10711" s="11" t="s">
        <v>49</v>
      </c>
      <c r="B10711" s="12">
        <v>1011.3795</v>
      </c>
      <c r="C10711" s="12">
        <v>0</v>
      </c>
      <c r="D10711" s="13">
        <v>0</v>
      </c>
      <c r="E10711" s="12">
        <v>0</v>
      </c>
      <c r="F10711" s="14">
        <v>0</v>
      </c>
      <c r="G10711" s="13">
        <v>250000</v>
      </c>
      <c r="H10711" s="14">
        <v>252844875</v>
      </c>
      <c r="I10711" s="14" t="e">
        <f>=Round(6991.22990000,0)</f>
        <v>#VALUE!</v>
      </c>
      <c r="J10711" s="14" t="e">
        <f>=Round(0.00000000,0)</f>
        <v>#VALUE!</v>
      </c>
    </row>
    <row r="10712">
      <c r="A10712" s="11" t="s">
        <v>50</v>
      </c>
      <c r="B10712" s="12">
        <v>1011.3795</v>
      </c>
      <c r="C10712" s="12">
        <v>0</v>
      </c>
      <c r="D10712" s="13">
        <v>0</v>
      </c>
      <c r="E10712" s="12">
        <v>0</v>
      </c>
      <c r="F10712" s="14">
        <v>0</v>
      </c>
      <c r="G10712" s="13">
        <v>250000</v>
      </c>
      <c r="H10712" s="14">
        <v>252844875</v>
      </c>
      <c r="I10712" s="14" t="e">
        <f>=Round(6991.22990000,0)</f>
        <v>#VALUE!</v>
      </c>
      <c r="J10712" s="14" t="e">
        <f>=Round(0.00000000,0)</f>
        <v>#VALUE!</v>
      </c>
    </row>
    <row r="10713">
      <c r="A10713" s="11" t="s">
        <v>51</v>
      </c>
      <c r="B10713" s="12">
        <v>995.3126</v>
      </c>
      <c r="C10713" s="12">
        <v>0</v>
      </c>
      <c r="D10713" s="13">
        <v>0</v>
      </c>
      <c r="E10713" s="12">
        <v>0</v>
      </c>
      <c r="F10713" s="14">
        <v>0</v>
      </c>
      <c r="G10713" s="13">
        <v>250000</v>
      </c>
      <c r="H10713" s="14">
        <v>248828150</v>
      </c>
      <c r="I10713" s="14" t="e">
        <f>=Round(6991.22990000,0)</f>
        <v>#VALUE!</v>
      </c>
      <c r="J10713" s="14" t="e">
        <f>=Round(0.00000000,0)</f>
        <v>#VALUE!</v>
      </c>
    </row>
    <row r="10714">
      <c r="A10714" s="11" t="s">
        <v>52</v>
      </c>
      <c r="B10714" s="12">
        <v>996.4765</v>
      </c>
      <c r="C10714" s="12">
        <v>0</v>
      </c>
      <c r="D10714" s="13">
        <v>0</v>
      </c>
      <c r="E10714" s="12">
        <v>0</v>
      </c>
      <c r="F10714" s="14">
        <v>0</v>
      </c>
      <c r="G10714" s="13">
        <v>250000</v>
      </c>
      <c r="H10714" s="14">
        <v>249119125</v>
      </c>
      <c r="I10714" s="14" t="e">
        <f>=Round(6880.16630000,0)</f>
        <v>#VALUE!</v>
      </c>
      <c r="J10714" s="14" t="e">
        <f>=Round(0.00000000,0)</f>
        <v>#VALUE!</v>
      </c>
    </row>
    <row r="10715">
      <c r="A10715" s="11" t="s">
        <v>53</v>
      </c>
      <c r="B10715" s="12">
        <v>980.4424</v>
      </c>
      <c r="C10715" s="12">
        <v>0</v>
      </c>
      <c r="D10715" s="13">
        <v>0</v>
      </c>
      <c r="E10715" s="12">
        <v>0</v>
      </c>
      <c r="F10715" s="14">
        <v>0</v>
      </c>
      <c r="G10715" s="13">
        <v>250000</v>
      </c>
      <c r="H10715" s="14">
        <v>245110600</v>
      </c>
      <c r="I10715" s="14" t="e">
        <f>=Round(6888.21190000,0)</f>
        <v>#VALUE!</v>
      </c>
      <c r="J10715" s="14" t="e">
        <f>=Round(0.00000000,0)</f>
        <v>#VALUE!</v>
      </c>
    </row>
    <row r="10716">
      <c r="A10716" s="11" t="s">
        <v>54</v>
      </c>
      <c r="B10716" s="12">
        <v>953.8409</v>
      </c>
      <c r="C10716" s="12">
        <v>0</v>
      </c>
      <c r="D10716" s="13">
        <v>0</v>
      </c>
      <c r="E10716" s="12">
        <v>0</v>
      </c>
      <c r="F10716" s="14">
        <v>0</v>
      </c>
      <c r="G10716" s="13">
        <v>250000</v>
      </c>
      <c r="H10716" s="14">
        <v>238460225</v>
      </c>
      <c r="I10716" s="14" t="e">
        <f>=Round(6777.37510000,0)</f>
        <v>#VALUE!</v>
      </c>
      <c r="J10716" s="14" t="e">
        <f>=Round(0.00000000,0)</f>
        <v>#VALUE!</v>
      </c>
    </row>
    <row r="10717">
      <c r="A10717" s="11" t="s">
        <v>55</v>
      </c>
      <c r="B10717" s="12">
        <v>944.2202</v>
      </c>
      <c r="C10717" s="12">
        <v>0</v>
      </c>
      <c r="D10717" s="13">
        <v>0</v>
      </c>
      <c r="E10717" s="12">
        <v>0</v>
      </c>
      <c r="F10717" s="14">
        <v>0</v>
      </c>
      <c r="G10717" s="13">
        <v>250000</v>
      </c>
      <c r="H10717" s="14">
        <v>236055050</v>
      </c>
      <c r="I10717" s="14" t="e">
        <f>=Round(6593.49040000,0)</f>
        <v>#VALUE!</v>
      </c>
      <c r="J10717" s="14" t="e">
        <f>=Round(0.00000000,0)</f>
        <v>#VALUE!</v>
      </c>
    </row>
    <row r="10718" ht="-1">
      <c r="A10718" s="15"/>
      <c r="B10718" s="16" t="s">
        <v>56</v>
      </c>
      <c r="C10718" s="15"/>
      <c r="D10718" s="15"/>
      <c r="E10718" s="15"/>
      <c r="F10718" s="15"/>
      <c r="G10718" s="15"/>
      <c r="H10718" s="15"/>
      <c r="I10718" s="17" t="e">
        <f>=Round(SUM(I10692:I10717),0)</f>
        <v>#VALUE!</v>
      </c>
      <c r="J10718" s="17" t="e">
        <f>=Round(SUM(J10692:J10717),0)</f>
        <v>#VALUE!</v>
      </c>
    </row>
    <row r="10719">
      <c r="A10719" s="1" t="s">
        <v>0</v>
      </c>
      <c r="B10719" s="1"/>
      <c r="C10719" s="1"/>
      <c r="D10719" s="1"/>
    </row>
    <row r="10720">
      <c r="A10720" s="0" t="s">
        <v>1</v>
      </c>
      <c r="C10720" s="0" t="s">
        <v>368</v>
      </c>
      <c r="H10720" s="2" t="s">
        <v>3</v>
      </c>
    </row>
    <row r="10721">
      <c r="A10721" s="0" t="s">
        <v>4</v>
      </c>
      <c r="C10721" s="0" t="s">
        <v>372</v>
      </c>
      <c r="H10721" s="3" t="s">
        <v>6</v>
      </c>
    </row>
    <row r="10722">
      <c r="A10722" s="0" t="s">
        <v>7</v>
      </c>
      <c r="C10722" s="4" t="s">
        <v>370</v>
      </c>
      <c r="H10722" s="2" t="s">
        <v>9</v>
      </c>
    </row>
    <row r="10723">
      <c r="A10723" s="0" t="s">
        <v>10</v>
      </c>
      <c r="C10723" s="4" t="s">
        <v>11</v>
      </c>
      <c r="H10723" s="2" t="s">
        <v>12</v>
      </c>
    </row>
    <row r="10724">
      <c r="A10724" s="0" t="s">
        <v>13</v>
      </c>
      <c r="C10724" s="0" t="s">
        <v>14</v>
      </c>
    </row>
    <row r="10725">
      <c r="A10725" s="0" t="s">
        <v>15</v>
      </c>
      <c r="C10725" s="0" t="s">
        <v>16</v>
      </c>
    </row>
    <row r="10726">
      <c r="A10726" s="0" t="s">
        <v>17</v>
      </c>
      <c r="C10726" s="0" t="s">
        <v>18</v>
      </c>
    </row>
    <row r="10729">
      <c r="A10729" s="5" t="s">
        <v>19</v>
      </c>
      <c r="B10729" s="5" t="s">
        <v>20</v>
      </c>
      <c r="C10729" s="7" t="s">
        <v>21</v>
      </c>
      <c r="D10729" s="9"/>
      <c r="E10729" s="7" t="s">
        <v>22</v>
      </c>
      <c r="F10729" s="9"/>
      <c r="G10729" s="5" t="s">
        <v>23</v>
      </c>
      <c r="H10729" s="5" t="s">
        <v>24</v>
      </c>
      <c r="I10729" s="5" t="s">
        <v>371</v>
      </c>
      <c r="J10729" s="5" t="s">
        <v>26</v>
      </c>
    </row>
    <row r="10730">
      <c r="A10730" s="6"/>
      <c r="B10730" s="6"/>
      <c r="C10730" s="8" t="s">
        <v>27</v>
      </c>
      <c r="D10730" s="8" t="s">
        <v>28</v>
      </c>
      <c r="E10730" s="8" t="s">
        <v>27</v>
      </c>
      <c r="F10730" s="8" t="s">
        <v>28</v>
      </c>
      <c r="G10730" s="6"/>
      <c r="H10730" s="6"/>
      <c r="I10730" s="10" t="s">
        <v>29</v>
      </c>
      <c r="J10730" s="6"/>
    </row>
    <row r="10731">
      <c r="A10731" s="11" t="s">
        <v>30</v>
      </c>
      <c r="B10731" s="12">
        <v>1005.2586</v>
      </c>
      <c r="C10731" s="12">
        <v>0</v>
      </c>
      <c r="D10731" s="13">
        <v>0</v>
      </c>
      <c r="E10731" s="12">
        <v>0</v>
      </c>
      <c r="F10731" s="14">
        <v>0</v>
      </c>
      <c r="G10731" s="13">
        <v>390762.4121</v>
      </c>
      <c r="H10731" s="14">
        <v>392817275.320269</v>
      </c>
      <c r="I10731" s="14" t="e">
        <f>=Round(10945.98470000,0)</f>
        <v>#VALUE!</v>
      </c>
      <c r="J10731" s="14" t="e">
        <f>=Round(0.00000000,0)</f>
        <v>#VALUE!</v>
      </c>
    </row>
    <row r="10732">
      <c r="A10732" s="11" t="s">
        <v>31</v>
      </c>
      <c r="B10732" s="12">
        <v>1018.8126</v>
      </c>
      <c r="C10732" s="12">
        <v>0</v>
      </c>
      <c r="D10732" s="13">
        <v>0</v>
      </c>
      <c r="E10732" s="12">
        <v>0</v>
      </c>
      <c r="F10732" s="14">
        <v>0</v>
      </c>
      <c r="G10732" s="13">
        <v>390762.4121</v>
      </c>
      <c r="H10732" s="14">
        <v>398113669.053872</v>
      </c>
      <c r="I10732" s="14" t="e">
        <f>=Round(10861.50500000,0)</f>
        <v>#VALUE!</v>
      </c>
      <c r="J10732" s="14" t="e">
        <f>=Round(0.00000000,0)</f>
        <v>#VALUE!</v>
      </c>
    </row>
    <row r="10733">
      <c r="A10733" s="11" t="s">
        <v>32</v>
      </c>
      <c r="B10733" s="12">
        <v>1030.4786</v>
      </c>
      <c r="C10733" s="12">
        <v>0</v>
      </c>
      <c r="D10733" s="13">
        <v>0</v>
      </c>
      <c r="E10733" s="12">
        <v>0</v>
      </c>
      <c r="F10733" s="14">
        <v>0</v>
      </c>
      <c r="G10733" s="13">
        <v>390762.4121</v>
      </c>
      <c r="H10733" s="14">
        <v>402672303.353431</v>
      </c>
      <c r="I10733" s="14" t="e">
        <f>=Round(11007.95170000,0)</f>
        <v>#VALUE!</v>
      </c>
      <c r="J10733" s="14" t="e">
        <f>=Round(0.00000000,0)</f>
        <v>#VALUE!</v>
      </c>
    </row>
    <row r="10734">
      <c r="A10734" s="11" t="s">
        <v>33</v>
      </c>
      <c r="B10734" s="12">
        <v>1030.4427</v>
      </c>
      <c r="C10734" s="12">
        <v>0</v>
      </c>
      <c r="D10734" s="13">
        <v>0</v>
      </c>
      <c r="E10734" s="12">
        <v>0</v>
      </c>
      <c r="F10734" s="14">
        <v>0</v>
      </c>
      <c r="G10734" s="13">
        <v>390762.4121</v>
      </c>
      <c r="H10734" s="14">
        <v>402658274.982837</v>
      </c>
      <c r="I10734" s="14" t="e">
        <f>=Round(11133.99920000,0)</f>
        <v>#VALUE!</v>
      </c>
      <c r="J10734" s="14" t="e">
        <f>=Round(0.00000000,0)</f>
        <v>#VALUE!</v>
      </c>
    </row>
    <row r="10735">
      <c r="A10735" s="11" t="s">
        <v>34</v>
      </c>
      <c r="B10735" s="12">
        <v>1031.1072</v>
      </c>
      <c r="C10735" s="12">
        <v>0</v>
      </c>
      <c r="D10735" s="13">
        <v>0</v>
      </c>
      <c r="E10735" s="12">
        <v>0</v>
      </c>
      <c r="F10735" s="14">
        <v>0</v>
      </c>
      <c r="G10735" s="13">
        <v>390762.4121</v>
      </c>
      <c r="H10735" s="14">
        <v>402917936.605677</v>
      </c>
      <c r="I10735" s="14" t="e">
        <f>=Round(11133.61130000,0)</f>
        <v>#VALUE!</v>
      </c>
      <c r="J10735" s="14" t="e">
        <f>=Round(0.00000000,0)</f>
        <v>#VALUE!</v>
      </c>
    </row>
    <row r="10736">
      <c r="A10736" s="11" t="s">
        <v>35</v>
      </c>
      <c r="B10736" s="12">
        <v>1031.1072</v>
      </c>
      <c r="C10736" s="12">
        <v>0</v>
      </c>
      <c r="D10736" s="13">
        <v>0</v>
      </c>
      <c r="E10736" s="12">
        <v>0</v>
      </c>
      <c r="F10736" s="14">
        <v>0</v>
      </c>
      <c r="G10736" s="13">
        <v>390762.4121</v>
      </c>
      <c r="H10736" s="14">
        <v>402917936.605677</v>
      </c>
      <c r="I10736" s="14" t="e">
        <f>=Round(11140.79100000,0)</f>
        <v>#VALUE!</v>
      </c>
      <c r="J10736" s="14" t="e">
        <f>=Round(0.00000000,0)</f>
        <v>#VALUE!</v>
      </c>
    </row>
    <row r="10737">
      <c r="A10737" s="11" t="s">
        <v>36</v>
      </c>
      <c r="B10737" s="12">
        <v>1031.1072</v>
      </c>
      <c r="C10737" s="12">
        <v>0</v>
      </c>
      <c r="D10737" s="13">
        <v>0</v>
      </c>
      <c r="E10737" s="12">
        <v>0</v>
      </c>
      <c r="F10737" s="14">
        <v>0</v>
      </c>
      <c r="G10737" s="13">
        <v>390762.4121</v>
      </c>
      <c r="H10737" s="14">
        <v>402917936.605677</v>
      </c>
      <c r="I10737" s="14" t="e">
        <f>=Round(11140.79100000,0)</f>
        <v>#VALUE!</v>
      </c>
      <c r="J10737" s="14" t="e">
        <f>=Round(0.00000000,0)</f>
        <v>#VALUE!</v>
      </c>
    </row>
    <row r="10738">
      <c r="A10738" s="11" t="s">
        <v>37</v>
      </c>
      <c r="B10738" s="12">
        <v>1025.3453</v>
      </c>
      <c r="C10738" s="12">
        <v>0</v>
      </c>
      <c r="D10738" s="13">
        <v>0</v>
      </c>
      <c r="E10738" s="12">
        <v>0</v>
      </c>
      <c r="F10738" s="14">
        <v>0</v>
      </c>
      <c r="G10738" s="13">
        <v>390762.4121</v>
      </c>
      <c r="H10738" s="14">
        <v>400666402.663398</v>
      </c>
      <c r="I10738" s="14" t="e">
        <f>=Round(11140.79100000,0)</f>
        <v>#VALUE!</v>
      </c>
      <c r="J10738" s="14" t="e">
        <f>=Round(0.00000000,0)</f>
        <v>#VALUE!</v>
      </c>
    </row>
    <row r="10739">
      <c r="A10739" s="11" t="s">
        <v>38</v>
      </c>
      <c r="B10739" s="12">
        <v>1022.7892</v>
      </c>
      <c r="C10739" s="12">
        <v>0</v>
      </c>
      <c r="D10739" s="13">
        <v>0</v>
      </c>
      <c r="E10739" s="12">
        <v>0</v>
      </c>
      <c r="F10739" s="14">
        <v>0</v>
      </c>
      <c r="G10739" s="13">
        <v>390762.4121</v>
      </c>
      <c r="H10739" s="14">
        <v>399667574.861829</v>
      </c>
      <c r="I10739" s="14" t="e">
        <f>=Round(11078.53550000,0)</f>
        <v>#VALUE!</v>
      </c>
      <c r="J10739" s="14" t="e">
        <f>=Round(0.00000000,0)</f>
        <v>#VALUE!</v>
      </c>
    </row>
    <row r="10740">
      <c r="A10740" s="11" t="s">
        <v>39</v>
      </c>
      <c r="B10740" s="12">
        <v>1015.9987</v>
      </c>
      <c r="C10740" s="12">
        <v>0</v>
      </c>
      <c r="D10740" s="13">
        <v>0</v>
      </c>
      <c r="E10740" s="12">
        <v>0</v>
      </c>
      <c r="F10740" s="14">
        <v>0</v>
      </c>
      <c r="G10740" s="13">
        <v>390762.4121</v>
      </c>
      <c r="H10740" s="14">
        <v>397014102.702464</v>
      </c>
      <c r="I10740" s="14" t="e">
        <f>=Round(11050.91760000,0)</f>
        <v>#VALUE!</v>
      </c>
      <c r="J10740" s="14" t="e">
        <f>=Round(0.00000000,0)</f>
        <v>#VALUE!</v>
      </c>
    </row>
    <row r="10741">
      <c r="A10741" s="11" t="s">
        <v>40</v>
      </c>
      <c r="B10741" s="12">
        <v>1011.1407</v>
      </c>
      <c r="C10741" s="12">
        <v>0</v>
      </c>
      <c r="D10741" s="13">
        <v>0</v>
      </c>
      <c r="E10741" s="12">
        <v>0</v>
      </c>
      <c r="F10741" s="14">
        <v>0</v>
      </c>
      <c r="G10741" s="13">
        <v>390762.4121</v>
      </c>
      <c r="H10741" s="14">
        <v>395115778.904482</v>
      </c>
      <c r="I10741" s="14" t="e">
        <f>=Round(10977.54840000,0)</f>
        <v>#VALUE!</v>
      </c>
      <c r="J10741" s="14" t="e">
        <f>=Round(0.00000000,0)</f>
        <v>#VALUE!</v>
      </c>
    </row>
    <row r="10742">
      <c r="A10742" s="11" t="s">
        <v>41</v>
      </c>
      <c r="B10742" s="12">
        <v>1008.6293</v>
      </c>
      <c r="C10742" s="12">
        <v>0</v>
      </c>
      <c r="D10742" s="13">
        <v>0</v>
      </c>
      <c r="E10742" s="12">
        <v>0</v>
      </c>
      <c r="F10742" s="14">
        <v>0</v>
      </c>
      <c r="G10742" s="13">
        <v>390762.4121</v>
      </c>
      <c r="H10742" s="14">
        <v>394134418.182735</v>
      </c>
      <c r="I10742" s="14" t="e">
        <f>=Round(10925.05920000,0)</f>
        <v>#VALUE!</v>
      </c>
      <c r="J10742" s="14" t="e">
        <f>=Round(0.00000000,0)</f>
        <v>#VALUE!</v>
      </c>
    </row>
    <row r="10743">
      <c r="A10743" s="11" t="s">
        <v>42</v>
      </c>
      <c r="B10743" s="12">
        <v>1008.6293</v>
      </c>
      <c r="C10743" s="12">
        <v>0</v>
      </c>
      <c r="D10743" s="13">
        <v>0</v>
      </c>
      <c r="E10743" s="12">
        <v>0</v>
      </c>
      <c r="F10743" s="14">
        <v>0</v>
      </c>
      <c r="G10743" s="13">
        <v>390762.4121</v>
      </c>
      <c r="H10743" s="14">
        <v>394134418.182735</v>
      </c>
      <c r="I10743" s="14" t="e">
        <f>=Round(10897.92430000,0)</f>
        <v>#VALUE!</v>
      </c>
      <c r="J10743" s="14" t="e">
        <f>=Round(0.00000000,0)</f>
        <v>#VALUE!</v>
      </c>
    </row>
    <row r="10744">
      <c r="A10744" s="11" t="s">
        <v>43</v>
      </c>
      <c r="B10744" s="12">
        <v>1008.6293</v>
      </c>
      <c r="C10744" s="12">
        <v>0</v>
      </c>
      <c r="D10744" s="13">
        <v>0</v>
      </c>
      <c r="E10744" s="12">
        <v>0</v>
      </c>
      <c r="F10744" s="14">
        <v>0</v>
      </c>
      <c r="G10744" s="13">
        <v>390762.4121</v>
      </c>
      <c r="H10744" s="14">
        <v>394134418.182735</v>
      </c>
      <c r="I10744" s="14" t="e">
        <f>=Round(10897.92430000,0)</f>
        <v>#VALUE!</v>
      </c>
      <c r="J10744" s="14" t="e">
        <f>=Round(0.00000000,0)</f>
        <v>#VALUE!</v>
      </c>
    </row>
    <row r="10745">
      <c r="A10745" s="11" t="s">
        <v>44</v>
      </c>
      <c r="B10745" s="12">
        <v>1006.9742</v>
      </c>
      <c r="C10745" s="12">
        <v>0</v>
      </c>
      <c r="D10745" s="13">
        <v>0</v>
      </c>
      <c r="E10745" s="12">
        <v>0</v>
      </c>
      <c r="F10745" s="14">
        <v>0</v>
      </c>
      <c r="G10745" s="13">
        <v>390762.4121</v>
      </c>
      <c r="H10745" s="14">
        <v>393487667.314468</v>
      </c>
      <c r="I10745" s="14" t="e">
        <f>=Round(10897.92430000,0)</f>
        <v>#VALUE!</v>
      </c>
      <c r="J10745" s="14" t="e">
        <f>=Round(0.00000000,0)</f>
        <v>#VALUE!</v>
      </c>
    </row>
    <row r="10746">
      <c r="A10746" s="11" t="s">
        <v>45</v>
      </c>
      <c r="B10746" s="12">
        <v>1005.4996</v>
      </c>
      <c r="C10746" s="12">
        <v>0</v>
      </c>
      <c r="D10746" s="13">
        <v>0</v>
      </c>
      <c r="E10746" s="12">
        <v>0</v>
      </c>
      <c r="F10746" s="14">
        <v>0</v>
      </c>
      <c r="G10746" s="13">
        <v>390762.4121</v>
      </c>
      <c r="H10746" s="14">
        <v>392911449.061585</v>
      </c>
      <c r="I10746" s="14" t="e">
        <f>=Round(10880.04150000,0)</f>
        <v>#VALUE!</v>
      </c>
      <c r="J10746" s="14" t="e">
        <f>=Round(0.00000000,0)</f>
        <v>#VALUE!</v>
      </c>
    </row>
    <row r="10747">
      <c r="A10747" s="11" t="s">
        <v>46</v>
      </c>
      <c r="B10747" s="12">
        <v>1014.8298</v>
      </c>
      <c r="C10747" s="12">
        <v>0</v>
      </c>
      <c r="D10747" s="13">
        <v>0</v>
      </c>
      <c r="E10747" s="12">
        <v>0</v>
      </c>
      <c r="F10747" s="14">
        <v>0</v>
      </c>
      <c r="G10747" s="13">
        <v>390762.4121</v>
      </c>
      <c r="H10747" s="14">
        <v>396557340.518961</v>
      </c>
      <c r="I10747" s="14" t="e">
        <f>=Round(10864.10890000,0)</f>
        <v>#VALUE!</v>
      </c>
      <c r="J10747" s="14" t="e">
        <f>=Round(0.00000000,0)</f>
        <v>#VALUE!</v>
      </c>
    </row>
    <row r="10748">
      <c r="A10748" s="11" t="s">
        <v>47</v>
      </c>
      <c r="B10748" s="12">
        <v>1018.9191</v>
      </c>
      <c r="C10748" s="12">
        <v>0</v>
      </c>
      <c r="D10748" s="13">
        <v>0</v>
      </c>
      <c r="E10748" s="12">
        <v>0</v>
      </c>
      <c r="F10748" s="14">
        <v>0</v>
      </c>
      <c r="G10748" s="13">
        <v>390762.4121</v>
      </c>
      <c r="H10748" s="14">
        <v>398155285.250761</v>
      </c>
      <c r="I10748" s="14" t="e">
        <f>=Round(10964.91880000,0)</f>
        <v>#VALUE!</v>
      </c>
      <c r="J10748" s="14" t="e">
        <f>=Round(0.00000000,0)</f>
        <v>#VALUE!</v>
      </c>
    </row>
    <row r="10749">
      <c r="A10749" s="11" t="s">
        <v>48</v>
      </c>
      <c r="B10749" s="12">
        <v>1011.3795</v>
      </c>
      <c r="C10749" s="12">
        <v>0</v>
      </c>
      <c r="D10749" s="13">
        <v>0</v>
      </c>
      <c r="E10749" s="12">
        <v>0</v>
      </c>
      <c r="F10749" s="14">
        <v>0</v>
      </c>
      <c r="G10749" s="13">
        <v>390762.4121</v>
      </c>
      <c r="H10749" s="14">
        <v>395209092.968492</v>
      </c>
      <c r="I10749" s="14" t="e">
        <f>=Round(11009.10240000,0)</f>
        <v>#VALUE!</v>
      </c>
      <c r="J10749" s="14" t="e">
        <f>=Round(0.00000000,0)</f>
        <v>#VALUE!</v>
      </c>
    </row>
    <row r="10750">
      <c r="A10750" s="11" t="s">
        <v>49</v>
      </c>
      <c r="B10750" s="12">
        <v>1011.3795</v>
      </c>
      <c r="C10750" s="12">
        <v>0</v>
      </c>
      <c r="D10750" s="13">
        <v>0</v>
      </c>
      <c r="E10750" s="12">
        <v>0</v>
      </c>
      <c r="F10750" s="14">
        <v>0</v>
      </c>
      <c r="G10750" s="13">
        <v>390762.4121</v>
      </c>
      <c r="H10750" s="14">
        <v>395209092.968492</v>
      </c>
      <c r="I10750" s="14" t="e">
        <f>=Round(10927.63940000,0)</f>
        <v>#VALUE!</v>
      </c>
      <c r="J10750" s="14" t="e">
        <f>=Round(0.00000000,0)</f>
        <v>#VALUE!</v>
      </c>
    </row>
    <row r="10751">
      <c r="A10751" s="11" t="s">
        <v>50</v>
      </c>
      <c r="B10751" s="12">
        <v>1011.3795</v>
      </c>
      <c r="C10751" s="12">
        <v>0</v>
      </c>
      <c r="D10751" s="13">
        <v>0</v>
      </c>
      <c r="E10751" s="12">
        <v>0</v>
      </c>
      <c r="F10751" s="14">
        <v>0</v>
      </c>
      <c r="G10751" s="13">
        <v>390762.4121</v>
      </c>
      <c r="H10751" s="14">
        <v>395209092.968492</v>
      </c>
      <c r="I10751" s="14" t="e">
        <f>=Round(10927.63940000,0)</f>
        <v>#VALUE!</v>
      </c>
      <c r="J10751" s="14" t="e">
        <f>=Round(0.00000000,0)</f>
        <v>#VALUE!</v>
      </c>
    </row>
    <row r="10752">
      <c r="A10752" s="11" t="s">
        <v>51</v>
      </c>
      <c r="B10752" s="12">
        <v>995.3126</v>
      </c>
      <c r="C10752" s="12">
        <v>0</v>
      </c>
      <c r="D10752" s="13">
        <v>0</v>
      </c>
      <c r="E10752" s="12">
        <v>0</v>
      </c>
      <c r="F10752" s="14">
        <v>0</v>
      </c>
      <c r="G10752" s="13">
        <v>390762.4121</v>
      </c>
      <c r="H10752" s="14">
        <v>388930752.369522</v>
      </c>
      <c r="I10752" s="14" t="e">
        <f>=Round(10927.63940000,0)</f>
        <v>#VALUE!</v>
      </c>
      <c r="J10752" s="14" t="e">
        <f>=Round(0.00000000,0)</f>
        <v>#VALUE!</v>
      </c>
    </row>
    <row r="10753">
      <c r="A10753" s="11" t="s">
        <v>52</v>
      </c>
      <c r="B10753" s="12">
        <v>996.4765</v>
      </c>
      <c r="C10753" s="12">
        <v>0</v>
      </c>
      <c r="D10753" s="13">
        <v>0</v>
      </c>
      <c r="E10753" s="12">
        <v>0</v>
      </c>
      <c r="F10753" s="14">
        <v>0</v>
      </c>
      <c r="G10753" s="13">
        <v>390762.4121</v>
      </c>
      <c r="H10753" s="14">
        <v>389385560.740966</v>
      </c>
      <c r="I10753" s="14" t="e">
        <f>=Round(10754.04160000,0)</f>
        <v>#VALUE!</v>
      </c>
      <c r="J10753" s="14" t="e">
        <f>=Round(0.00000000,0)</f>
        <v>#VALUE!</v>
      </c>
    </row>
    <row r="10754">
      <c r="A10754" s="11" t="s">
        <v>53</v>
      </c>
      <c r="B10754" s="12">
        <v>980.4424</v>
      </c>
      <c r="C10754" s="12">
        <v>0</v>
      </c>
      <c r="D10754" s="13">
        <v>0</v>
      </c>
      <c r="E10754" s="12">
        <v>0</v>
      </c>
      <c r="F10754" s="14">
        <v>0</v>
      </c>
      <c r="G10754" s="13">
        <v>390762.4121</v>
      </c>
      <c r="H10754" s="14">
        <v>383120037.149113</v>
      </c>
      <c r="I10754" s="14" t="e">
        <f>=Round(10766.61710000,0)</f>
        <v>#VALUE!</v>
      </c>
      <c r="J10754" s="14" t="e">
        <f>=Round(0.00000000,0)</f>
        <v>#VALUE!</v>
      </c>
    </row>
    <row r="10755">
      <c r="A10755" s="11" t="s">
        <v>54</v>
      </c>
      <c r="B10755" s="12">
        <v>953.8409</v>
      </c>
      <c r="C10755" s="12">
        <v>0</v>
      </c>
      <c r="D10755" s="13">
        <v>0</v>
      </c>
      <c r="E10755" s="12">
        <v>0</v>
      </c>
      <c r="F10755" s="14">
        <v>0</v>
      </c>
      <c r="G10755" s="13">
        <v>390762.4121</v>
      </c>
      <c r="H10755" s="14">
        <v>372725170.843635</v>
      </c>
      <c r="I10755" s="14" t="e">
        <f>=Round(10593.37370000,0)</f>
        <v>#VALUE!</v>
      </c>
      <c r="J10755" s="14" t="e">
        <f>=Round(0.00000000,0)</f>
        <v>#VALUE!</v>
      </c>
    </row>
    <row r="10756">
      <c r="A10756" s="11" t="s">
        <v>55</v>
      </c>
      <c r="B10756" s="12">
        <v>944.2202</v>
      </c>
      <c r="C10756" s="12">
        <v>0</v>
      </c>
      <c r="D10756" s="13">
        <v>0</v>
      </c>
      <c r="E10756" s="12">
        <v>0</v>
      </c>
      <c r="F10756" s="14">
        <v>0</v>
      </c>
      <c r="G10756" s="13">
        <v>390762.4121</v>
      </c>
      <c r="H10756" s="14">
        <v>368965762.905544</v>
      </c>
      <c r="I10756" s="14" t="e">
        <f>=Round(10305.95280000,0)</f>
        <v>#VALUE!</v>
      </c>
      <c r="J10756" s="14" t="e">
        <f>=Round(0.00000000,0)</f>
        <v>#VALUE!</v>
      </c>
    </row>
    <row r="10757" ht="-1">
      <c r="A10757" s="15"/>
      <c r="B10757" s="16" t="s">
        <v>56</v>
      </c>
      <c r="C10757" s="15"/>
      <c r="D10757" s="15"/>
      <c r="E10757" s="15"/>
      <c r="F10757" s="15"/>
      <c r="G10757" s="15"/>
      <c r="H10757" s="15"/>
      <c r="I10757" s="17" t="e">
        <f>=Round(SUM(I10731:I10756),0)</f>
        <v>#VALUE!</v>
      </c>
      <c r="J10757" s="17" t="e">
        <f>=Round(SUM(J10731:J10756),0)</f>
        <v>#VALUE!</v>
      </c>
    </row>
    <row r="10758">
      <c r="A10758" s="1" t="s">
        <v>0</v>
      </c>
      <c r="B10758" s="1"/>
      <c r="C10758" s="1"/>
      <c r="D10758" s="1"/>
    </row>
    <row r="10759">
      <c r="A10759" s="0" t="s">
        <v>1</v>
      </c>
      <c r="C10759" s="0" t="s">
        <v>368</v>
      </c>
      <c r="H10759" s="2" t="s">
        <v>3</v>
      </c>
    </row>
    <row r="10760">
      <c r="A10760" s="0" t="s">
        <v>4</v>
      </c>
      <c r="C10760" s="0" t="s">
        <v>117</v>
      </c>
      <c r="H10760" s="3" t="s">
        <v>6</v>
      </c>
    </row>
    <row r="10761">
      <c r="A10761" s="0" t="s">
        <v>7</v>
      </c>
      <c r="C10761" s="4" t="s">
        <v>370</v>
      </c>
      <c r="H10761" s="2" t="s">
        <v>9</v>
      </c>
    </row>
    <row r="10762">
      <c r="A10762" s="0" t="s">
        <v>10</v>
      </c>
      <c r="C10762" s="4" t="s">
        <v>11</v>
      </c>
      <c r="H10762" s="2" t="s">
        <v>12</v>
      </c>
    </row>
    <row r="10763">
      <c r="A10763" s="0" t="s">
        <v>13</v>
      </c>
      <c r="C10763" s="0" t="s">
        <v>14</v>
      </c>
    </row>
    <row r="10764">
      <c r="A10764" s="0" t="s">
        <v>15</v>
      </c>
      <c r="C10764" s="0" t="s">
        <v>16</v>
      </c>
    </row>
    <row r="10765">
      <c r="A10765" s="0" t="s">
        <v>17</v>
      </c>
      <c r="C10765" s="0" t="s">
        <v>18</v>
      </c>
    </row>
    <row r="10768">
      <c r="A10768" s="5" t="s">
        <v>19</v>
      </c>
      <c r="B10768" s="5" t="s">
        <v>20</v>
      </c>
      <c r="C10768" s="7" t="s">
        <v>21</v>
      </c>
      <c r="D10768" s="9"/>
      <c r="E10768" s="7" t="s">
        <v>22</v>
      </c>
      <c r="F10768" s="9"/>
      <c r="G10768" s="5" t="s">
        <v>23</v>
      </c>
      <c r="H10768" s="5" t="s">
        <v>24</v>
      </c>
      <c r="I10768" s="5" t="s">
        <v>371</v>
      </c>
      <c r="J10768" s="5" t="s">
        <v>26</v>
      </c>
    </row>
    <row r="10769">
      <c r="A10769" s="6"/>
      <c r="B10769" s="6"/>
      <c r="C10769" s="8" t="s">
        <v>27</v>
      </c>
      <c r="D10769" s="8" t="s">
        <v>28</v>
      </c>
      <c r="E10769" s="8" t="s">
        <v>27</v>
      </c>
      <c r="F10769" s="8" t="s">
        <v>28</v>
      </c>
      <c r="G10769" s="6"/>
      <c r="H10769" s="6"/>
      <c r="I10769" s="10" t="s">
        <v>29</v>
      </c>
      <c r="J10769" s="6"/>
    </row>
    <row r="10770">
      <c r="A10770" s="11" t="s">
        <v>30</v>
      </c>
      <c r="B10770" s="12">
        <v>1005.2586</v>
      </c>
      <c r="C10770" s="12">
        <v>0</v>
      </c>
      <c r="D10770" s="13">
        <v>0</v>
      </c>
      <c r="E10770" s="12">
        <v>0</v>
      </c>
      <c r="F10770" s="14">
        <v>0</v>
      </c>
      <c r="G10770" s="13">
        <v>5596910.51</v>
      </c>
      <c r="H10770" s="14">
        <v>5626342423.6078863</v>
      </c>
      <c r="I10770" s="14" t="e">
        <f>=Round(156779.91230000,0)</f>
        <v>#VALUE!</v>
      </c>
      <c r="J10770" s="14" t="e">
        <f>=Round(0.00000000,0)</f>
        <v>#VALUE!</v>
      </c>
    </row>
    <row r="10771">
      <c r="A10771" s="11" t="s">
        <v>31</v>
      </c>
      <c r="B10771" s="12">
        <v>1018.8126</v>
      </c>
      <c r="C10771" s="12">
        <v>0</v>
      </c>
      <c r="D10771" s="13">
        <v>0</v>
      </c>
      <c r="E10771" s="12">
        <v>0</v>
      </c>
      <c r="F10771" s="14">
        <v>0</v>
      </c>
      <c r="G10771" s="13">
        <v>5596910.51</v>
      </c>
      <c r="H10771" s="14">
        <v>5702202948.6604261</v>
      </c>
      <c r="I10771" s="14" t="e">
        <f>=Round(155569.90530000,0)</f>
        <v>#VALUE!</v>
      </c>
      <c r="J10771" s="14" t="e">
        <f>=Round(0.00000000,0)</f>
        <v>#VALUE!</v>
      </c>
    </row>
    <row r="10772">
      <c r="A10772" s="11" t="s">
        <v>32</v>
      </c>
      <c r="B10772" s="12">
        <v>1030.4786</v>
      </c>
      <c r="C10772" s="12">
        <v>0</v>
      </c>
      <c r="D10772" s="13">
        <v>0</v>
      </c>
      <c r="E10772" s="12">
        <v>0</v>
      </c>
      <c r="F10772" s="14">
        <v>0</v>
      </c>
      <c r="G10772" s="13">
        <v>5596910.51</v>
      </c>
      <c r="H10772" s="14">
        <v>5767496506.6700859</v>
      </c>
      <c r="I10772" s="14" t="e">
        <f>=Round(157667.46950000,0)</f>
        <v>#VALUE!</v>
      </c>
      <c r="J10772" s="14" t="e">
        <f>=Round(0.00000000,0)</f>
        <v>#VALUE!</v>
      </c>
    </row>
    <row r="10773">
      <c r="A10773" s="11" t="s">
        <v>33</v>
      </c>
      <c r="B10773" s="12">
        <v>1030.4427</v>
      </c>
      <c r="C10773" s="12">
        <v>0</v>
      </c>
      <c r="D10773" s="13">
        <v>0</v>
      </c>
      <c r="E10773" s="12">
        <v>0</v>
      </c>
      <c r="F10773" s="14">
        <v>0</v>
      </c>
      <c r="G10773" s="13">
        <v>5596910.51</v>
      </c>
      <c r="H10773" s="14">
        <v>5767295577.582777</v>
      </c>
      <c r="I10773" s="14" t="e">
        <f>=Round(159472.85420000,0)</f>
        <v>#VALUE!</v>
      </c>
      <c r="J10773" s="14" t="e">
        <f>=Round(0.00000000,0)</f>
        <v>#VALUE!</v>
      </c>
    </row>
    <row r="10774">
      <c r="A10774" s="11" t="s">
        <v>34</v>
      </c>
      <c r="B10774" s="12">
        <v>1031.1072</v>
      </c>
      <c r="C10774" s="12">
        <v>0</v>
      </c>
      <c r="D10774" s="13">
        <v>0</v>
      </c>
      <c r="E10774" s="12">
        <v>0</v>
      </c>
      <c r="F10774" s="14">
        <v>0</v>
      </c>
      <c r="G10774" s="13">
        <v>5596910.51</v>
      </c>
      <c r="H10774" s="14">
        <v>5771014724.6166716</v>
      </c>
      <c r="I10774" s="14" t="e">
        <f>=Round(159467.29850000,0)</f>
        <v>#VALUE!</v>
      </c>
      <c r="J10774" s="14" t="e">
        <f>=Round(0.00000000,0)</f>
        <v>#VALUE!</v>
      </c>
    </row>
    <row r="10775">
      <c r="A10775" s="11" t="s">
        <v>35</v>
      </c>
      <c r="B10775" s="12">
        <v>1031.1072</v>
      </c>
      <c r="C10775" s="12">
        <v>0</v>
      </c>
      <c r="D10775" s="13">
        <v>0</v>
      </c>
      <c r="E10775" s="12">
        <v>0</v>
      </c>
      <c r="F10775" s="14">
        <v>0</v>
      </c>
      <c r="G10775" s="13">
        <v>5596910.51</v>
      </c>
      <c r="H10775" s="14">
        <v>5771014724.6166716</v>
      </c>
      <c r="I10775" s="14" t="e">
        <f>=Round(159570.13390000,0)</f>
        <v>#VALUE!</v>
      </c>
      <c r="J10775" s="14" t="e">
        <f>=Round(0.00000000,0)</f>
        <v>#VALUE!</v>
      </c>
    </row>
    <row r="10776">
      <c r="A10776" s="11" t="s">
        <v>36</v>
      </c>
      <c r="B10776" s="12">
        <v>1031.1072</v>
      </c>
      <c r="C10776" s="12">
        <v>0</v>
      </c>
      <c r="D10776" s="13">
        <v>0</v>
      </c>
      <c r="E10776" s="12">
        <v>0</v>
      </c>
      <c r="F10776" s="14">
        <v>0</v>
      </c>
      <c r="G10776" s="13">
        <v>5596910.51</v>
      </c>
      <c r="H10776" s="14">
        <v>5771014724.6166716</v>
      </c>
      <c r="I10776" s="14" t="e">
        <f>=Round(159570.13390000,0)</f>
        <v>#VALUE!</v>
      </c>
      <c r="J10776" s="14" t="e">
        <f>=Round(0.00000000,0)</f>
        <v>#VALUE!</v>
      </c>
    </row>
    <row r="10777">
      <c r="A10777" s="11" t="s">
        <v>37</v>
      </c>
      <c r="B10777" s="12">
        <v>1025.3453</v>
      </c>
      <c r="C10777" s="12">
        <v>0</v>
      </c>
      <c r="D10777" s="13">
        <v>0</v>
      </c>
      <c r="E10777" s="12">
        <v>0</v>
      </c>
      <c r="F10777" s="14">
        <v>0</v>
      </c>
      <c r="G10777" s="13">
        <v>5596910.51</v>
      </c>
      <c r="H10777" s="14">
        <v>5738765885.9491034</v>
      </c>
      <c r="I10777" s="14" t="e">
        <f>=Round(159570.13390000,0)</f>
        <v>#VALUE!</v>
      </c>
      <c r="J10777" s="14" t="e">
        <f>=Round(0.00000000,0)</f>
        <v>#VALUE!</v>
      </c>
    </row>
    <row r="10778">
      <c r="A10778" s="11" t="s">
        <v>38</v>
      </c>
      <c r="B10778" s="12">
        <v>1022.7892</v>
      </c>
      <c r="C10778" s="12">
        <v>0</v>
      </c>
      <c r="D10778" s="13">
        <v>0</v>
      </c>
      <c r="E10778" s="12">
        <v>0</v>
      </c>
      <c r="F10778" s="14">
        <v>0</v>
      </c>
      <c r="G10778" s="13">
        <v>5596910.51</v>
      </c>
      <c r="H10778" s="14">
        <v>5724459622.9944916</v>
      </c>
      <c r="I10778" s="14" t="e">
        <f>=Round(158678.44470000,0)</f>
        <v>#VALUE!</v>
      </c>
      <c r="J10778" s="14" t="e">
        <f>=Round(0.00000000,0)</f>
        <v>#VALUE!</v>
      </c>
    </row>
    <row r="10779">
      <c r="A10779" s="11" t="s">
        <v>39</v>
      </c>
      <c r="B10779" s="12">
        <v>1015.9987</v>
      </c>
      <c r="C10779" s="12">
        <v>0</v>
      </c>
      <c r="D10779" s="13">
        <v>0</v>
      </c>
      <c r="E10779" s="12">
        <v>0</v>
      </c>
      <c r="F10779" s="14">
        <v>0</v>
      </c>
      <c r="G10779" s="13">
        <v>5596910.51</v>
      </c>
      <c r="H10779" s="14">
        <v>5686453802.1763372</v>
      </c>
      <c r="I10779" s="14" t="e">
        <f>=Round(158282.87260000,0)</f>
        <v>#VALUE!</v>
      </c>
      <c r="J10779" s="14" t="e">
        <f>=Round(0.00000000,0)</f>
        <v>#VALUE!</v>
      </c>
    </row>
    <row r="10780">
      <c r="A10780" s="11" t="s">
        <v>40</v>
      </c>
      <c r="B10780" s="12">
        <v>1011.1407</v>
      </c>
      <c r="C10780" s="12">
        <v>0</v>
      </c>
      <c r="D10780" s="13">
        <v>0</v>
      </c>
      <c r="E10780" s="12">
        <v>0</v>
      </c>
      <c r="F10780" s="14">
        <v>0</v>
      </c>
      <c r="G10780" s="13">
        <v>5596910.51</v>
      </c>
      <c r="H10780" s="14">
        <v>5659264010.9187574</v>
      </c>
      <c r="I10780" s="14" t="e">
        <f>=Round(157232.00130000,0)</f>
        <v>#VALUE!</v>
      </c>
      <c r="J10780" s="14" t="e">
        <f>=Round(0.00000000,0)</f>
        <v>#VALUE!</v>
      </c>
    </row>
    <row r="10781">
      <c r="A10781" s="11" t="s">
        <v>41</v>
      </c>
      <c r="B10781" s="12">
        <v>1008.6293</v>
      </c>
      <c r="C10781" s="12">
        <v>0</v>
      </c>
      <c r="D10781" s="13">
        <v>0</v>
      </c>
      <c r="E10781" s="12">
        <v>0</v>
      </c>
      <c r="F10781" s="14">
        <v>0</v>
      </c>
      <c r="G10781" s="13">
        <v>5596910.51</v>
      </c>
      <c r="H10781" s="14">
        <v>5645207929.8639431</v>
      </c>
      <c r="I10781" s="14" t="e">
        <f>=Round(156480.19610000,0)</f>
        <v>#VALUE!</v>
      </c>
      <c r="J10781" s="14" t="e">
        <f>=Round(0.00000000,0)</f>
        <v>#VALUE!</v>
      </c>
    </row>
    <row r="10782">
      <c r="A10782" s="11" t="s">
        <v>42</v>
      </c>
      <c r="B10782" s="12">
        <v>1008.6293</v>
      </c>
      <c r="C10782" s="12">
        <v>0</v>
      </c>
      <c r="D10782" s="13">
        <v>0</v>
      </c>
      <c r="E10782" s="12">
        <v>0</v>
      </c>
      <c r="F10782" s="14">
        <v>0</v>
      </c>
      <c r="G10782" s="13">
        <v>5596910.51</v>
      </c>
      <c r="H10782" s="14">
        <v>5645207929.8639431</v>
      </c>
      <c r="I10782" s="14" t="e">
        <f>=Round(156091.54170000,0)</f>
        <v>#VALUE!</v>
      </c>
      <c r="J10782" s="14" t="e">
        <f>=Round(0.00000000,0)</f>
        <v>#VALUE!</v>
      </c>
    </row>
    <row r="10783">
      <c r="A10783" s="11" t="s">
        <v>43</v>
      </c>
      <c r="B10783" s="12">
        <v>1008.6293</v>
      </c>
      <c r="C10783" s="12">
        <v>0</v>
      </c>
      <c r="D10783" s="13">
        <v>0</v>
      </c>
      <c r="E10783" s="12">
        <v>0</v>
      </c>
      <c r="F10783" s="14">
        <v>0</v>
      </c>
      <c r="G10783" s="13">
        <v>5596910.51</v>
      </c>
      <c r="H10783" s="14">
        <v>5645207929.8639431</v>
      </c>
      <c r="I10783" s="14" t="e">
        <f>=Round(156091.54170000,0)</f>
        <v>#VALUE!</v>
      </c>
      <c r="J10783" s="14" t="e">
        <f>=Round(0.00000000,0)</f>
        <v>#VALUE!</v>
      </c>
    </row>
    <row r="10784">
      <c r="A10784" s="11" t="s">
        <v>44</v>
      </c>
      <c r="B10784" s="12">
        <v>1006.9742</v>
      </c>
      <c r="C10784" s="12">
        <v>0</v>
      </c>
      <c r="D10784" s="13">
        <v>0</v>
      </c>
      <c r="E10784" s="12">
        <v>0</v>
      </c>
      <c r="F10784" s="14">
        <v>0</v>
      </c>
      <c r="G10784" s="13">
        <v>5596910.51</v>
      </c>
      <c r="H10784" s="14">
        <v>5635944483.278842</v>
      </c>
      <c r="I10784" s="14" t="e">
        <f>=Round(156091.54170000,0)</f>
        <v>#VALUE!</v>
      </c>
      <c r="J10784" s="14" t="e">
        <f>=Round(0.00000000,0)</f>
        <v>#VALUE!</v>
      </c>
    </row>
    <row r="10785">
      <c r="A10785" s="11" t="s">
        <v>45</v>
      </c>
      <c r="B10785" s="12">
        <v>1005.4996</v>
      </c>
      <c r="C10785" s="12">
        <v>0</v>
      </c>
      <c r="D10785" s="13">
        <v>0</v>
      </c>
      <c r="E10785" s="12">
        <v>0</v>
      </c>
      <c r="F10785" s="14">
        <v>0</v>
      </c>
      <c r="G10785" s="13">
        <v>5596910.51</v>
      </c>
      <c r="H10785" s="14">
        <v>5627691279.0407963</v>
      </c>
      <c r="I10785" s="14" t="e">
        <f>=Round(155835.40480000,0)</f>
        <v>#VALUE!</v>
      </c>
      <c r="J10785" s="14" t="e">
        <f>=Round(0.00000000,0)</f>
        <v>#VALUE!</v>
      </c>
    </row>
    <row r="10786">
      <c r="A10786" s="11" t="s">
        <v>46</v>
      </c>
      <c r="B10786" s="12">
        <v>1014.8298</v>
      </c>
      <c r="C10786" s="12">
        <v>0</v>
      </c>
      <c r="D10786" s="13">
        <v>0</v>
      </c>
      <c r="E10786" s="12">
        <v>0</v>
      </c>
      <c r="F10786" s="14">
        <v>0</v>
      </c>
      <c r="G10786" s="13">
        <v>5596910.51</v>
      </c>
      <c r="H10786" s="14">
        <v>5679911573.4811983</v>
      </c>
      <c r="I10786" s="14" t="e">
        <f>=Round(155607.20150000,0)</f>
        <v>#VALUE!</v>
      </c>
      <c r="J10786" s="14" t="e">
        <f>=Round(0.00000000,0)</f>
        <v>#VALUE!</v>
      </c>
    </row>
    <row r="10787">
      <c r="A10787" s="11" t="s">
        <v>47</v>
      </c>
      <c r="B10787" s="12">
        <v>1018.9191</v>
      </c>
      <c r="C10787" s="12">
        <v>0</v>
      </c>
      <c r="D10787" s="13">
        <v>0</v>
      </c>
      <c r="E10787" s="12">
        <v>0</v>
      </c>
      <c r="F10787" s="14">
        <v>0</v>
      </c>
      <c r="G10787" s="13">
        <v>5596910.51</v>
      </c>
      <c r="H10787" s="14">
        <v>5702799019.6297407</v>
      </c>
      <c r="I10787" s="14" t="e">
        <f>=Round(157051.10690000,0)</f>
        <v>#VALUE!</v>
      </c>
      <c r="J10787" s="14" t="e">
        <f>=Round(0.00000000,0)</f>
        <v>#VALUE!</v>
      </c>
    </row>
    <row r="10788">
      <c r="A10788" s="11" t="s">
        <v>48</v>
      </c>
      <c r="B10788" s="12">
        <v>1011.3795</v>
      </c>
      <c r="C10788" s="12">
        <v>0</v>
      </c>
      <c r="D10788" s="13">
        <v>0</v>
      </c>
      <c r="E10788" s="12">
        <v>0</v>
      </c>
      <c r="F10788" s="14">
        <v>0</v>
      </c>
      <c r="G10788" s="13">
        <v>5596910.51</v>
      </c>
      <c r="H10788" s="14">
        <v>5660600553.1485453</v>
      </c>
      <c r="I10788" s="14" t="e">
        <f>=Round(157683.95100000,0)</f>
        <v>#VALUE!</v>
      </c>
      <c r="J10788" s="14" t="e">
        <f>=Round(0.00000000,0)</f>
        <v>#VALUE!</v>
      </c>
    </row>
    <row r="10789">
      <c r="A10789" s="11" t="s">
        <v>49</v>
      </c>
      <c r="B10789" s="12">
        <v>1011.3795</v>
      </c>
      <c r="C10789" s="12">
        <v>0</v>
      </c>
      <c r="D10789" s="13">
        <v>0</v>
      </c>
      <c r="E10789" s="12">
        <v>0</v>
      </c>
      <c r="F10789" s="14">
        <v>0</v>
      </c>
      <c r="G10789" s="13">
        <v>5596910.51</v>
      </c>
      <c r="H10789" s="14">
        <v>5660600553.1485453</v>
      </c>
      <c r="I10789" s="14" t="e">
        <f>=Round(156517.15190000,0)</f>
        <v>#VALUE!</v>
      </c>
      <c r="J10789" s="14" t="e">
        <f>=Round(0.00000000,0)</f>
        <v>#VALUE!</v>
      </c>
    </row>
    <row r="10790">
      <c r="A10790" s="11" t="s">
        <v>50</v>
      </c>
      <c r="B10790" s="12">
        <v>1011.3795</v>
      </c>
      <c r="C10790" s="12">
        <v>0</v>
      </c>
      <c r="D10790" s="13">
        <v>0</v>
      </c>
      <c r="E10790" s="12">
        <v>0</v>
      </c>
      <c r="F10790" s="14">
        <v>0</v>
      </c>
      <c r="G10790" s="13">
        <v>5596910.51</v>
      </c>
      <c r="H10790" s="14">
        <v>5660600553.1485453</v>
      </c>
      <c r="I10790" s="14" t="e">
        <f>=Round(156517.15190000,0)</f>
        <v>#VALUE!</v>
      </c>
      <c r="J10790" s="14" t="e">
        <f>=Round(0.00000000,0)</f>
        <v>#VALUE!</v>
      </c>
    </row>
    <row r="10791">
      <c r="A10791" s="11" t="s">
        <v>51</v>
      </c>
      <c r="B10791" s="12">
        <v>995.3126</v>
      </c>
      <c r="C10791" s="12">
        <v>0</v>
      </c>
      <c r="D10791" s="13">
        <v>0</v>
      </c>
      <c r="E10791" s="12">
        <v>0</v>
      </c>
      <c r="F10791" s="14">
        <v>0</v>
      </c>
      <c r="G10791" s="13">
        <v>5596910.51</v>
      </c>
      <c r="H10791" s="14">
        <v>5570675551.6754255</v>
      </c>
      <c r="I10791" s="14" t="e">
        <f>=Round(156517.15190000,0)</f>
        <v>#VALUE!</v>
      </c>
      <c r="J10791" s="14" t="e">
        <f>=Round(0.00000000,0)</f>
        <v>#VALUE!</v>
      </c>
    </row>
    <row r="10792">
      <c r="A10792" s="11" t="s">
        <v>52</v>
      </c>
      <c r="B10792" s="12">
        <v>996.4765</v>
      </c>
      <c r="C10792" s="12">
        <v>0</v>
      </c>
      <c r="D10792" s="13">
        <v>0</v>
      </c>
      <c r="E10792" s="12">
        <v>0</v>
      </c>
      <c r="F10792" s="14">
        <v>0</v>
      </c>
      <c r="G10792" s="13">
        <v>5596910.51</v>
      </c>
      <c r="H10792" s="14">
        <v>5577189795.8180151</v>
      </c>
      <c r="I10792" s="14" t="e">
        <f>=Round(154030.70100000,0)</f>
        <v>#VALUE!</v>
      </c>
      <c r="J10792" s="14" t="e">
        <f>=Round(0.00000000,0)</f>
        <v>#VALUE!</v>
      </c>
    </row>
    <row r="10793">
      <c r="A10793" s="11" t="s">
        <v>53</v>
      </c>
      <c r="B10793" s="12">
        <v>980.4424</v>
      </c>
      <c r="C10793" s="12">
        <v>0</v>
      </c>
      <c r="D10793" s="13">
        <v>0</v>
      </c>
      <c r="E10793" s="12">
        <v>0</v>
      </c>
      <c r="F10793" s="14">
        <v>0</v>
      </c>
      <c r="G10793" s="13">
        <v>5596910.51</v>
      </c>
      <c r="H10793" s="14">
        <v>5487448373.0096235</v>
      </c>
      <c r="I10793" s="14" t="e">
        <f>=Round(154210.82170000,0)</f>
        <v>#VALUE!</v>
      </c>
      <c r="J10793" s="14" t="e">
        <f>=Round(0.00000000,0)</f>
        <v>#VALUE!</v>
      </c>
    </row>
    <row r="10794">
      <c r="A10794" s="11" t="s">
        <v>54</v>
      </c>
      <c r="B10794" s="12">
        <v>953.8409</v>
      </c>
      <c r="C10794" s="12">
        <v>0</v>
      </c>
      <c r="D10794" s="13">
        <v>0</v>
      </c>
      <c r="E10794" s="12">
        <v>0</v>
      </c>
      <c r="F10794" s="14">
        <v>0</v>
      </c>
      <c r="G10794" s="13">
        <v>5596910.51</v>
      </c>
      <c r="H10794" s="14">
        <v>5338562158.0778589</v>
      </c>
      <c r="I10794" s="14" t="e">
        <f>=Round(151729.44680000,0)</f>
        <v>#VALUE!</v>
      </c>
      <c r="J10794" s="14" t="e">
        <f>=Round(0.00000000,0)</f>
        <v>#VALUE!</v>
      </c>
    </row>
    <row r="10795">
      <c r="A10795" s="11" t="s">
        <v>55</v>
      </c>
      <c r="B10795" s="12">
        <v>944.2202</v>
      </c>
      <c r="C10795" s="12">
        <v>0</v>
      </c>
      <c r="D10795" s="13">
        <v>0</v>
      </c>
      <c r="E10795" s="12">
        <v>0</v>
      </c>
      <c r="F10795" s="14">
        <v>0</v>
      </c>
      <c r="G10795" s="13">
        <v>5596910.51</v>
      </c>
      <c r="H10795" s="14">
        <v>5284715961.1343021</v>
      </c>
      <c r="I10795" s="14" t="e">
        <f>=Round(147612.70230000,0)</f>
        <v>#VALUE!</v>
      </c>
      <c r="J10795" s="14" t="e">
        <f>=Round(0.00000000,0)</f>
        <v>#VALUE!</v>
      </c>
    </row>
    <row r="10796" ht="-1">
      <c r="A10796" s="15"/>
      <c r="B10796" s="16" t="s">
        <v>56</v>
      </c>
      <c r="C10796" s="15"/>
      <c r="D10796" s="15"/>
      <c r="E10796" s="15"/>
      <c r="F10796" s="15"/>
      <c r="G10796" s="15"/>
      <c r="H10796" s="15"/>
      <c r="I10796" s="17" t="e">
        <f>=Round(SUM(I10770:I10795),0)</f>
        <v>#VALUE!</v>
      </c>
      <c r="J10796" s="17" t="e">
        <f>=Round(SUM(J10770:J10795),0)</f>
        <v>#VALUE!</v>
      </c>
    </row>
    <row r="10797">
      <c r="A10797" s="1" t="s">
        <v>0</v>
      </c>
      <c r="B10797" s="1"/>
      <c r="C10797" s="1"/>
      <c r="D10797" s="1"/>
    </row>
    <row r="10798">
      <c r="A10798" s="0" t="s">
        <v>1</v>
      </c>
      <c r="C10798" s="0" t="s">
        <v>368</v>
      </c>
      <c r="H10798" s="2" t="s">
        <v>3</v>
      </c>
    </row>
    <row r="10799">
      <c r="A10799" s="0" t="s">
        <v>4</v>
      </c>
      <c r="C10799" s="0" t="s">
        <v>122</v>
      </c>
      <c r="H10799" s="3" t="s">
        <v>6</v>
      </c>
    </row>
    <row r="10800">
      <c r="A10800" s="0" t="s">
        <v>7</v>
      </c>
      <c r="C10800" s="4" t="s">
        <v>370</v>
      </c>
      <c r="H10800" s="2" t="s">
        <v>9</v>
      </c>
    </row>
    <row r="10801">
      <c r="A10801" s="0" t="s">
        <v>10</v>
      </c>
      <c r="C10801" s="4" t="s">
        <v>11</v>
      </c>
      <c r="H10801" s="2" t="s">
        <v>12</v>
      </c>
    </row>
    <row r="10802">
      <c r="A10802" s="0" t="s">
        <v>13</v>
      </c>
      <c r="C10802" s="0" t="s">
        <v>14</v>
      </c>
    </row>
    <row r="10803">
      <c r="A10803" s="0" t="s">
        <v>15</v>
      </c>
      <c r="C10803" s="0" t="s">
        <v>16</v>
      </c>
    </row>
    <row r="10804">
      <c r="A10804" s="0" t="s">
        <v>17</v>
      </c>
      <c r="C10804" s="0" t="s">
        <v>18</v>
      </c>
    </row>
    <row r="10807">
      <c r="A10807" s="5" t="s">
        <v>19</v>
      </c>
      <c r="B10807" s="5" t="s">
        <v>20</v>
      </c>
      <c r="C10807" s="7" t="s">
        <v>21</v>
      </c>
      <c r="D10807" s="9"/>
      <c r="E10807" s="7" t="s">
        <v>22</v>
      </c>
      <c r="F10807" s="9"/>
      <c r="G10807" s="5" t="s">
        <v>23</v>
      </c>
      <c r="H10807" s="5" t="s">
        <v>24</v>
      </c>
      <c r="I10807" s="5" t="s">
        <v>371</v>
      </c>
      <c r="J10807" s="5" t="s">
        <v>26</v>
      </c>
    </row>
    <row r="10808">
      <c r="A10808" s="6"/>
      <c r="B10808" s="6"/>
      <c r="C10808" s="8" t="s">
        <v>27</v>
      </c>
      <c r="D10808" s="8" t="s">
        <v>28</v>
      </c>
      <c r="E10808" s="8" t="s">
        <v>27</v>
      </c>
      <c r="F10808" s="8" t="s">
        <v>28</v>
      </c>
      <c r="G10808" s="6"/>
      <c r="H10808" s="6"/>
      <c r="I10808" s="10" t="s">
        <v>29</v>
      </c>
      <c r="J10808" s="6"/>
    </row>
    <row r="10809">
      <c r="A10809" s="11" t="s">
        <v>30</v>
      </c>
      <c r="B10809" s="12">
        <v>1005.2586</v>
      </c>
      <c r="C10809" s="12">
        <v>0</v>
      </c>
      <c r="D10809" s="13">
        <v>0</v>
      </c>
      <c r="E10809" s="12">
        <v>0</v>
      </c>
      <c r="F10809" s="14">
        <v>0</v>
      </c>
      <c r="G10809" s="13">
        <v>100000000</v>
      </c>
      <c r="H10809" s="14">
        <v>100525860000</v>
      </c>
      <c r="I10809" s="14" t="e">
        <f>=Round(2801186.69070000,0)</f>
        <v>#VALUE!</v>
      </c>
      <c r="J10809" s="14" t="e">
        <f>=Round(0.00000000,0)</f>
        <v>#VALUE!</v>
      </c>
    </row>
    <row r="10810">
      <c r="A10810" s="11" t="s">
        <v>31</v>
      </c>
      <c r="B10810" s="12">
        <v>1018.8126</v>
      </c>
      <c r="C10810" s="12">
        <v>0</v>
      </c>
      <c r="D10810" s="13">
        <v>0</v>
      </c>
      <c r="E10810" s="12">
        <v>0</v>
      </c>
      <c r="F10810" s="14">
        <v>0</v>
      </c>
      <c r="G10810" s="13">
        <v>100000000</v>
      </c>
      <c r="H10810" s="14">
        <v>101881260000</v>
      </c>
      <c r="I10810" s="14" t="e">
        <f>=Round(2779567.49510000,0)</f>
        <v>#VALUE!</v>
      </c>
      <c r="J10810" s="14" t="e">
        <f>=Round(0.00000000,0)</f>
        <v>#VALUE!</v>
      </c>
    </row>
    <row r="10811">
      <c r="A10811" s="11" t="s">
        <v>32</v>
      </c>
      <c r="B10811" s="12">
        <v>1030.4786</v>
      </c>
      <c r="C10811" s="12">
        <v>0</v>
      </c>
      <c r="D10811" s="13">
        <v>0</v>
      </c>
      <c r="E10811" s="12">
        <v>0</v>
      </c>
      <c r="F10811" s="14">
        <v>0</v>
      </c>
      <c r="G10811" s="13">
        <v>100000000</v>
      </c>
      <c r="H10811" s="14">
        <v>103047860000</v>
      </c>
      <c r="I10811" s="14" t="e">
        <f>=Round(2817044.67540000,0)</f>
        <v>#VALUE!</v>
      </c>
      <c r="J10811" s="14" t="e">
        <f>=Round(0.00000000,0)</f>
        <v>#VALUE!</v>
      </c>
    </row>
    <row r="10812">
      <c r="A10812" s="11" t="s">
        <v>33</v>
      </c>
      <c r="B10812" s="12">
        <v>1030.4427</v>
      </c>
      <c r="C10812" s="12">
        <v>0</v>
      </c>
      <c r="D10812" s="13">
        <v>0</v>
      </c>
      <c r="E10812" s="12">
        <v>0</v>
      </c>
      <c r="F10812" s="14">
        <v>0</v>
      </c>
      <c r="G10812" s="13">
        <v>100000000</v>
      </c>
      <c r="H10812" s="14">
        <v>103044270000</v>
      </c>
      <c r="I10812" s="14" t="e">
        <f>=Round(2849301.48420000,0)</f>
        <v>#VALUE!</v>
      </c>
      <c r="J10812" s="14" t="e">
        <f>=Round(0.00000000,0)</f>
        <v>#VALUE!</v>
      </c>
    </row>
    <row r="10813">
      <c r="A10813" s="11" t="s">
        <v>34</v>
      </c>
      <c r="B10813" s="12">
        <v>1031.1072</v>
      </c>
      <c r="C10813" s="12">
        <v>0</v>
      </c>
      <c r="D10813" s="13">
        <v>0</v>
      </c>
      <c r="E10813" s="12">
        <v>0</v>
      </c>
      <c r="F10813" s="14">
        <v>0</v>
      </c>
      <c r="G10813" s="13">
        <v>100000000</v>
      </c>
      <c r="H10813" s="14">
        <v>103110720000</v>
      </c>
      <c r="I10813" s="14" t="e">
        <f>=Round(2849202.21970000,0)</f>
        <v>#VALUE!</v>
      </c>
      <c r="J10813" s="14" t="e">
        <f>=Round(0.00000000,0)</f>
        <v>#VALUE!</v>
      </c>
    </row>
    <row r="10814">
      <c r="A10814" s="11" t="s">
        <v>35</v>
      </c>
      <c r="B10814" s="12">
        <v>1031.1072</v>
      </c>
      <c r="C10814" s="12">
        <v>0</v>
      </c>
      <c r="D10814" s="13">
        <v>0</v>
      </c>
      <c r="E10814" s="12">
        <v>0</v>
      </c>
      <c r="F10814" s="14">
        <v>0</v>
      </c>
      <c r="G10814" s="13">
        <v>100000000</v>
      </c>
      <c r="H10814" s="14">
        <v>103110720000</v>
      </c>
      <c r="I10814" s="14" t="e">
        <f>=Round(2851039.58030000,0)</f>
        <v>#VALUE!</v>
      </c>
      <c r="J10814" s="14" t="e">
        <f>=Round(0.00000000,0)</f>
        <v>#VALUE!</v>
      </c>
    </row>
    <row r="10815">
      <c r="A10815" s="11" t="s">
        <v>36</v>
      </c>
      <c r="B10815" s="12">
        <v>1031.1072</v>
      </c>
      <c r="C10815" s="12">
        <v>0</v>
      </c>
      <c r="D10815" s="13">
        <v>0</v>
      </c>
      <c r="E10815" s="12">
        <v>0</v>
      </c>
      <c r="F10815" s="14">
        <v>0</v>
      </c>
      <c r="G10815" s="13">
        <v>100000000</v>
      </c>
      <c r="H10815" s="14">
        <v>103110720000</v>
      </c>
      <c r="I10815" s="14" t="e">
        <f>=Round(2851039.58030000,0)</f>
        <v>#VALUE!</v>
      </c>
      <c r="J10815" s="14" t="e">
        <f>=Round(0.00000000,0)</f>
        <v>#VALUE!</v>
      </c>
    </row>
    <row r="10816">
      <c r="A10816" s="11" t="s">
        <v>37</v>
      </c>
      <c r="B10816" s="12">
        <v>1025.3453</v>
      </c>
      <c r="C10816" s="12">
        <v>0</v>
      </c>
      <c r="D10816" s="13">
        <v>0</v>
      </c>
      <c r="E10816" s="12">
        <v>0</v>
      </c>
      <c r="F10816" s="14">
        <v>0</v>
      </c>
      <c r="G10816" s="13">
        <v>100000000</v>
      </c>
      <c r="H10816" s="14">
        <v>102534530000</v>
      </c>
      <c r="I10816" s="14" t="e">
        <f>=Round(2851039.58030000,0)</f>
        <v>#VALUE!</v>
      </c>
      <c r="J10816" s="14" t="e">
        <f>=Round(0.00000000,0)</f>
        <v>#VALUE!</v>
      </c>
    </row>
    <row r="10817">
      <c r="A10817" s="11" t="s">
        <v>38</v>
      </c>
      <c r="B10817" s="12">
        <v>1022.7892</v>
      </c>
      <c r="C10817" s="12">
        <v>0</v>
      </c>
      <c r="D10817" s="13">
        <v>0</v>
      </c>
      <c r="E10817" s="12">
        <v>0</v>
      </c>
      <c r="F10817" s="14">
        <v>0</v>
      </c>
      <c r="G10817" s="13">
        <v>100000000</v>
      </c>
      <c r="H10817" s="14">
        <v>102278920000</v>
      </c>
      <c r="I10817" s="14" t="e">
        <f>=Round(2835107.76940000,0)</f>
        <v>#VALUE!</v>
      </c>
      <c r="J10817" s="14" t="e">
        <f>=Round(0.00000000,0)</f>
        <v>#VALUE!</v>
      </c>
    </row>
    <row r="10818">
      <c r="A10818" s="11" t="s">
        <v>39</v>
      </c>
      <c r="B10818" s="12">
        <v>1015.9987</v>
      </c>
      <c r="C10818" s="12">
        <v>0</v>
      </c>
      <c r="D10818" s="13">
        <v>0</v>
      </c>
      <c r="E10818" s="12">
        <v>0</v>
      </c>
      <c r="F10818" s="14">
        <v>0</v>
      </c>
      <c r="G10818" s="13">
        <v>100000000</v>
      </c>
      <c r="H10818" s="14">
        <v>101599870000</v>
      </c>
      <c r="I10818" s="14" t="e">
        <f>=Round(2828040.08310000,0)</f>
        <v>#VALUE!</v>
      </c>
      <c r="J10818" s="14" t="e">
        <f>=Round(0.00000000,0)</f>
        <v>#VALUE!</v>
      </c>
    </row>
    <row r="10819">
      <c r="A10819" s="11" t="s">
        <v>40</v>
      </c>
      <c r="B10819" s="12">
        <v>1011.1407</v>
      </c>
      <c r="C10819" s="12">
        <v>0</v>
      </c>
      <c r="D10819" s="13">
        <v>0</v>
      </c>
      <c r="E10819" s="12">
        <v>0</v>
      </c>
      <c r="F10819" s="14">
        <v>0</v>
      </c>
      <c r="G10819" s="13">
        <v>100000000</v>
      </c>
      <c r="H10819" s="14">
        <v>101114070000</v>
      </c>
      <c r="I10819" s="14" t="e">
        <f>=Round(2809264.16500000,0)</f>
        <v>#VALUE!</v>
      </c>
      <c r="J10819" s="14" t="e">
        <f>=Round(0.00000000,0)</f>
        <v>#VALUE!</v>
      </c>
    </row>
    <row r="10820">
      <c r="A10820" s="11" t="s">
        <v>41</v>
      </c>
      <c r="B10820" s="12">
        <v>1008.6293</v>
      </c>
      <c r="C10820" s="12">
        <v>0</v>
      </c>
      <c r="D10820" s="13">
        <v>0</v>
      </c>
      <c r="E10820" s="12">
        <v>0</v>
      </c>
      <c r="F10820" s="14">
        <v>0</v>
      </c>
      <c r="G10820" s="13">
        <v>100000000</v>
      </c>
      <c r="H10820" s="14">
        <v>100862930000</v>
      </c>
      <c r="I10820" s="14" t="e">
        <f>=Round(2795831.66230000,0)</f>
        <v>#VALUE!</v>
      </c>
      <c r="J10820" s="14" t="e">
        <f>=Round(0.00000000,0)</f>
        <v>#VALUE!</v>
      </c>
    </row>
    <row r="10821">
      <c r="A10821" s="11" t="s">
        <v>42</v>
      </c>
      <c r="B10821" s="12">
        <v>1008.6293</v>
      </c>
      <c r="C10821" s="12">
        <v>0</v>
      </c>
      <c r="D10821" s="13">
        <v>0</v>
      </c>
      <c r="E10821" s="12">
        <v>0</v>
      </c>
      <c r="F10821" s="14">
        <v>0</v>
      </c>
      <c r="G10821" s="13">
        <v>100000000</v>
      </c>
      <c r="H10821" s="14">
        <v>100862930000</v>
      </c>
      <c r="I10821" s="14" t="e">
        <f>=Round(2788887.57270000,0)</f>
        <v>#VALUE!</v>
      </c>
      <c r="J10821" s="14" t="e">
        <f>=Round(0.00000000,0)</f>
        <v>#VALUE!</v>
      </c>
    </row>
    <row r="10822">
      <c r="A10822" s="11" t="s">
        <v>43</v>
      </c>
      <c r="B10822" s="12">
        <v>1008.6293</v>
      </c>
      <c r="C10822" s="12">
        <v>0</v>
      </c>
      <c r="D10822" s="13">
        <v>0</v>
      </c>
      <c r="E10822" s="12">
        <v>0</v>
      </c>
      <c r="F10822" s="14">
        <v>0</v>
      </c>
      <c r="G10822" s="13">
        <v>100000000</v>
      </c>
      <c r="H10822" s="14">
        <v>100862930000</v>
      </c>
      <c r="I10822" s="14" t="e">
        <f>=Round(2788887.57270000,0)</f>
        <v>#VALUE!</v>
      </c>
      <c r="J10822" s="14" t="e">
        <f>=Round(0.00000000,0)</f>
        <v>#VALUE!</v>
      </c>
    </row>
    <row r="10823">
      <c r="A10823" s="11" t="s">
        <v>44</v>
      </c>
      <c r="B10823" s="12">
        <v>1006.9742</v>
      </c>
      <c r="C10823" s="12">
        <v>0</v>
      </c>
      <c r="D10823" s="13">
        <v>0</v>
      </c>
      <c r="E10823" s="12">
        <v>0</v>
      </c>
      <c r="F10823" s="14">
        <v>0</v>
      </c>
      <c r="G10823" s="13">
        <v>100000000</v>
      </c>
      <c r="H10823" s="14">
        <v>100697420000</v>
      </c>
      <c r="I10823" s="14" t="e">
        <f>=Round(2788887.57270000,0)</f>
        <v>#VALUE!</v>
      </c>
      <c r="J10823" s="14" t="e">
        <f>=Round(0.00000000,0)</f>
        <v>#VALUE!</v>
      </c>
    </row>
    <row r="10824">
      <c r="A10824" s="11" t="s">
        <v>45</v>
      </c>
      <c r="B10824" s="12">
        <v>1005.4996</v>
      </c>
      <c r="C10824" s="12">
        <v>0</v>
      </c>
      <c r="D10824" s="13">
        <v>0</v>
      </c>
      <c r="E10824" s="12">
        <v>0</v>
      </c>
      <c r="F10824" s="14">
        <v>0</v>
      </c>
      <c r="G10824" s="13">
        <v>100000000</v>
      </c>
      <c r="H10824" s="14">
        <v>100549960000</v>
      </c>
      <c r="I10824" s="14" t="e">
        <f>=Round(2784311.17600000,0)</f>
        <v>#VALUE!</v>
      </c>
      <c r="J10824" s="14" t="e">
        <f>=Round(0.00000000,0)</f>
        <v>#VALUE!</v>
      </c>
    </row>
    <row r="10825">
      <c r="A10825" s="11" t="s">
        <v>46</v>
      </c>
      <c r="B10825" s="12">
        <v>1014.8298</v>
      </c>
      <c r="C10825" s="12">
        <v>0</v>
      </c>
      <c r="D10825" s="13">
        <v>0</v>
      </c>
      <c r="E10825" s="12">
        <v>0</v>
      </c>
      <c r="F10825" s="14">
        <v>0</v>
      </c>
      <c r="G10825" s="13">
        <v>100000000</v>
      </c>
      <c r="H10825" s="14">
        <v>101482980000</v>
      </c>
      <c r="I10825" s="14" t="e">
        <f>=Round(2780233.86670000,0)</f>
        <v>#VALUE!</v>
      </c>
      <c r="J10825" s="14" t="e">
        <f>=Round(0.00000000,0)</f>
        <v>#VALUE!</v>
      </c>
    </row>
    <row r="10826">
      <c r="A10826" s="11" t="s">
        <v>47</v>
      </c>
      <c r="B10826" s="12">
        <v>1018.9191</v>
      </c>
      <c r="C10826" s="12">
        <v>0</v>
      </c>
      <c r="D10826" s="13">
        <v>0</v>
      </c>
      <c r="E10826" s="12">
        <v>0</v>
      </c>
      <c r="F10826" s="14">
        <v>0</v>
      </c>
      <c r="G10826" s="13">
        <v>100000000</v>
      </c>
      <c r="H10826" s="14">
        <v>101891910000</v>
      </c>
      <c r="I10826" s="14" t="e">
        <f>=Round(2806032.12460000,0)</f>
        <v>#VALUE!</v>
      </c>
      <c r="J10826" s="14" t="e">
        <f>=Round(0.00000000,0)</f>
        <v>#VALUE!</v>
      </c>
    </row>
    <row r="10827">
      <c r="A10827" s="11" t="s">
        <v>48</v>
      </c>
      <c r="B10827" s="12">
        <v>1011.3795</v>
      </c>
      <c r="C10827" s="12">
        <v>0</v>
      </c>
      <c r="D10827" s="13">
        <v>0</v>
      </c>
      <c r="E10827" s="12">
        <v>0</v>
      </c>
      <c r="F10827" s="14">
        <v>0</v>
      </c>
      <c r="G10827" s="13">
        <v>100000000</v>
      </c>
      <c r="H10827" s="14">
        <v>101137950000</v>
      </c>
      <c r="I10827" s="14" t="e">
        <f>=Round(2817339.15080000,0)</f>
        <v>#VALUE!</v>
      </c>
      <c r="J10827" s="14" t="e">
        <f>=Round(0.00000000,0)</f>
        <v>#VALUE!</v>
      </c>
    </row>
    <row r="10828">
      <c r="A10828" s="11" t="s">
        <v>49</v>
      </c>
      <c r="B10828" s="12">
        <v>1011.3795</v>
      </c>
      <c r="C10828" s="12">
        <v>0</v>
      </c>
      <c r="D10828" s="13">
        <v>0</v>
      </c>
      <c r="E10828" s="12">
        <v>0</v>
      </c>
      <c r="F10828" s="14">
        <v>0</v>
      </c>
      <c r="G10828" s="13">
        <v>100000000</v>
      </c>
      <c r="H10828" s="14">
        <v>101137950000</v>
      </c>
      <c r="I10828" s="14" t="e">
        <f>=Round(2796491.95080000,0)</f>
        <v>#VALUE!</v>
      </c>
      <c r="J10828" s="14" t="e">
        <f>=Round(0.00000000,0)</f>
        <v>#VALUE!</v>
      </c>
    </row>
    <row r="10829">
      <c r="A10829" s="11" t="s">
        <v>50</v>
      </c>
      <c r="B10829" s="12">
        <v>1011.3795</v>
      </c>
      <c r="C10829" s="12">
        <v>0</v>
      </c>
      <c r="D10829" s="13">
        <v>0</v>
      </c>
      <c r="E10829" s="12">
        <v>0</v>
      </c>
      <c r="F10829" s="14">
        <v>0</v>
      </c>
      <c r="G10829" s="13">
        <v>100000000</v>
      </c>
      <c r="H10829" s="14">
        <v>101137950000</v>
      </c>
      <c r="I10829" s="14" t="e">
        <f>=Round(2796491.95080000,0)</f>
        <v>#VALUE!</v>
      </c>
      <c r="J10829" s="14" t="e">
        <f>=Round(0.00000000,0)</f>
        <v>#VALUE!</v>
      </c>
    </row>
    <row r="10830">
      <c r="A10830" s="11" t="s">
        <v>51</v>
      </c>
      <c r="B10830" s="12">
        <v>995.3126</v>
      </c>
      <c r="C10830" s="12">
        <v>0</v>
      </c>
      <c r="D10830" s="13">
        <v>0</v>
      </c>
      <c r="E10830" s="12">
        <v>0</v>
      </c>
      <c r="F10830" s="14">
        <v>0</v>
      </c>
      <c r="G10830" s="13">
        <v>100000000</v>
      </c>
      <c r="H10830" s="14">
        <v>99531260000</v>
      </c>
      <c r="I10830" s="14" t="e">
        <f>=Round(2796491.95080000,0)</f>
        <v>#VALUE!</v>
      </c>
      <c r="J10830" s="14" t="e">
        <f>=Round(0.00000000,0)</f>
        <v>#VALUE!</v>
      </c>
    </row>
    <row r="10831">
      <c r="A10831" s="11" t="s">
        <v>52</v>
      </c>
      <c r="B10831" s="12">
        <v>996.4765</v>
      </c>
      <c r="C10831" s="12">
        <v>0</v>
      </c>
      <c r="D10831" s="13">
        <v>0</v>
      </c>
      <c r="E10831" s="12">
        <v>0</v>
      </c>
      <c r="F10831" s="14">
        <v>0</v>
      </c>
      <c r="G10831" s="13">
        <v>100000000</v>
      </c>
      <c r="H10831" s="14">
        <v>99647650000</v>
      </c>
      <c r="I10831" s="14" t="e">
        <f>=Round(2752066.53330000,0)</f>
        <v>#VALUE!</v>
      </c>
      <c r="J10831" s="14" t="e">
        <f>=Round(0.00000000,0)</f>
        <v>#VALUE!</v>
      </c>
    </row>
    <row r="10832">
      <c r="A10832" s="11" t="s">
        <v>53</v>
      </c>
      <c r="B10832" s="12">
        <v>980.4424</v>
      </c>
      <c r="C10832" s="12">
        <v>0</v>
      </c>
      <c r="D10832" s="13">
        <v>0</v>
      </c>
      <c r="E10832" s="12">
        <v>0</v>
      </c>
      <c r="F10832" s="14">
        <v>0</v>
      </c>
      <c r="G10832" s="13">
        <v>100000000</v>
      </c>
      <c r="H10832" s="14">
        <v>98044240000</v>
      </c>
      <c r="I10832" s="14" t="e">
        <f>=Round(2755284.74860000,0)</f>
        <v>#VALUE!</v>
      </c>
      <c r="J10832" s="14" t="e">
        <f>=Round(0.00000000,0)</f>
        <v>#VALUE!</v>
      </c>
    </row>
    <row r="10833">
      <c r="A10833" s="11" t="s">
        <v>54</v>
      </c>
      <c r="B10833" s="12">
        <v>953.8409</v>
      </c>
      <c r="C10833" s="12">
        <v>0</v>
      </c>
      <c r="D10833" s="13">
        <v>0</v>
      </c>
      <c r="E10833" s="12">
        <v>0</v>
      </c>
      <c r="F10833" s="14">
        <v>0</v>
      </c>
      <c r="G10833" s="13">
        <v>100000000</v>
      </c>
      <c r="H10833" s="14">
        <v>95384090000</v>
      </c>
      <c r="I10833" s="14" t="e">
        <f>=Round(2710950.02400000,0)</f>
        <v>#VALUE!</v>
      </c>
      <c r="J10833" s="14" t="e">
        <f>=Round(0.00000000,0)</f>
        <v>#VALUE!</v>
      </c>
    </row>
    <row r="10834">
      <c r="A10834" s="11" t="s">
        <v>55</v>
      </c>
      <c r="B10834" s="12">
        <v>944.2202</v>
      </c>
      <c r="C10834" s="12">
        <v>0</v>
      </c>
      <c r="D10834" s="13">
        <v>0</v>
      </c>
      <c r="E10834" s="12">
        <v>0</v>
      </c>
      <c r="F10834" s="14">
        <v>0</v>
      </c>
      <c r="G10834" s="13">
        <v>100000000</v>
      </c>
      <c r="H10834" s="14">
        <v>94422020000</v>
      </c>
      <c r="I10834" s="14" t="e">
        <f>=Round(2637396.14970000,0)</f>
        <v>#VALUE!</v>
      </c>
      <c r="J10834" s="14" t="e">
        <f>=Round(0.00000000,0)</f>
        <v>#VALUE!</v>
      </c>
    </row>
    <row r="10835" ht="-1">
      <c r="A10835" s="15"/>
      <c r="B10835" s="16" t="s">
        <v>56</v>
      </c>
      <c r="C10835" s="15"/>
      <c r="D10835" s="15"/>
      <c r="E10835" s="15"/>
      <c r="F10835" s="15"/>
      <c r="G10835" s="15"/>
      <c r="H10835" s="15"/>
      <c r="I10835" s="17" t="e">
        <f>=Round(SUM(I10809:I10834),0)</f>
        <v>#VALUE!</v>
      </c>
      <c r="J10835" s="17" t="e">
        <f>=Round(SUM(J10809:J10834),0)</f>
        <v>#VALUE!</v>
      </c>
    </row>
    <row r="10836">
      <c r="A10836" s="1" t="s">
        <v>0</v>
      </c>
      <c r="B10836" s="1"/>
      <c r="C10836" s="1"/>
      <c r="D10836" s="1"/>
    </row>
    <row r="10837">
      <c r="A10837" s="0" t="s">
        <v>1</v>
      </c>
      <c r="C10837" s="0" t="s">
        <v>368</v>
      </c>
      <c r="H10837" s="2" t="s">
        <v>3</v>
      </c>
    </row>
    <row r="10838">
      <c r="A10838" s="0" t="s">
        <v>4</v>
      </c>
      <c r="C10838" s="0" t="s">
        <v>265</v>
      </c>
      <c r="H10838" s="3" t="s">
        <v>6</v>
      </c>
    </row>
    <row r="10839">
      <c r="A10839" s="0" t="s">
        <v>7</v>
      </c>
      <c r="C10839" s="4" t="s">
        <v>370</v>
      </c>
      <c r="H10839" s="2" t="s">
        <v>9</v>
      </c>
    </row>
    <row r="10840">
      <c r="A10840" s="0" t="s">
        <v>10</v>
      </c>
      <c r="C10840" s="4" t="s">
        <v>11</v>
      </c>
      <c r="H10840" s="2" t="s">
        <v>12</v>
      </c>
    </row>
    <row r="10841">
      <c r="A10841" s="0" t="s">
        <v>13</v>
      </c>
      <c r="C10841" s="0" t="s">
        <v>14</v>
      </c>
    </row>
    <row r="10842">
      <c r="A10842" s="0" t="s">
        <v>15</v>
      </c>
      <c r="C10842" s="0" t="s">
        <v>16</v>
      </c>
    </row>
    <row r="10843">
      <c r="A10843" s="0" t="s">
        <v>17</v>
      </c>
      <c r="C10843" s="0" t="s">
        <v>18</v>
      </c>
    </row>
    <row r="10846">
      <c r="A10846" s="5" t="s">
        <v>19</v>
      </c>
      <c r="B10846" s="5" t="s">
        <v>20</v>
      </c>
      <c r="C10846" s="7" t="s">
        <v>21</v>
      </c>
      <c r="D10846" s="9"/>
      <c r="E10846" s="7" t="s">
        <v>22</v>
      </c>
      <c r="F10846" s="9"/>
      <c r="G10846" s="5" t="s">
        <v>23</v>
      </c>
      <c r="H10846" s="5" t="s">
        <v>24</v>
      </c>
      <c r="I10846" s="5" t="s">
        <v>371</v>
      </c>
      <c r="J10846" s="5" t="s">
        <v>26</v>
      </c>
    </row>
    <row r="10847">
      <c r="A10847" s="6"/>
      <c r="B10847" s="6"/>
      <c r="C10847" s="8" t="s">
        <v>27</v>
      </c>
      <c r="D10847" s="8" t="s">
        <v>28</v>
      </c>
      <c r="E10847" s="8" t="s">
        <v>27</v>
      </c>
      <c r="F10847" s="8" t="s">
        <v>28</v>
      </c>
      <c r="G10847" s="6"/>
      <c r="H10847" s="6"/>
      <c r="I10847" s="10" t="s">
        <v>29</v>
      </c>
      <c r="J10847" s="6"/>
    </row>
    <row r="10848">
      <c r="A10848" s="11" t="s">
        <v>30</v>
      </c>
      <c r="B10848" s="12">
        <v>1005.2586</v>
      </c>
      <c r="C10848" s="12">
        <v>0</v>
      </c>
      <c r="D10848" s="13">
        <v>0</v>
      </c>
      <c r="E10848" s="12">
        <v>0</v>
      </c>
      <c r="F10848" s="14">
        <v>0</v>
      </c>
      <c r="G10848" s="13">
        <v>94181628.517099991</v>
      </c>
      <c r="H10848" s="14">
        <v>94676892028.820023</v>
      </c>
      <c r="I10848" s="14" t="e">
        <f>=Round(2638203.24310000,0)</f>
        <v>#VALUE!</v>
      </c>
      <c r="J10848" s="14" t="e">
        <f>=Round(0.00000000,0)</f>
        <v>#VALUE!</v>
      </c>
    </row>
    <row r="10849">
      <c r="A10849" s="11" t="s">
        <v>31</v>
      </c>
      <c r="B10849" s="12">
        <v>1018.8126</v>
      </c>
      <c r="C10849" s="12">
        <v>0</v>
      </c>
      <c r="D10849" s="13">
        <v>0</v>
      </c>
      <c r="E10849" s="12">
        <v>0</v>
      </c>
      <c r="F10849" s="14">
        <v>0</v>
      </c>
      <c r="G10849" s="13">
        <v>94181628.517099991</v>
      </c>
      <c r="H10849" s="14">
        <v>95953429821.7408</v>
      </c>
      <c r="I10849" s="14" t="e">
        <f>=Round(2617841.93260000,0)</f>
        <v>#VALUE!</v>
      </c>
      <c r="J10849" s="14" t="e">
        <f>=Round(0.00000000,0)</f>
        <v>#VALUE!</v>
      </c>
    </row>
    <row r="10850">
      <c r="A10850" s="11" t="s">
        <v>32</v>
      </c>
      <c r="B10850" s="12">
        <v>1030.4786</v>
      </c>
      <c r="C10850" s="12">
        <v>0</v>
      </c>
      <c r="D10850" s="13">
        <v>0</v>
      </c>
      <c r="E10850" s="12">
        <v>0</v>
      </c>
      <c r="F10850" s="14">
        <v>0</v>
      </c>
      <c r="G10850" s="13">
        <v>94181628.517099991</v>
      </c>
      <c r="H10850" s="14">
        <v>97052152700.021286</v>
      </c>
      <c r="I10850" s="14" t="e">
        <f>=Round(2653138.55140000,0)</f>
        <v>#VALUE!</v>
      </c>
      <c r="J10850" s="14" t="e">
        <f>=Round(0.00000000,0)</f>
        <v>#VALUE!</v>
      </c>
    </row>
    <row r="10851">
      <c r="A10851" s="11" t="s">
        <v>33</v>
      </c>
      <c r="B10851" s="12">
        <v>1030.4427</v>
      </c>
      <c r="C10851" s="12">
        <v>0</v>
      </c>
      <c r="D10851" s="13">
        <v>0</v>
      </c>
      <c r="E10851" s="12">
        <v>0</v>
      </c>
      <c r="F10851" s="14">
        <v>0</v>
      </c>
      <c r="G10851" s="13">
        <v>94181628.517099991</v>
      </c>
      <c r="H10851" s="14">
        <v>97048771579.557526</v>
      </c>
      <c r="I10851" s="14" t="e">
        <f>=Round(2683518.53910000,0)</f>
        <v>#VALUE!</v>
      </c>
      <c r="J10851" s="14" t="e">
        <f>=Round(0.00000000,0)</f>
        <v>#VALUE!</v>
      </c>
    </row>
    <row r="10852">
      <c r="A10852" s="11" t="s">
        <v>34</v>
      </c>
      <c r="B10852" s="12">
        <v>1031.1072</v>
      </c>
      <c r="C10852" s="12">
        <v>0</v>
      </c>
      <c r="D10852" s="13">
        <v>0</v>
      </c>
      <c r="E10852" s="12">
        <v>0</v>
      </c>
      <c r="F10852" s="14">
        <v>0</v>
      </c>
      <c r="G10852" s="13">
        <v>94181628.517099991</v>
      </c>
      <c r="H10852" s="14">
        <v>97111355271.707138</v>
      </c>
      <c r="I10852" s="14" t="e">
        <f>=Round(2683425.05020000,0)</f>
        <v>#VALUE!</v>
      </c>
      <c r="J10852" s="14" t="e">
        <f>=Round(0.00000000,0)</f>
        <v>#VALUE!</v>
      </c>
    </row>
    <row r="10853">
      <c r="A10853" s="11" t="s">
        <v>35</v>
      </c>
      <c r="B10853" s="12">
        <v>1031.1072</v>
      </c>
      <c r="C10853" s="12">
        <v>0</v>
      </c>
      <c r="D10853" s="13">
        <v>0</v>
      </c>
      <c r="E10853" s="12">
        <v>0</v>
      </c>
      <c r="F10853" s="14">
        <v>0</v>
      </c>
      <c r="G10853" s="13">
        <v>94181628.517099991</v>
      </c>
      <c r="H10853" s="14">
        <v>97111355271.707138</v>
      </c>
      <c r="I10853" s="14" t="e">
        <f>=Round(2685155.50640000,0)</f>
        <v>#VALUE!</v>
      </c>
      <c r="J10853" s="14" t="e">
        <f>=Round(0.00000000,0)</f>
        <v>#VALUE!</v>
      </c>
    </row>
    <row r="10854">
      <c r="A10854" s="11" t="s">
        <v>36</v>
      </c>
      <c r="B10854" s="12">
        <v>1031.1072</v>
      </c>
      <c r="C10854" s="12">
        <v>0</v>
      </c>
      <c r="D10854" s="13">
        <v>0</v>
      </c>
      <c r="E10854" s="12">
        <v>0</v>
      </c>
      <c r="F10854" s="14">
        <v>0</v>
      </c>
      <c r="G10854" s="13">
        <v>94181628.517099991</v>
      </c>
      <c r="H10854" s="14">
        <v>97111355271.707138</v>
      </c>
      <c r="I10854" s="14" t="e">
        <f>=Round(2685155.50640000,0)</f>
        <v>#VALUE!</v>
      </c>
      <c r="J10854" s="14" t="e">
        <f>=Round(0.00000000,0)</f>
        <v>#VALUE!</v>
      </c>
    </row>
    <row r="10855">
      <c r="A10855" s="11" t="s">
        <v>37</v>
      </c>
      <c r="B10855" s="12">
        <v>1025.3453</v>
      </c>
      <c r="C10855" s="12">
        <v>0</v>
      </c>
      <c r="D10855" s="13">
        <v>0</v>
      </c>
      <c r="E10855" s="12">
        <v>0</v>
      </c>
      <c r="F10855" s="14">
        <v>0</v>
      </c>
      <c r="G10855" s="13">
        <v>94181628.517099991</v>
      </c>
      <c r="H10855" s="14">
        <v>96568690146.354446</v>
      </c>
      <c r="I10855" s="14" t="e">
        <f>=Round(2685155.50640000,0)</f>
        <v>#VALUE!</v>
      </c>
      <c r="J10855" s="14" t="e">
        <f>=Round(0.00000000,0)</f>
        <v>#VALUE!</v>
      </c>
    </row>
    <row r="10856">
      <c r="A10856" s="11" t="s">
        <v>38</v>
      </c>
      <c r="B10856" s="12">
        <v>1022.7892</v>
      </c>
      <c r="C10856" s="12">
        <v>0</v>
      </c>
      <c r="D10856" s="13">
        <v>0</v>
      </c>
      <c r="E10856" s="12">
        <v>0</v>
      </c>
      <c r="F10856" s="14">
        <v>0</v>
      </c>
      <c r="G10856" s="13">
        <v>94181628.517099991</v>
      </c>
      <c r="H10856" s="14">
        <v>96327952485.701889</v>
      </c>
      <c r="I10856" s="14" t="e">
        <f>=Round(2670150.66740000,0)</f>
        <v>#VALUE!</v>
      </c>
      <c r="J10856" s="14" t="e">
        <f>=Round(0.00000000,0)</f>
        <v>#VALUE!</v>
      </c>
    </row>
    <row r="10857">
      <c r="A10857" s="11" t="s">
        <v>39</v>
      </c>
      <c r="B10857" s="12">
        <v>1015.9987</v>
      </c>
      <c r="C10857" s="12">
        <v>0</v>
      </c>
      <c r="D10857" s="13">
        <v>0</v>
      </c>
      <c r="E10857" s="12">
        <v>0</v>
      </c>
      <c r="F10857" s="14">
        <v>0</v>
      </c>
      <c r="G10857" s="13">
        <v>94181628.517099991</v>
      </c>
      <c r="H10857" s="14">
        <v>95688412137.256531</v>
      </c>
      <c r="I10857" s="14" t="e">
        <f>=Round(2663494.20530000,0)</f>
        <v>#VALUE!</v>
      </c>
      <c r="J10857" s="14" t="e">
        <f>=Round(0.00000000,0)</f>
        <v>#VALUE!</v>
      </c>
    </row>
    <row r="10858">
      <c r="A10858" s="11" t="s">
        <v>40</v>
      </c>
      <c r="B10858" s="12">
        <v>1011.1407</v>
      </c>
      <c r="C10858" s="12">
        <v>0</v>
      </c>
      <c r="D10858" s="13">
        <v>0</v>
      </c>
      <c r="E10858" s="12">
        <v>0</v>
      </c>
      <c r="F10858" s="14">
        <v>0</v>
      </c>
      <c r="G10858" s="13">
        <v>94181628.517099991</v>
      </c>
      <c r="H10858" s="14">
        <v>95230877785.920441</v>
      </c>
      <c r="I10858" s="14" t="e">
        <f>=Round(2645810.74000000,0)</f>
        <v>#VALUE!</v>
      </c>
      <c r="J10858" s="14" t="e">
        <f>=Round(0.00000000,0)</f>
        <v>#VALUE!</v>
      </c>
    </row>
    <row r="10859">
      <c r="A10859" s="11" t="s">
        <v>41</v>
      </c>
      <c r="B10859" s="12">
        <v>1008.6293</v>
      </c>
      <c r="C10859" s="12">
        <v>0</v>
      </c>
      <c r="D10859" s="13">
        <v>0</v>
      </c>
      <c r="E10859" s="12">
        <v>0</v>
      </c>
      <c r="F10859" s="14">
        <v>0</v>
      </c>
      <c r="G10859" s="13">
        <v>94181628.517099991</v>
      </c>
      <c r="H10859" s="14">
        <v>94994350044.0626</v>
      </c>
      <c r="I10859" s="14" t="e">
        <f>=Round(2633159.79010000,0)</f>
        <v>#VALUE!</v>
      </c>
      <c r="J10859" s="14" t="e">
        <f>=Round(0.00000000,0)</f>
        <v>#VALUE!</v>
      </c>
    </row>
    <row r="10860">
      <c r="A10860" s="11" t="s">
        <v>42</v>
      </c>
      <c r="B10860" s="12">
        <v>1008.6293</v>
      </c>
      <c r="C10860" s="12">
        <v>0</v>
      </c>
      <c r="D10860" s="13">
        <v>0</v>
      </c>
      <c r="E10860" s="12">
        <v>0</v>
      </c>
      <c r="F10860" s="14">
        <v>0</v>
      </c>
      <c r="G10860" s="13">
        <v>94181628.517099991</v>
      </c>
      <c r="H10860" s="14">
        <v>94994350044.0626</v>
      </c>
      <c r="I10860" s="14" t="e">
        <f>=Round(2626619.73350000,0)</f>
        <v>#VALUE!</v>
      </c>
      <c r="J10860" s="14" t="e">
        <f>=Round(0.00000000,0)</f>
        <v>#VALUE!</v>
      </c>
    </row>
    <row r="10861">
      <c r="A10861" s="11" t="s">
        <v>43</v>
      </c>
      <c r="B10861" s="12">
        <v>1008.6293</v>
      </c>
      <c r="C10861" s="12">
        <v>0</v>
      </c>
      <c r="D10861" s="13">
        <v>0</v>
      </c>
      <c r="E10861" s="12">
        <v>0</v>
      </c>
      <c r="F10861" s="14">
        <v>0</v>
      </c>
      <c r="G10861" s="13">
        <v>94181628.517099991</v>
      </c>
      <c r="H10861" s="14">
        <v>94994350044.0626</v>
      </c>
      <c r="I10861" s="14" t="e">
        <f>=Round(2626619.73350000,0)</f>
        <v>#VALUE!</v>
      </c>
      <c r="J10861" s="14" t="e">
        <f>=Round(0.00000000,0)</f>
        <v>#VALUE!</v>
      </c>
    </row>
    <row r="10862">
      <c r="A10862" s="11" t="s">
        <v>44</v>
      </c>
      <c r="B10862" s="12">
        <v>1006.9742</v>
      </c>
      <c r="C10862" s="12">
        <v>0</v>
      </c>
      <c r="D10862" s="13">
        <v>0</v>
      </c>
      <c r="E10862" s="12">
        <v>0</v>
      </c>
      <c r="F10862" s="14">
        <v>0</v>
      </c>
      <c r="G10862" s="13">
        <v>94181628.517099991</v>
      </c>
      <c r="H10862" s="14">
        <v>94838470030.703949</v>
      </c>
      <c r="I10862" s="14" t="e">
        <f>=Round(2626619.73350000,0)</f>
        <v>#VALUE!</v>
      </c>
      <c r="J10862" s="14" t="e">
        <f>=Round(0.00000000,0)</f>
        <v>#VALUE!</v>
      </c>
    </row>
    <row r="10863">
      <c r="A10863" s="11" t="s">
        <v>45</v>
      </c>
      <c r="B10863" s="12">
        <v>1005.4996</v>
      </c>
      <c r="C10863" s="12">
        <v>0</v>
      </c>
      <c r="D10863" s="13">
        <v>0</v>
      </c>
      <c r="E10863" s="12">
        <v>0</v>
      </c>
      <c r="F10863" s="14">
        <v>0</v>
      </c>
      <c r="G10863" s="13">
        <v>94181628.517099991</v>
      </c>
      <c r="H10863" s="14">
        <v>94699589801.292633</v>
      </c>
      <c r="I10863" s="14" t="e">
        <f>=Round(2622309.60850000,0)</f>
        <v>#VALUE!</v>
      </c>
      <c r="J10863" s="14" t="e">
        <f>=Round(0.00000000,0)</f>
        <v>#VALUE!</v>
      </c>
    </row>
    <row r="10864">
      <c r="A10864" s="11" t="s">
        <v>46</v>
      </c>
      <c r="B10864" s="12">
        <v>1014.8298</v>
      </c>
      <c r="C10864" s="12">
        <v>0</v>
      </c>
      <c r="D10864" s="13">
        <v>0</v>
      </c>
      <c r="E10864" s="12">
        <v>0</v>
      </c>
      <c r="F10864" s="14">
        <v>0</v>
      </c>
      <c r="G10864" s="13">
        <v>94181628.517099991</v>
      </c>
      <c r="H10864" s="14">
        <v>95578323231.682892</v>
      </c>
      <c r="I10864" s="14" t="e">
        <f>=Round(2618469.53220000,0)</f>
        <v>#VALUE!</v>
      </c>
      <c r="J10864" s="14" t="e">
        <f>=Round(0.00000000,0)</f>
        <v>#VALUE!</v>
      </c>
    </row>
    <row r="10865">
      <c r="A10865" s="11" t="s">
        <v>47</v>
      </c>
      <c r="B10865" s="12">
        <v>1018.9191</v>
      </c>
      <c r="C10865" s="12">
        <v>0</v>
      </c>
      <c r="D10865" s="13">
        <v>0</v>
      </c>
      <c r="E10865" s="12">
        <v>0</v>
      </c>
      <c r="F10865" s="14">
        <v>0</v>
      </c>
      <c r="G10865" s="13">
        <v>94181628.517099991</v>
      </c>
      <c r="H10865" s="14">
        <v>95963460165.177872</v>
      </c>
      <c r="I10865" s="14" t="e">
        <f>=Round(2642766.75170000,0)</f>
        <v>#VALUE!</v>
      </c>
      <c r="J10865" s="14" t="e">
        <f>=Round(0.00000000,0)</f>
        <v>#VALUE!</v>
      </c>
    </row>
    <row r="10866">
      <c r="A10866" s="11" t="s">
        <v>48</v>
      </c>
      <c r="B10866" s="12">
        <v>1011.3795</v>
      </c>
      <c r="C10866" s="12">
        <v>0</v>
      </c>
      <c r="D10866" s="13">
        <v>0</v>
      </c>
      <c r="E10866" s="12">
        <v>0</v>
      </c>
      <c r="F10866" s="14">
        <v>0</v>
      </c>
      <c r="G10866" s="13">
        <v>94181628.517099991</v>
      </c>
      <c r="H10866" s="14">
        <v>95253368358.810333</v>
      </c>
      <c r="I10866" s="14" t="e">
        <f>=Round(2653415.89310000,0)</f>
        <v>#VALUE!</v>
      </c>
      <c r="J10866" s="14" t="e">
        <f>=Round(0.00000000,0)</f>
        <v>#VALUE!</v>
      </c>
    </row>
    <row r="10867">
      <c r="A10867" s="11" t="s">
        <v>49</v>
      </c>
      <c r="B10867" s="12">
        <v>1011.3795</v>
      </c>
      <c r="C10867" s="12">
        <v>0</v>
      </c>
      <c r="D10867" s="13">
        <v>0</v>
      </c>
      <c r="E10867" s="12">
        <v>0</v>
      </c>
      <c r="F10867" s="14">
        <v>0</v>
      </c>
      <c r="G10867" s="13">
        <v>94181628.517099991</v>
      </c>
      <c r="H10867" s="14">
        <v>95253368358.810333</v>
      </c>
      <c r="I10867" s="14" t="e">
        <f>=Round(2633781.66060000,0)</f>
        <v>#VALUE!</v>
      </c>
      <c r="J10867" s="14" t="e">
        <f>=Round(0.00000000,0)</f>
        <v>#VALUE!</v>
      </c>
    </row>
    <row r="10868">
      <c r="A10868" s="11" t="s">
        <v>50</v>
      </c>
      <c r="B10868" s="12">
        <v>1011.3795</v>
      </c>
      <c r="C10868" s="12">
        <v>0</v>
      </c>
      <c r="D10868" s="13">
        <v>0</v>
      </c>
      <c r="E10868" s="12">
        <v>0</v>
      </c>
      <c r="F10868" s="14">
        <v>0</v>
      </c>
      <c r="G10868" s="13">
        <v>94181628.517099991</v>
      </c>
      <c r="H10868" s="14">
        <v>95253368358.810333</v>
      </c>
      <c r="I10868" s="14" t="e">
        <f>=Round(2633781.66060000,0)</f>
        <v>#VALUE!</v>
      </c>
      <c r="J10868" s="14" t="e">
        <f>=Round(0.00000000,0)</f>
        <v>#VALUE!</v>
      </c>
    </row>
    <row r="10869">
      <c r="A10869" s="11" t="s">
        <v>51</v>
      </c>
      <c r="B10869" s="12">
        <v>995.3126</v>
      </c>
      <c r="C10869" s="12">
        <v>0</v>
      </c>
      <c r="D10869" s="13">
        <v>0</v>
      </c>
      <c r="E10869" s="12">
        <v>0</v>
      </c>
      <c r="F10869" s="14">
        <v>0</v>
      </c>
      <c r="G10869" s="13">
        <v>94181628.517099991</v>
      </c>
      <c r="H10869" s="14">
        <v>93740161551.588943</v>
      </c>
      <c r="I10869" s="14" t="e">
        <f>=Round(2633781.66060000,0)</f>
        <v>#VALUE!</v>
      </c>
      <c r="J10869" s="14" t="e">
        <f>=Round(0.00000000,0)</f>
        <v>#VALUE!</v>
      </c>
    </row>
    <row r="10870">
      <c r="A10870" s="11" t="s">
        <v>52</v>
      </c>
      <c r="B10870" s="12">
        <v>996.4765</v>
      </c>
      <c r="C10870" s="12">
        <v>0</v>
      </c>
      <c r="D10870" s="13">
        <v>0</v>
      </c>
      <c r="E10870" s="12">
        <v>0</v>
      </c>
      <c r="F10870" s="14">
        <v>0</v>
      </c>
      <c r="G10870" s="13">
        <v>94181628.517099991</v>
      </c>
      <c r="H10870" s="14">
        <v>93849779549.02</v>
      </c>
      <c r="I10870" s="14" t="e">
        <f>=Round(2591941.07900000,0)</f>
        <v>#VALUE!</v>
      </c>
      <c r="J10870" s="14" t="e">
        <f>=Round(0.00000000,0)</f>
        <v>#VALUE!</v>
      </c>
    </row>
    <row r="10871">
      <c r="A10871" s="11" t="s">
        <v>53</v>
      </c>
      <c r="B10871" s="12">
        <v>980.4424</v>
      </c>
      <c r="C10871" s="12">
        <v>0</v>
      </c>
      <c r="D10871" s="13">
        <v>0</v>
      </c>
      <c r="E10871" s="12">
        <v>0</v>
      </c>
      <c r="F10871" s="14">
        <v>0</v>
      </c>
      <c r="G10871" s="13">
        <v>94181628.517099991</v>
      </c>
      <c r="H10871" s="14">
        <v>92339661899.213974</v>
      </c>
      <c r="I10871" s="14" t="e">
        <f>=Round(2594972.04650000,0)</f>
        <v>#VALUE!</v>
      </c>
      <c r="J10871" s="14" t="e">
        <f>=Round(0.00000000,0)</f>
        <v>#VALUE!</v>
      </c>
    </row>
    <row r="10872">
      <c r="A10872" s="11" t="s">
        <v>54</v>
      </c>
      <c r="B10872" s="12">
        <v>953.8409</v>
      </c>
      <c r="C10872" s="12">
        <v>0</v>
      </c>
      <c r="D10872" s="13">
        <v>0</v>
      </c>
      <c r="E10872" s="12">
        <v>0</v>
      </c>
      <c r="F10872" s="14">
        <v>0</v>
      </c>
      <c r="G10872" s="13">
        <v>94181628.517099991</v>
      </c>
      <c r="H10872" s="14">
        <v>89834289308.216339</v>
      </c>
      <c r="I10872" s="14" t="e">
        <f>=Round(2553216.88090000,0)</f>
        <v>#VALUE!</v>
      </c>
      <c r="J10872" s="14" t="e">
        <f>=Round(0.00000000,0)</f>
        <v>#VALUE!</v>
      </c>
    </row>
    <row r="10873">
      <c r="A10873" s="11" t="s">
        <v>55</v>
      </c>
      <c r="B10873" s="12">
        <v>944.2202</v>
      </c>
      <c r="C10873" s="12">
        <v>0</v>
      </c>
      <c r="D10873" s="13">
        <v>0</v>
      </c>
      <c r="E10873" s="12">
        <v>0</v>
      </c>
      <c r="F10873" s="14">
        <v>0</v>
      </c>
      <c r="G10873" s="13">
        <v>94181628.517099991</v>
      </c>
      <c r="H10873" s="14">
        <v>88928196114.741867</v>
      </c>
      <c r="I10873" s="14" t="e">
        <f>=Round(2483942.64430000,0)</f>
        <v>#VALUE!</v>
      </c>
      <c r="J10873" s="14" t="e">
        <f>=Round(0.00000000,0)</f>
        <v>#VALUE!</v>
      </c>
    </row>
    <row r="10874" ht="-1">
      <c r="A10874" s="15"/>
      <c r="B10874" s="16" t="s">
        <v>56</v>
      </c>
      <c r="C10874" s="15"/>
      <c r="D10874" s="15"/>
      <c r="E10874" s="15"/>
      <c r="F10874" s="15"/>
      <c r="G10874" s="15"/>
      <c r="H10874" s="15"/>
      <c r="I10874" s="17" t="e">
        <f>=Round(SUM(I10848:I10873),0)</f>
        <v>#VALUE!</v>
      </c>
      <c r="J10874" s="17" t="e">
        <f>=Round(SUM(J10848:J10873),0)</f>
        <v>#VALUE!</v>
      </c>
    </row>
    <row r="10875">
      <c r="A10875" s="1" t="s">
        <v>0</v>
      </c>
      <c r="B10875" s="1"/>
      <c r="C10875" s="1"/>
      <c r="D10875" s="1"/>
    </row>
    <row r="10876">
      <c r="A10876" s="0" t="s">
        <v>1</v>
      </c>
      <c r="C10876" s="0" t="s">
        <v>368</v>
      </c>
      <c r="H10876" s="2" t="s">
        <v>3</v>
      </c>
    </row>
    <row r="10877">
      <c r="A10877" s="0" t="s">
        <v>4</v>
      </c>
      <c r="C10877" s="0" t="s">
        <v>126</v>
      </c>
      <c r="H10877" s="3" t="s">
        <v>6</v>
      </c>
    </row>
    <row r="10878">
      <c r="A10878" s="0" t="s">
        <v>7</v>
      </c>
      <c r="C10878" s="4" t="s">
        <v>370</v>
      </c>
      <c r="H10878" s="2" t="s">
        <v>9</v>
      </c>
    </row>
    <row r="10879">
      <c r="A10879" s="0" t="s">
        <v>10</v>
      </c>
      <c r="C10879" s="4" t="s">
        <v>124</v>
      </c>
      <c r="H10879" s="2" t="s">
        <v>12</v>
      </c>
    </row>
    <row r="10880">
      <c r="A10880" s="0" t="s">
        <v>13</v>
      </c>
      <c r="C10880" s="0" t="s">
        <v>14</v>
      </c>
    </row>
    <row r="10881">
      <c r="A10881" s="0" t="s">
        <v>15</v>
      </c>
      <c r="C10881" s="0" t="s">
        <v>16</v>
      </c>
    </row>
    <row r="10882">
      <c r="A10882" s="0" t="s">
        <v>17</v>
      </c>
      <c r="C10882" s="0" t="s">
        <v>18</v>
      </c>
    </row>
    <row r="10885">
      <c r="A10885" s="5" t="s">
        <v>19</v>
      </c>
      <c r="B10885" s="5" t="s">
        <v>20</v>
      </c>
      <c r="C10885" s="7" t="s">
        <v>21</v>
      </c>
      <c r="D10885" s="9"/>
      <c r="E10885" s="7" t="s">
        <v>22</v>
      </c>
      <c r="F10885" s="9"/>
      <c r="G10885" s="5" t="s">
        <v>23</v>
      </c>
      <c r="H10885" s="5" t="s">
        <v>24</v>
      </c>
      <c r="I10885" s="5" t="s">
        <v>371</v>
      </c>
      <c r="J10885" s="5" t="s">
        <v>125</v>
      </c>
    </row>
    <row r="10886">
      <c r="A10886" s="6"/>
      <c r="B10886" s="6"/>
      <c r="C10886" s="8" t="s">
        <v>27</v>
      </c>
      <c r="D10886" s="8" t="s">
        <v>28</v>
      </c>
      <c r="E10886" s="8" t="s">
        <v>27</v>
      </c>
      <c r="F10886" s="8" t="s">
        <v>28</v>
      </c>
      <c r="G10886" s="6"/>
      <c r="H10886" s="6"/>
      <c r="I10886" s="10" t="s">
        <v>29</v>
      </c>
      <c r="J10886" s="6"/>
    </row>
    <row r="10887">
      <c r="A10887" s="11" t="s">
        <v>30</v>
      </c>
      <c r="B10887" s="12">
        <v>1005.2586</v>
      </c>
      <c r="C10887" s="12">
        <v>0</v>
      </c>
      <c r="D10887" s="13">
        <v>0</v>
      </c>
      <c r="E10887" s="12">
        <v>0</v>
      </c>
      <c r="F10887" s="14">
        <v>0</v>
      </c>
      <c r="G10887" s="13">
        <v>2061836.8109</v>
      </c>
      <c r="H10887" s="14">
        <v>2072679185.953799</v>
      </c>
      <c r="I10887" s="14" t="e">
        <f>=Round(57755.89830000,0)</f>
        <v>#VALUE!</v>
      </c>
      <c r="J10887" s="14" t="e">
        <f>=Round(26252.65480000,0)</f>
        <v>#VALUE!</v>
      </c>
    </row>
    <row r="10888">
      <c r="A10888" s="11" t="s">
        <v>31</v>
      </c>
      <c r="B10888" s="12">
        <v>1018.8126</v>
      </c>
      <c r="C10888" s="12">
        <v>0</v>
      </c>
      <c r="D10888" s="13">
        <v>0</v>
      </c>
      <c r="E10888" s="12">
        <v>0</v>
      </c>
      <c r="F10888" s="14">
        <v>0</v>
      </c>
      <c r="G10888" s="13">
        <v>2061836.8109</v>
      </c>
      <c r="H10888" s="14">
        <v>2100625322.088737</v>
      </c>
      <c r="I10888" s="14" t="e">
        <f>=Round(57310.14580000,0)</f>
        <v>#VALUE!</v>
      </c>
      <c r="J10888" s="14" t="e">
        <f>=Round(26050.04020000,0)</f>
        <v>#VALUE!</v>
      </c>
    </row>
    <row r="10889">
      <c r="A10889" s="11" t="s">
        <v>32</v>
      </c>
      <c r="B10889" s="12">
        <v>1030.4786</v>
      </c>
      <c r="C10889" s="12">
        <v>2911.2686</v>
      </c>
      <c r="D10889" s="13">
        <v>3000000</v>
      </c>
      <c r="E10889" s="12">
        <v>0</v>
      </c>
      <c r="F10889" s="14">
        <v>0</v>
      </c>
      <c r="G10889" s="13">
        <v>2061836.8109</v>
      </c>
      <c r="H10889" s="14">
        <v>2124678710.324697</v>
      </c>
      <c r="I10889" s="14" t="e">
        <f>=Round(58082.86410000,0)</f>
        <v>#VALUE!</v>
      </c>
      <c r="J10889" s="14" t="e">
        <f>=Round(26401.27550000,0)</f>
        <v>#VALUE!</v>
      </c>
    </row>
    <row r="10890">
      <c r="A10890" s="11" t="s">
        <v>33</v>
      </c>
      <c r="B10890" s="12">
        <v>1030.4427</v>
      </c>
      <c r="C10890" s="12">
        <v>0</v>
      </c>
      <c r="D10890" s="13">
        <v>0</v>
      </c>
      <c r="E10890" s="12">
        <v>0</v>
      </c>
      <c r="F10890" s="14">
        <v>0</v>
      </c>
      <c r="G10890" s="13">
        <v>2064748.0795</v>
      </c>
      <c r="H10890" s="14">
        <v>2127604585.8597951</v>
      </c>
      <c r="I10890" s="14" t="e">
        <f>=Round(58747.94690000,0)</f>
        <v>#VALUE!</v>
      </c>
      <c r="J10890" s="14" t="e">
        <f>=Round(26703.58550000,0)</f>
        <v>#VALUE!</v>
      </c>
    </row>
    <row r="10891">
      <c r="A10891" s="11" t="s">
        <v>34</v>
      </c>
      <c r="B10891" s="12">
        <v>1031.1072</v>
      </c>
      <c r="C10891" s="12">
        <v>0</v>
      </c>
      <c r="D10891" s="13">
        <v>0</v>
      </c>
      <c r="E10891" s="12">
        <v>0</v>
      </c>
      <c r="F10891" s="14">
        <v>0</v>
      </c>
      <c r="G10891" s="13">
        <v>2064748.0795</v>
      </c>
      <c r="H10891" s="14">
        <v>2128976610.958622</v>
      </c>
      <c r="I10891" s="14" t="e">
        <f>=Round(58828.84810000,0)</f>
        <v>#VALUE!</v>
      </c>
      <c r="J10891" s="14" t="e">
        <f>=Round(26740.35880000,0)</f>
        <v>#VALUE!</v>
      </c>
    </row>
    <row r="10892">
      <c r="A10892" s="11" t="s">
        <v>35</v>
      </c>
      <c r="B10892" s="12">
        <v>1031.1072</v>
      </c>
      <c r="C10892" s="12">
        <v>0</v>
      </c>
      <c r="D10892" s="13">
        <v>0</v>
      </c>
      <c r="E10892" s="12">
        <v>0</v>
      </c>
      <c r="F10892" s="14">
        <v>0</v>
      </c>
      <c r="G10892" s="13">
        <v>2064748.0795</v>
      </c>
      <c r="H10892" s="14">
        <v>2128976610.958622</v>
      </c>
      <c r="I10892" s="14" t="e">
        <f>=Round(58866.78500000,0)</f>
        <v>#VALUE!</v>
      </c>
      <c r="J10892" s="14" t="e">
        <f>=Round(26757.60280000,0)</f>
        <v>#VALUE!</v>
      </c>
    </row>
    <row r="10893">
      <c r="A10893" s="11" t="s">
        <v>36</v>
      </c>
      <c r="B10893" s="12">
        <v>1031.1072</v>
      </c>
      <c r="C10893" s="12">
        <v>0</v>
      </c>
      <c r="D10893" s="13">
        <v>0</v>
      </c>
      <c r="E10893" s="12">
        <v>0</v>
      </c>
      <c r="F10893" s="14">
        <v>0</v>
      </c>
      <c r="G10893" s="13">
        <v>2064748.0795</v>
      </c>
      <c r="H10893" s="14">
        <v>2128976610.958622</v>
      </c>
      <c r="I10893" s="14" t="e">
        <f>=Round(58866.78500000,0)</f>
        <v>#VALUE!</v>
      </c>
      <c r="J10893" s="14" t="e">
        <f>=Round(26757.60280000,0)</f>
        <v>#VALUE!</v>
      </c>
    </row>
    <row r="10894">
      <c r="A10894" s="11" t="s">
        <v>37</v>
      </c>
      <c r="B10894" s="12">
        <v>1025.3453</v>
      </c>
      <c r="C10894" s="12">
        <v>0</v>
      </c>
      <c r="D10894" s="13">
        <v>0</v>
      </c>
      <c r="E10894" s="12">
        <v>0</v>
      </c>
      <c r="F10894" s="14">
        <v>0</v>
      </c>
      <c r="G10894" s="13">
        <v>2064748.0795</v>
      </c>
      <c r="H10894" s="14">
        <v>2117079738.999351</v>
      </c>
      <c r="I10894" s="14" t="e">
        <f>=Round(58866.78500000,0)</f>
        <v>#VALUE!</v>
      </c>
      <c r="J10894" s="14" t="e">
        <f>=Round(26757.60280000,0)</f>
        <v>#VALUE!</v>
      </c>
    </row>
    <row r="10895">
      <c r="A10895" s="11" t="s">
        <v>38</v>
      </c>
      <c r="B10895" s="12">
        <v>1022.7892</v>
      </c>
      <c r="C10895" s="12">
        <v>0</v>
      </c>
      <c r="D10895" s="13">
        <v>0</v>
      </c>
      <c r="E10895" s="12">
        <v>0</v>
      </c>
      <c r="F10895" s="14">
        <v>0</v>
      </c>
      <c r="G10895" s="13">
        <v>2064748.0795</v>
      </c>
      <c r="H10895" s="14">
        <v>2111802036.433341</v>
      </c>
      <c r="I10895" s="14" t="e">
        <f>=Round(58537.83320000,0)</f>
        <v>#VALUE!</v>
      </c>
      <c r="J10895" s="14" t="e">
        <f>=Round(26608.07940000,0)</f>
        <v>#VALUE!</v>
      </c>
    </row>
    <row r="10896">
      <c r="A10896" s="11" t="s">
        <v>39</v>
      </c>
      <c r="B10896" s="12">
        <v>1015.9987</v>
      </c>
      <c r="C10896" s="12">
        <v>0</v>
      </c>
      <c r="D10896" s="13">
        <v>0</v>
      </c>
      <c r="E10896" s="12">
        <v>0</v>
      </c>
      <c r="F10896" s="14">
        <v>0</v>
      </c>
      <c r="G10896" s="13">
        <v>2064748.0795</v>
      </c>
      <c r="H10896" s="14">
        <v>2097781364.5994971</v>
      </c>
      <c r="I10896" s="14" t="e">
        <f>=Round(58391.90330000,0)</f>
        <v>#VALUE!</v>
      </c>
      <c r="J10896" s="14" t="e">
        <f>=Round(26541.74770000,0)</f>
        <v>#VALUE!</v>
      </c>
    </row>
    <row r="10897">
      <c r="A10897" s="11" t="s">
        <v>40</v>
      </c>
      <c r="B10897" s="12">
        <v>1011.1407</v>
      </c>
      <c r="C10897" s="12">
        <v>0</v>
      </c>
      <c r="D10897" s="13">
        <v>0</v>
      </c>
      <c r="E10897" s="12">
        <v>0</v>
      </c>
      <c r="F10897" s="14">
        <v>0</v>
      </c>
      <c r="G10897" s="13">
        <v>2064748.0795</v>
      </c>
      <c r="H10897" s="14">
        <v>2087750818.429286</v>
      </c>
      <c r="I10897" s="14" t="e">
        <f>=Round(58004.22790000,0)</f>
        <v>#VALUE!</v>
      </c>
      <c r="J10897" s="14" t="e">
        <f>=Round(26365.53180000,0)</f>
        <v>#VALUE!</v>
      </c>
    </row>
    <row r="10898">
      <c r="A10898" s="11" t="s">
        <v>41</v>
      </c>
      <c r="B10898" s="12">
        <v>1008.6293</v>
      </c>
      <c r="C10898" s="12">
        <v>0</v>
      </c>
      <c r="D10898" s="13">
        <v>0</v>
      </c>
      <c r="E10898" s="12">
        <v>0</v>
      </c>
      <c r="F10898" s="14">
        <v>0</v>
      </c>
      <c r="G10898" s="13">
        <v>2064748.0795</v>
      </c>
      <c r="H10898" s="14">
        <v>2082565410.1024289</v>
      </c>
      <c r="I10898" s="14" t="e">
        <f>=Round(57726.88060000,0)</f>
        <v>#VALUE!</v>
      </c>
      <c r="J10898" s="14" t="e">
        <f>=Round(26239.46490000,0)</f>
        <v>#VALUE!</v>
      </c>
    </row>
    <row r="10899">
      <c r="A10899" s="11" t="s">
        <v>42</v>
      </c>
      <c r="B10899" s="12">
        <v>1008.6293</v>
      </c>
      <c r="C10899" s="12">
        <v>0</v>
      </c>
      <c r="D10899" s="13">
        <v>0</v>
      </c>
      <c r="E10899" s="12">
        <v>0</v>
      </c>
      <c r="F10899" s="14">
        <v>0</v>
      </c>
      <c r="G10899" s="13">
        <v>2064748.0795</v>
      </c>
      <c r="H10899" s="14">
        <v>2082565410.1024289</v>
      </c>
      <c r="I10899" s="14" t="e">
        <f>=Round(57583.50260000,0)</f>
        <v>#VALUE!</v>
      </c>
      <c r="J10899" s="14" t="e">
        <f>=Round(26174.29320000,0)</f>
        <v>#VALUE!</v>
      </c>
    </row>
    <row r="10900">
      <c r="A10900" s="11" t="s">
        <v>43</v>
      </c>
      <c r="B10900" s="12">
        <v>1008.6293</v>
      </c>
      <c r="C10900" s="12">
        <v>0</v>
      </c>
      <c r="D10900" s="13">
        <v>0</v>
      </c>
      <c r="E10900" s="12">
        <v>0</v>
      </c>
      <c r="F10900" s="14">
        <v>0</v>
      </c>
      <c r="G10900" s="13">
        <v>2064748.0795</v>
      </c>
      <c r="H10900" s="14">
        <v>2082565410.1024289</v>
      </c>
      <c r="I10900" s="14" t="e">
        <f>=Round(57583.50260000,0)</f>
        <v>#VALUE!</v>
      </c>
      <c r="J10900" s="14" t="e">
        <f>=Round(26174.29320000,0)</f>
        <v>#VALUE!</v>
      </c>
    </row>
    <row r="10901">
      <c r="A10901" s="11" t="s">
        <v>44</v>
      </c>
      <c r="B10901" s="12">
        <v>1006.9742</v>
      </c>
      <c r="C10901" s="12">
        <v>0</v>
      </c>
      <c r="D10901" s="13">
        <v>0</v>
      </c>
      <c r="E10901" s="12">
        <v>0</v>
      </c>
      <c r="F10901" s="14">
        <v>0</v>
      </c>
      <c r="G10901" s="13">
        <v>2064748.0795</v>
      </c>
      <c r="H10901" s="14">
        <v>2079148045.5560491</v>
      </c>
      <c r="I10901" s="14" t="e">
        <f>=Round(57583.50260000,0)</f>
        <v>#VALUE!</v>
      </c>
      <c r="J10901" s="14" t="e">
        <f>=Round(26174.29320000,0)</f>
        <v>#VALUE!</v>
      </c>
    </row>
    <row r="10902">
      <c r="A10902" s="11" t="s">
        <v>45</v>
      </c>
      <c r="B10902" s="12">
        <v>1005.4996</v>
      </c>
      <c r="C10902" s="12">
        <v>4972.6524</v>
      </c>
      <c r="D10902" s="13">
        <v>5000000</v>
      </c>
      <c r="E10902" s="12">
        <v>0</v>
      </c>
      <c r="F10902" s="14">
        <v>0</v>
      </c>
      <c r="G10902" s="13">
        <v>2064748.0795</v>
      </c>
      <c r="H10902" s="14">
        <v>2076103368.038018</v>
      </c>
      <c r="I10902" s="14" t="e">
        <f>=Round(57489.01150000,0)</f>
        <v>#VALUE!</v>
      </c>
      <c r="J10902" s="14" t="e">
        <f>=Round(26131.34270000,0)</f>
        <v>#VALUE!</v>
      </c>
    </row>
    <row r="10903">
      <c r="A10903" s="11" t="s">
        <v>46</v>
      </c>
      <c r="B10903" s="12">
        <v>1014.8298</v>
      </c>
      <c r="C10903" s="12">
        <v>0</v>
      </c>
      <c r="D10903" s="13">
        <v>0</v>
      </c>
      <c r="E10903" s="12">
        <v>0</v>
      </c>
      <c r="F10903" s="14">
        <v>0</v>
      </c>
      <c r="G10903" s="13">
        <v>2069720.7319</v>
      </c>
      <c r="H10903" s="14">
        <v>2100414276.4099309</v>
      </c>
      <c r="I10903" s="14" t="e">
        <f>=Round(57404.82540000,0)</f>
        <v>#VALUE!</v>
      </c>
      <c r="J10903" s="14" t="e">
        <f>=Round(26093.07630000,0)</f>
        <v>#VALUE!</v>
      </c>
    </row>
    <row r="10904">
      <c r="A10904" s="11" t="s">
        <v>47</v>
      </c>
      <c r="B10904" s="12">
        <v>1018.9191</v>
      </c>
      <c r="C10904" s="12">
        <v>0</v>
      </c>
      <c r="D10904" s="13">
        <v>0</v>
      </c>
      <c r="E10904" s="12">
        <v>0</v>
      </c>
      <c r="F10904" s="14">
        <v>0</v>
      </c>
      <c r="G10904" s="13">
        <v>2069720.7319</v>
      </c>
      <c r="H10904" s="14">
        <v>2108877985.3988891</v>
      </c>
      <c r="I10904" s="14" t="e">
        <f>=Round(58077.02860000,0)</f>
        <v>#VALUE!</v>
      </c>
      <c r="J10904" s="14" t="e">
        <f>=Round(26398.62300000,0)</f>
        <v>#VALUE!</v>
      </c>
    </row>
    <row r="10905">
      <c r="A10905" s="11" t="s">
        <v>48</v>
      </c>
      <c r="B10905" s="12">
        <v>1011.3795</v>
      </c>
      <c r="C10905" s="12">
        <v>0</v>
      </c>
      <c r="D10905" s="13">
        <v>0</v>
      </c>
      <c r="E10905" s="12">
        <v>0</v>
      </c>
      <c r="F10905" s="14">
        <v>0</v>
      </c>
      <c r="G10905" s="13">
        <v>2069720.7319</v>
      </c>
      <c r="H10905" s="14">
        <v>2093273118.9686561</v>
      </c>
      <c r="I10905" s="14" t="e">
        <f>=Round(58311.05250000,0)</f>
        <v>#VALUE!</v>
      </c>
      <c r="J10905" s="14" t="e">
        <f>=Round(26504.99740000,0)</f>
        <v>#VALUE!</v>
      </c>
    </row>
    <row r="10906">
      <c r="A10906" s="11" t="s">
        <v>49</v>
      </c>
      <c r="B10906" s="12">
        <v>1011.3795</v>
      </c>
      <c r="C10906" s="12">
        <v>0</v>
      </c>
      <c r="D10906" s="13">
        <v>0</v>
      </c>
      <c r="E10906" s="12">
        <v>0</v>
      </c>
      <c r="F10906" s="14">
        <v>0</v>
      </c>
      <c r="G10906" s="13">
        <v>2069720.7319</v>
      </c>
      <c r="H10906" s="14">
        <v>2093273118.9686561</v>
      </c>
      <c r="I10906" s="14" t="e">
        <f>=Round(57879.57370000,0)</f>
        <v>#VALUE!</v>
      </c>
      <c r="J10906" s="14" t="e">
        <f>=Round(26308.87080000,0)</f>
        <v>#VALUE!</v>
      </c>
    </row>
    <row r="10907">
      <c r="A10907" s="11" t="s">
        <v>50</v>
      </c>
      <c r="B10907" s="12">
        <v>1011.3795</v>
      </c>
      <c r="C10907" s="12">
        <v>0</v>
      </c>
      <c r="D10907" s="13">
        <v>0</v>
      </c>
      <c r="E10907" s="12">
        <v>0</v>
      </c>
      <c r="F10907" s="14">
        <v>0</v>
      </c>
      <c r="G10907" s="13">
        <v>2069720.7319</v>
      </c>
      <c r="H10907" s="14">
        <v>2093273118.9686561</v>
      </c>
      <c r="I10907" s="14" t="e">
        <f>=Round(57879.57370000,0)</f>
        <v>#VALUE!</v>
      </c>
      <c r="J10907" s="14" t="e">
        <f>=Round(26308.87080000,0)</f>
        <v>#VALUE!</v>
      </c>
    </row>
    <row r="10908">
      <c r="A10908" s="11" t="s">
        <v>51</v>
      </c>
      <c r="B10908" s="12">
        <v>995.3126</v>
      </c>
      <c r="C10908" s="12">
        <v>0</v>
      </c>
      <c r="D10908" s="13">
        <v>0</v>
      </c>
      <c r="E10908" s="12">
        <v>0</v>
      </c>
      <c r="F10908" s="14">
        <v>0</v>
      </c>
      <c r="G10908" s="13">
        <v>2069720.7319</v>
      </c>
      <c r="H10908" s="14">
        <v>2060019122.9412921</v>
      </c>
      <c r="I10908" s="14" t="e">
        <f>=Round(57879.57370000,0)</f>
        <v>#VALUE!</v>
      </c>
      <c r="J10908" s="14" t="e">
        <f>=Round(26308.87080000,0)</f>
        <v>#VALUE!</v>
      </c>
    </row>
    <row r="10909">
      <c r="A10909" s="11" t="s">
        <v>52</v>
      </c>
      <c r="B10909" s="12">
        <v>996.4765</v>
      </c>
      <c r="C10909" s="12">
        <v>250.884</v>
      </c>
      <c r="D10909" s="13">
        <v>250000</v>
      </c>
      <c r="E10909" s="12">
        <v>0</v>
      </c>
      <c r="F10909" s="14">
        <v>0</v>
      </c>
      <c r="G10909" s="13">
        <v>2069720.7319</v>
      </c>
      <c r="H10909" s="14">
        <v>2062428070.90115</v>
      </c>
      <c r="I10909" s="14" t="e">
        <f>=Round(56960.09160000,0)</f>
        <v>#VALUE!</v>
      </c>
      <c r="J10909" s="14" t="e">
        <f>=Round(25890.92480000,0)</f>
        <v>#VALUE!</v>
      </c>
    </row>
    <row r="10910">
      <c r="A10910" s="11" t="s">
        <v>53</v>
      </c>
      <c r="B10910" s="12">
        <v>980.4424</v>
      </c>
      <c r="C10910" s="12">
        <v>407.9791</v>
      </c>
      <c r="D10910" s="13">
        <v>400000</v>
      </c>
      <c r="E10910" s="12">
        <v>0</v>
      </c>
      <c r="F10910" s="14">
        <v>0</v>
      </c>
      <c r="G10910" s="13">
        <v>2069971.6159</v>
      </c>
      <c r="H10910" s="14">
        <v>2029487939.024874</v>
      </c>
      <c r="I10910" s="14" t="e">
        <f>=Round(57026.69970000,0)</f>
        <v>#VALUE!</v>
      </c>
      <c r="J10910" s="14" t="e">
        <f>=Round(25921.20120000,0)</f>
        <v>#VALUE!</v>
      </c>
    </row>
    <row r="10911">
      <c r="A10911" s="11" t="s">
        <v>54</v>
      </c>
      <c r="B10911" s="12">
        <v>953.8409</v>
      </c>
      <c r="C10911" s="12">
        <v>0</v>
      </c>
      <c r="D10911" s="13">
        <v>0</v>
      </c>
      <c r="E10911" s="12">
        <v>0</v>
      </c>
      <c r="F10911" s="14">
        <v>0</v>
      </c>
      <c r="G10911" s="13">
        <v>2070379.595</v>
      </c>
      <c r="H10911" s="14">
        <v>1974812736.2364359</v>
      </c>
      <c r="I10911" s="14" t="e">
        <f>=Round(56115.89600000,0)</f>
        <v>#VALUE!</v>
      </c>
      <c r="J10911" s="14" t="e">
        <f>=Round(25507.20000000,0)</f>
        <v>#VALUE!</v>
      </c>
    </row>
    <row r="10912">
      <c r="A10912" s="11" t="s">
        <v>55</v>
      </c>
      <c r="B10912" s="12">
        <v>944.2202</v>
      </c>
      <c r="C10912" s="12">
        <v>0</v>
      </c>
      <c r="D10912" s="13">
        <v>0</v>
      </c>
      <c r="E10912" s="12">
        <v>0</v>
      </c>
      <c r="F10912" s="14">
        <v>0</v>
      </c>
      <c r="G10912" s="13">
        <v>2070379.595</v>
      </c>
      <c r="H10912" s="14">
        <v>1954894235.266819</v>
      </c>
      <c r="I10912" s="14" t="e">
        <f>=Round(54604.11170000,0)</f>
        <v>#VALUE!</v>
      </c>
      <c r="J10912" s="14" t="e">
        <f>=Round(24820.02600000,0)</f>
        <v>#VALUE!</v>
      </c>
    </row>
    <row r="10913" ht="-1">
      <c r="A10913" s="15"/>
      <c r="B10913" s="16" t="s">
        <v>56</v>
      </c>
      <c r="C10913" s="15"/>
      <c r="D10913" s="15"/>
      <c r="E10913" s="15"/>
      <c r="F10913" s="15"/>
      <c r="G10913" s="15"/>
      <c r="H10913" s="15"/>
      <c r="I10913" s="17" t="e">
        <f>=Round(SUM(I10887:I10912),0)</f>
        <v>#VALUE!</v>
      </c>
      <c r="J10913" s="17" t="e">
        <f>=Round(SUM(J10887:J10912),0)</f>
        <v>#VALUE!</v>
      </c>
    </row>
    <row r="10914">
      <c r="A10914" s="1" t="s">
        <v>0</v>
      </c>
      <c r="B10914" s="1"/>
      <c r="C10914" s="1"/>
      <c r="D10914" s="1"/>
    </row>
    <row r="10915">
      <c r="A10915" s="0" t="s">
        <v>1</v>
      </c>
      <c r="C10915" s="0" t="s">
        <v>368</v>
      </c>
      <c r="H10915" s="2" t="s">
        <v>3</v>
      </c>
    </row>
    <row r="10916">
      <c r="A10916" s="0" t="s">
        <v>4</v>
      </c>
      <c r="C10916" s="0" t="s">
        <v>127</v>
      </c>
      <c r="H10916" s="3" t="s">
        <v>6</v>
      </c>
    </row>
    <row r="10917">
      <c r="A10917" s="0" t="s">
        <v>7</v>
      </c>
      <c r="C10917" s="4" t="s">
        <v>370</v>
      </c>
      <c r="H10917" s="2" t="s">
        <v>9</v>
      </c>
    </row>
    <row r="10918">
      <c r="A10918" s="0" t="s">
        <v>10</v>
      </c>
      <c r="C10918" s="4" t="s">
        <v>124</v>
      </c>
      <c r="H10918" s="2" t="s">
        <v>12</v>
      </c>
    </row>
    <row r="10919">
      <c r="A10919" s="0" t="s">
        <v>13</v>
      </c>
      <c r="C10919" s="0" t="s">
        <v>14</v>
      </c>
    </row>
    <row r="10920">
      <c r="A10920" s="0" t="s">
        <v>15</v>
      </c>
      <c r="C10920" s="0" t="s">
        <v>16</v>
      </c>
    </row>
    <row r="10921">
      <c r="A10921" s="0" t="s">
        <v>17</v>
      </c>
      <c r="C10921" s="0" t="s">
        <v>18</v>
      </c>
    </row>
    <row r="10924">
      <c r="A10924" s="5" t="s">
        <v>19</v>
      </c>
      <c r="B10924" s="5" t="s">
        <v>20</v>
      </c>
      <c r="C10924" s="7" t="s">
        <v>21</v>
      </c>
      <c r="D10924" s="9"/>
      <c r="E10924" s="7" t="s">
        <v>22</v>
      </c>
      <c r="F10924" s="9"/>
      <c r="G10924" s="5" t="s">
        <v>23</v>
      </c>
      <c r="H10924" s="5" t="s">
        <v>24</v>
      </c>
      <c r="I10924" s="5" t="s">
        <v>371</v>
      </c>
      <c r="J10924" s="5" t="s">
        <v>125</v>
      </c>
    </row>
    <row r="10925">
      <c r="A10925" s="6"/>
      <c r="B10925" s="6"/>
      <c r="C10925" s="8" t="s">
        <v>27</v>
      </c>
      <c r="D10925" s="8" t="s">
        <v>28</v>
      </c>
      <c r="E10925" s="8" t="s">
        <v>27</v>
      </c>
      <c r="F10925" s="8" t="s">
        <v>28</v>
      </c>
      <c r="G10925" s="6"/>
      <c r="H10925" s="6"/>
      <c r="I10925" s="10" t="s">
        <v>29</v>
      </c>
      <c r="J10925" s="6"/>
    </row>
    <row r="10926">
      <c r="A10926" s="11" t="s">
        <v>30</v>
      </c>
      <c r="B10926" s="12">
        <v>1005.2586</v>
      </c>
      <c r="C10926" s="12">
        <v>4483.4237</v>
      </c>
      <c r="D10926" s="13">
        <v>4507000</v>
      </c>
      <c r="E10926" s="12">
        <v>653.3846</v>
      </c>
      <c r="F10926" s="14">
        <v>656820</v>
      </c>
      <c r="G10926" s="13">
        <v>1819174.6011</v>
      </c>
      <c r="H10926" s="14">
        <v>1828740912.6573441</v>
      </c>
      <c r="I10926" s="14" t="e">
        <f>=Round(50937.31510000,0)</f>
        <v>#VALUE!</v>
      </c>
      <c r="J10926" s="14" t="e">
        <f>=Round(23153.30190000,0)</f>
        <v>#VALUE!</v>
      </c>
    </row>
    <row r="10927">
      <c r="A10927" s="11" t="s">
        <v>31</v>
      </c>
      <c r="B10927" s="12">
        <v>1018.8126</v>
      </c>
      <c r="C10927" s="12">
        <v>51429.3021</v>
      </c>
      <c r="D10927" s="13">
        <v>52396821</v>
      </c>
      <c r="E10927" s="12">
        <v>32.6864</v>
      </c>
      <c r="F10927" s="14">
        <v>33301</v>
      </c>
      <c r="G10927" s="13">
        <v>1823004.6402</v>
      </c>
      <c r="H10927" s="14">
        <v>1857300097.2942269</v>
      </c>
      <c r="I10927" s="14" t="e">
        <f>=Round(50565.18590000,0)</f>
        <v>#VALUE!</v>
      </c>
      <c r="J10927" s="14" t="e">
        <f>=Round(22984.15240000,0)</f>
        <v>#VALUE!</v>
      </c>
    </row>
    <row r="10928">
      <c r="A10928" s="11" t="s">
        <v>32</v>
      </c>
      <c r="B10928" s="12">
        <v>1030.4786</v>
      </c>
      <c r="C10928" s="12">
        <v>738.2938</v>
      </c>
      <c r="D10928" s="13">
        <v>760796</v>
      </c>
      <c r="E10928" s="12">
        <v>0</v>
      </c>
      <c r="F10928" s="14">
        <v>0</v>
      </c>
      <c r="G10928" s="13">
        <v>1874401.2559</v>
      </c>
      <c r="H10928" s="14">
        <v>1931530382.018074</v>
      </c>
      <c r="I10928" s="14" t="e">
        <f>=Round(51354.85510000,0)</f>
        <v>#VALUE!</v>
      </c>
      <c r="J10928" s="14" t="e">
        <f>=Round(23343.09260000,0)</f>
        <v>#VALUE!</v>
      </c>
    </row>
    <row r="10929">
      <c r="A10929" s="11" t="s">
        <v>33</v>
      </c>
      <c r="B10929" s="12">
        <v>1030.4427</v>
      </c>
      <c r="C10929" s="12">
        <v>67.9321</v>
      </c>
      <c r="D10929" s="13">
        <v>70000</v>
      </c>
      <c r="E10929" s="12">
        <v>0</v>
      </c>
      <c r="F10929" s="14">
        <v>0</v>
      </c>
      <c r="G10929" s="13">
        <v>1875139.5497</v>
      </c>
      <c r="H10929" s="14">
        <v>1932223860.4696519</v>
      </c>
      <c r="I10929" s="14" t="e">
        <f>=Round(53407.34280000,0)</f>
        <v>#VALUE!</v>
      </c>
      <c r="J10929" s="14" t="e">
        <f>=Round(24276.04060000,0)</f>
        <v>#VALUE!</v>
      </c>
    </row>
    <row r="10930">
      <c r="A10930" s="11" t="s">
        <v>34</v>
      </c>
      <c r="B10930" s="12">
        <v>1031.1072</v>
      </c>
      <c r="C10930" s="12">
        <v>38.7933</v>
      </c>
      <c r="D10930" s="13">
        <v>40000</v>
      </c>
      <c r="E10930" s="12">
        <v>0.0001</v>
      </c>
      <c r="F10930" s="14">
        <v>0</v>
      </c>
      <c r="G10930" s="13">
        <v>1875207.4818</v>
      </c>
      <c r="H10930" s="14">
        <v>1933539935.977849</v>
      </c>
      <c r="I10930" s="14" t="e">
        <f>=Round(53426.51770000,0)</f>
        <v>#VALUE!</v>
      </c>
      <c r="J10930" s="14" t="e">
        <f>=Round(24284.75650000,0)</f>
        <v>#VALUE!</v>
      </c>
    </row>
    <row r="10931">
      <c r="A10931" s="11" t="s">
        <v>35</v>
      </c>
      <c r="B10931" s="12">
        <v>1031.1072</v>
      </c>
      <c r="C10931" s="12">
        <v>0</v>
      </c>
      <c r="D10931" s="13">
        <v>0</v>
      </c>
      <c r="E10931" s="12">
        <v>0</v>
      </c>
      <c r="F10931" s="14">
        <v>0</v>
      </c>
      <c r="G10931" s="13">
        <v>1875207.4818</v>
      </c>
      <c r="H10931" s="14">
        <v>1933539935.977849</v>
      </c>
      <c r="I10931" s="14" t="e">
        <f>=Round(53462.90750000,0)</f>
        <v>#VALUE!</v>
      </c>
      <c r="J10931" s="14" t="e">
        <f>=Round(24301.29730000,0)</f>
        <v>#VALUE!</v>
      </c>
    </row>
    <row r="10932">
      <c r="A10932" s="11" t="s">
        <v>36</v>
      </c>
      <c r="B10932" s="12">
        <v>1031.1072</v>
      </c>
      <c r="C10932" s="12">
        <v>0</v>
      </c>
      <c r="D10932" s="13">
        <v>0</v>
      </c>
      <c r="E10932" s="12">
        <v>0</v>
      </c>
      <c r="F10932" s="14">
        <v>0</v>
      </c>
      <c r="G10932" s="13">
        <v>1875207.4818</v>
      </c>
      <c r="H10932" s="14">
        <v>1933539935.977849</v>
      </c>
      <c r="I10932" s="14" t="e">
        <f>=Round(53462.90750000,0)</f>
        <v>#VALUE!</v>
      </c>
      <c r="J10932" s="14" t="e">
        <f>=Round(24301.29730000,0)</f>
        <v>#VALUE!</v>
      </c>
    </row>
    <row r="10933">
      <c r="A10933" s="11" t="s">
        <v>37</v>
      </c>
      <c r="B10933" s="12">
        <v>1025.3453</v>
      </c>
      <c r="C10933" s="12">
        <v>97.5281</v>
      </c>
      <c r="D10933" s="13">
        <v>100000</v>
      </c>
      <c r="E10933" s="12">
        <v>0</v>
      </c>
      <c r="F10933" s="14">
        <v>0</v>
      </c>
      <c r="G10933" s="13">
        <v>1875246.275</v>
      </c>
      <c r="H10933" s="14">
        <v>1922774954.413758</v>
      </c>
      <c r="I10933" s="14" t="e">
        <f>=Round(53462.90750000,0)</f>
        <v>#VALUE!</v>
      </c>
      <c r="J10933" s="14" t="e">
        <f>=Round(24301.29730000,0)</f>
        <v>#VALUE!</v>
      </c>
    </row>
    <row r="10934">
      <c r="A10934" s="11" t="s">
        <v>38</v>
      </c>
      <c r="B10934" s="12">
        <v>1022.7892</v>
      </c>
      <c r="C10934" s="12">
        <v>58.6632</v>
      </c>
      <c r="D10934" s="13">
        <v>60000</v>
      </c>
      <c r="E10934" s="12">
        <v>1010.81</v>
      </c>
      <c r="F10934" s="14">
        <v>1033846</v>
      </c>
      <c r="G10934" s="13">
        <v>1875343.8031</v>
      </c>
      <c r="H10934" s="14">
        <v>1918081388.0976069</v>
      </c>
      <c r="I10934" s="14" t="e">
        <f>=Round(53165.25280000,0)</f>
        <v>#VALUE!</v>
      </c>
      <c r="J10934" s="14" t="e">
        <f>=Round(24165.99990000,0)</f>
        <v>#VALUE!</v>
      </c>
    </row>
    <row r="10935">
      <c r="A10935" s="11" t="s">
        <v>39</v>
      </c>
      <c r="B10935" s="12">
        <v>1015.9987</v>
      </c>
      <c r="C10935" s="12">
        <v>4950.7937</v>
      </c>
      <c r="D10935" s="13">
        <v>5030000</v>
      </c>
      <c r="E10935" s="12">
        <v>95.827</v>
      </c>
      <c r="F10935" s="14">
        <v>97360</v>
      </c>
      <c r="G10935" s="13">
        <v>1874391.6563</v>
      </c>
      <c r="H10935" s="14">
        <v>1904379486.0916469</v>
      </c>
      <c r="I10935" s="14" t="e">
        <f>=Round(53035.47440000,0)</f>
        <v>#VALUE!</v>
      </c>
      <c r="J10935" s="14" t="e">
        <f>=Round(24107.00970000,0)</f>
        <v>#VALUE!</v>
      </c>
    </row>
    <row r="10936">
      <c r="A10936" s="11" t="s">
        <v>40</v>
      </c>
      <c r="B10936" s="12">
        <v>1011.1407</v>
      </c>
      <c r="C10936" s="12">
        <v>346.1438</v>
      </c>
      <c r="D10936" s="13">
        <v>350000</v>
      </c>
      <c r="E10936" s="12">
        <v>0</v>
      </c>
      <c r="F10936" s="14">
        <v>0</v>
      </c>
      <c r="G10936" s="13">
        <v>1879246.623</v>
      </c>
      <c r="H10936" s="14">
        <v>1900182745.8528559</v>
      </c>
      <c r="I10936" s="14" t="e">
        <f>=Round(52656.61310000,0)</f>
        <v>#VALUE!</v>
      </c>
      <c r="J10936" s="14" t="e">
        <f>=Round(23934.80020000,0)</f>
        <v>#VALUE!</v>
      </c>
    </row>
    <row r="10937">
      <c r="A10937" s="11" t="s">
        <v>41</v>
      </c>
      <c r="B10937" s="12">
        <v>1008.6293</v>
      </c>
      <c r="C10937" s="12">
        <v>4263.2115</v>
      </c>
      <c r="D10937" s="13">
        <v>4300000</v>
      </c>
      <c r="E10937" s="12">
        <v>0.0003</v>
      </c>
      <c r="F10937" s="14">
        <v>0</v>
      </c>
      <c r="G10937" s="13">
        <v>1879592.7668</v>
      </c>
      <c r="H10937" s="14">
        <v>1895812336.6625471</v>
      </c>
      <c r="I10937" s="14" t="e">
        <f>=Round(52540.57210000,0)</f>
        <v>#VALUE!</v>
      </c>
      <c r="J10937" s="14" t="e">
        <f>=Round(23882.05430000,0)</f>
        <v>#VALUE!</v>
      </c>
    </row>
    <row r="10938">
      <c r="A10938" s="11" t="s">
        <v>42</v>
      </c>
      <c r="B10938" s="12">
        <v>1008.6293</v>
      </c>
      <c r="C10938" s="12">
        <v>0</v>
      </c>
      <c r="D10938" s="13">
        <v>0</v>
      </c>
      <c r="E10938" s="12">
        <v>0</v>
      </c>
      <c r="F10938" s="14">
        <v>0</v>
      </c>
      <c r="G10938" s="13">
        <v>1879592.7668</v>
      </c>
      <c r="H10938" s="14">
        <v>1895812336.6625471</v>
      </c>
      <c r="I10938" s="14" t="e">
        <f>=Round(52419.72910000,0)</f>
        <v>#VALUE!</v>
      </c>
      <c r="J10938" s="14" t="e">
        <f>=Round(23827.12580000,0)</f>
        <v>#VALUE!</v>
      </c>
    </row>
    <row r="10939">
      <c r="A10939" s="11" t="s">
        <v>43</v>
      </c>
      <c r="B10939" s="12">
        <v>1008.6293</v>
      </c>
      <c r="C10939" s="12">
        <v>0</v>
      </c>
      <c r="D10939" s="13">
        <v>0</v>
      </c>
      <c r="E10939" s="12">
        <v>0</v>
      </c>
      <c r="F10939" s="14">
        <v>0</v>
      </c>
      <c r="G10939" s="13">
        <v>1879592.7668</v>
      </c>
      <c r="H10939" s="14">
        <v>1895812336.6625471</v>
      </c>
      <c r="I10939" s="14" t="e">
        <f>=Round(52419.72910000,0)</f>
        <v>#VALUE!</v>
      </c>
      <c r="J10939" s="14" t="e">
        <f>=Round(23827.12580000,0)</f>
        <v>#VALUE!</v>
      </c>
    </row>
    <row r="10940">
      <c r="A10940" s="11" t="s">
        <v>44</v>
      </c>
      <c r="B10940" s="12">
        <v>1006.9742</v>
      </c>
      <c r="C10940" s="12">
        <v>941.4342</v>
      </c>
      <c r="D10940" s="13">
        <v>948000</v>
      </c>
      <c r="E10940" s="12">
        <v>0.0001</v>
      </c>
      <c r="F10940" s="14">
        <v>0</v>
      </c>
      <c r="G10940" s="13">
        <v>1883855.978</v>
      </c>
      <c r="H10940" s="14">
        <v>1896994366.361768</v>
      </c>
      <c r="I10940" s="14" t="e">
        <f>=Round(52419.72910000,0)</f>
        <v>#VALUE!</v>
      </c>
      <c r="J10940" s="14" t="e">
        <f>=Round(23827.12580000,0)</f>
        <v>#VALUE!</v>
      </c>
    </row>
    <row r="10941">
      <c r="A10941" s="11" t="s">
        <v>45</v>
      </c>
      <c r="B10941" s="12">
        <v>1005.4996</v>
      </c>
      <c r="C10941" s="12">
        <v>84.5351</v>
      </c>
      <c r="D10941" s="13">
        <v>85000</v>
      </c>
      <c r="E10941" s="12">
        <v>1485.0164</v>
      </c>
      <c r="F10941" s="14">
        <v>1493183</v>
      </c>
      <c r="G10941" s="13">
        <v>1884797.4121</v>
      </c>
      <c r="H10941" s="14">
        <v>1895163043.9475851</v>
      </c>
      <c r="I10941" s="14" t="e">
        <f>=Round(52452.41250000,0)</f>
        <v>#VALUE!</v>
      </c>
      <c r="J10941" s="14" t="e">
        <f>=Round(23841.98190000,0)</f>
        <v>#VALUE!</v>
      </c>
    </row>
    <row r="10942">
      <c r="A10942" s="11" t="s">
        <v>46</v>
      </c>
      <c r="B10942" s="12">
        <v>1014.8298</v>
      </c>
      <c r="C10942" s="12">
        <v>19.7078</v>
      </c>
      <c r="D10942" s="13">
        <v>20000</v>
      </c>
      <c r="E10942" s="12">
        <v>247.8611</v>
      </c>
      <c r="F10942" s="14">
        <v>251537</v>
      </c>
      <c r="G10942" s="13">
        <v>1883396.9308</v>
      </c>
      <c r="H10942" s="14">
        <v>1911327330.604378</v>
      </c>
      <c r="I10942" s="14" t="e">
        <f>=Round(52401.77600000,0)</f>
        <v>#VALUE!</v>
      </c>
      <c r="J10942" s="14" t="e">
        <f>=Round(23818.96530000,0)</f>
        <v>#VALUE!</v>
      </c>
    </row>
    <row r="10943">
      <c r="A10943" s="11" t="s">
        <v>47</v>
      </c>
      <c r="B10943" s="12">
        <v>1018.9191</v>
      </c>
      <c r="C10943" s="12">
        <v>29.443</v>
      </c>
      <c r="D10943" s="13">
        <v>30000</v>
      </c>
      <c r="E10943" s="12">
        <v>0.0001</v>
      </c>
      <c r="F10943" s="14">
        <v>0</v>
      </c>
      <c r="G10943" s="13">
        <v>1883168.7775</v>
      </c>
      <c r="H10943" s="14">
        <v>1918796635.9184</v>
      </c>
      <c r="I10943" s="14" t="e">
        <f>=Round(52848.72290000,0)</f>
        <v>#VALUE!</v>
      </c>
      <c r="J10943" s="14" t="e">
        <f>=Round(24022.12280000,0)</f>
        <v>#VALUE!</v>
      </c>
    </row>
    <row r="10944">
      <c r="A10944" s="11" t="s">
        <v>48</v>
      </c>
      <c r="B10944" s="12">
        <v>1011.3795</v>
      </c>
      <c r="C10944" s="12">
        <v>128.5374</v>
      </c>
      <c r="D10944" s="13">
        <v>130000</v>
      </c>
      <c r="E10944" s="12">
        <v>19.7841</v>
      </c>
      <c r="F10944" s="14">
        <v>20009</v>
      </c>
      <c r="G10944" s="13">
        <v>1883198.2204</v>
      </c>
      <c r="H10944" s="14">
        <v>1904628074.549042</v>
      </c>
      <c r="I10944" s="14" t="e">
        <f>=Round(53055.25120000,0)</f>
        <v>#VALUE!</v>
      </c>
      <c r="J10944" s="14" t="e">
        <f>=Round(24115.99920000,0)</f>
        <v>#VALUE!</v>
      </c>
    </row>
    <row r="10945">
      <c r="A10945" s="11" t="s">
        <v>49</v>
      </c>
      <c r="B10945" s="12">
        <v>1011.3795</v>
      </c>
      <c r="C10945" s="12">
        <v>0</v>
      </c>
      <c r="D10945" s="13">
        <v>0</v>
      </c>
      <c r="E10945" s="12">
        <v>0</v>
      </c>
      <c r="F10945" s="14">
        <v>0</v>
      </c>
      <c r="G10945" s="13">
        <v>1883198.2204</v>
      </c>
      <c r="H10945" s="14">
        <v>1904628074.549042</v>
      </c>
      <c r="I10945" s="14" t="e">
        <f>=Round(52663.48670000,0)</f>
        <v>#VALUE!</v>
      </c>
      <c r="J10945" s="14" t="e">
        <f>=Round(23937.92450000,0)</f>
        <v>#VALUE!</v>
      </c>
    </row>
    <row r="10946">
      <c r="A10946" s="11" t="s">
        <v>50</v>
      </c>
      <c r="B10946" s="12">
        <v>1011.3795</v>
      </c>
      <c r="C10946" s="12">
        <v>0</v>
      </c>
      <c r="D10946" s="13">
        <v>0</v>
      </c>
      <c r="E10946" s="12">
        <v>0</v>
      </c>
      <c r="F10946" s="14">
        <v>0</v>
      </c>
      <c r="G10946" s="13">
        <v>1883198.2204</v>
      </c>
      <c r="H10946" s="14">
        <v>1904628074.549042</v>
      </c>
      <c r="I10946" s="14" t="e">
        <f>=Round(52663.48670000,0)</f>
        <v>#VALUE!</v>
      </c>
      <c r="J10946" s="14" t="e">
        <f>=Round(23937.92450000,0)</f>
        <v>#VALUE!</v>
      </c>
    </row>
    <row r="10947">
      <c r="A10947" s="11" t="s">
        <v>51</v>
      </c>
      <c r="B10947" s="12">
        <v>995.3126</v>
      </c>
      <c r="C10947" s="12">
        <v>5586.466</v>
      </c>
      <c r="D10947" s="13">
        <v>5560280</v>
      </c>
      <c r="E10947" s="12">
        <v>1470.6796</v>
      </c>
      <c r="F10947" s="14">
        <v>1463786</v>
      </c>
      <c r="G10947" s="13">
        <v>1883306.9737</v>
      </c>
      <c r="H10947" s="14">
        <v>1874479160.5914791</v>
      </c>
      <c r="I10947" s="14" t="e">
        <f>=Round(52663.48670000,0)</f>
        <v>#VALUE!</v>
      </c>
      <c r="J10947" s="14" t="e">
        <f>=Round(23937.92450000,0)</f>
        <v>#VALUE!</v>
      </c>
    </row>
    <row r="10948">
      <c r="A10948" s="11" t="s">
        <v>52</v>
      </c>
      <c r="B10948" s="12">
        <v>996.4765</v>
      </c>
      <c r="C10948" s="12">
        <v>163.5764</v>
      </c>
      <c r="D10948" s="13">
        <v>163000</v>
      </c>
      <c r="E10948" s="12">
        <v>0</v>
      </c>
      <c r="F10948" s="14">
        <v>0</v>
      </c>
      <c r="G10948" s="13">
        <v>1887422.7601</v>
      </c>
      <c r="H10948" s="14">
        <v>1880772426.0047879</v>
      </c>
      <c r="I10948" s="14" t="e">
        <f>=Round(51829.86090000,0)</f>
        <v>#VALUE!</v>
      </c>
      <c r="J10948" s="14" t="e">
        <f>=Round(23559.00410000,0)</f>
        <v>#VALUE!</v>
      </c>
    </row>
    <row r="10949">
      <c r="A10949" s="11" t="s">
        <v>53</v>
      </c>
      <c r="B10949" s="12">
        <v>980.4424</v>
      </c>
      <c r="C10949" s="12">
        <v>0</v>
      </c>
      <c r="D10949" s="13">
        <v>0</v>
      </c>
      <c r="E10949" s="12">
        <v>0</v>
      </c>
      <c r="F10949" s="14">
        <v>0</v>
      </c>
      <c r="G10949" s="13">
        <v>1887586.3365</v>
      </c>
      <c r="H10949" s="14">
        <v>1850669677.9652679</v>
      </c>
      <c r="I10949" s="14" t="e">
        <f>=Round(52003.87150000,0)</f>
        <v>#VALUE!</v>
      </c>
      <c r="J10949" s="14" t="e">
        <f>=Round(23638.09970000,0)</f>
        <v>#VALUE!</v>
      </c>
    </row>
    <row r="10950">
      <c r="A10950" s="11" t="s">
        <v>54</v>
      </c>
      <c r="B10950" s="12">
        <v>953.8409</v>
      </c>
      <c r="C10950" s="12">
        <v>37165.5273</v>
      </c>
      <c r="D10950" s="13">
        <v>35450000</v>
      </c>
      <c r="E10950" s="12">
        <v>67.7292</v>
      </c>
      <c r="F10950" s="14">
        <v>64603</v>
      </c>
      <c r="G10950" s="13">
        <v>1887586.3365</v>
      </c>
      <c r="H10950" s="14">
        <v>1800457050.034863</v>
      </c>
      <c r="I10950" s="14" t="e">
        <f>=Round(51171.52220000,0)</f>
        <v>#VALUE!</v>
      </c>
      <c r="J10950" s="14" t="e">
        <f>=Round(23259.75960000,0)</f>
        <v>#VALUE!</v>
      </c>
    </row>
    <row r="10951">
      <c r="A10951" s="11" t="s">
        <v>55</v>
      </c>
      <c r="B10951" s="12">
        <v>944.2202</v>
      </c>
      <c r="C10951" s="12">
        <v>4882.3359</v>
      </c>
      <c r="D10951" s="13">
        <v>4610000</v>
      </c>
      <c r="E10951" s="12">
        <v>0</v>
      </c>
      <c r="F10951" s="14">
        <v>0</v>
      </c>
      <c r="G10951" s="13">
        <v>1924684.1346</v>
      </c>
      <c r="H10951" s="14">
        <v>1817325638.5088389</v>
      </c>
      <c r="I10951" s="14" t="e">
        <f>=Round(49783.12940000,0)</f>
        <v>#VALUE!</v>
      </c>
      <c r="J10951" s="14" t="e">
        <f>=Round(22628.67250000,0)</f>
        <v>#VALUE!</v>
      </c>
    </row>
    <row r="10952" ht="-1">
      <c r="A10952" s="15"/>
      <c r="B10952" s="16" t="s">
        <v>56</v>
      </c>
      <c r="C10952" s="15"/>
      <c r="D10952" s="15"/>
      <c r="E10952" s="15"/>
      <c r="F10952" s="15"/>
      <c r="G10952" s="15"/>
      <c r="H10952" s="15"/>
      <c r="I10952" s="17" t="e">
        <f>=Round(SUM(I10926:I10951),0)</f>
        <v>#VALUE!</v>
      </c>
      <c r="J10952" s="17" t="e">
        <f>=Round(SUM(J10926:J10951),0)</f>
        <v>#VALUE!</v>
      </c>
    </row>
    <row r="10953">
      <c r="A10953" s="1" t="s">
        <v>0</v>
      </c>
      <c r="B10953" s="1"/>
      <c r="C10953" s="1"/>
      <c r="D10953" s="1"/>
    </row>
    <row r="10954">
      <c r="A10954" s="0" t="s">
        <v>1</v>
      </c>
      <c r="C10954" s="0" t="s">
        <v>368</v>
      </c>
      <c r="H10954" s="2" t="s">
        <v>3</v>
      </c>
    </row>
    <row r="10955">
      <c r="A10955" s="0" t="s">
        <v>4</v>
      </c>
      <c r="C10955" s="0" t="s">
        <v>129</v>
      </c>
      <c r="H10955" s="3" t="s">
        <v>6</v>
      </c>
    </row>
    <row r="10956">
      <c r="A10956" s="0" t="s">
        <v>7</v>
      </c>
      <c r="C10956" s="4" t="s">
        <v>370</v>
      </c>
      <c r="H10956" s="2" t="s">
        <v>9</v>
      </c>
    </row>
    <row r="10957">
      <c r="A10957" s="0" t="s">
        <v>10</v>
      </c>
      <c r="C10957" s="4" t="s">
        <v>124</v>
      </c>
      <c r="H10957" s="2" t="s">
        <v>12</v>
      </c>
    </row>
    <row r="10958">
      <c r="A10958" s="0" t="s">
        <v>13</v>
      </c>
      <c r="C10958" s="0" t="s">
        <v>14</v>
      </c>
    </row>
    <row r="10959">
      <c r="A10959" s="0" t="s">
        <v>15</v>
      </c>
      <c r="C10959" s="0" t="s">
        <v>16</v>
      </c>
    </row>
    <row r="10960">
      <c r="A10960" s="0" t="s">
        <v>17</v>
      </c>
      <c r="C10960" s="0" t="s">
        <v>18</v>
      </c>
    </row>
    <row r="10963">
      <c r="A10963" s="5" t="s">
        <v>19</v>
      </c>
      <c r="B10963" s="5" t="s">
        <v>20</v>
      </c>
      <c r="C10963" s="7" t="s">
        <v>21</v>
      </c>
      <c r="D10963" s="9"/>
      <c r="E10963" s="7" t="s">
        <v>22</v>
      </c>
      <c r="F10963" s="9"/>
      <c r="G10963" s="5" t="s">
        <v>23</v>
      </c>
      <c r="H10963" s="5" t="s">
        <v>24</v>
      </c>
      <c r="I10963" s="5" t="s">
        <v>371</v>
      </c>
      <c r="J10963" s="5" t="s">
        <v>125</v>
      </c>
    </row>
    <row r="10964">
      <c r="A10964" s="6"/>
      <c r="B10964" s="6"/>
      <c r="C10964" s="8" t="s">
        <v>27</v>
      </c>
      <c r="D10964" s="8" t="s">
        <v>28</v>
      </c>
      <c r="E10964" s="8" t="s">
        <v>27</v>
      </c>
      <c r="F10964" s="8" t="s">
        <v>28</v>
      </c>
      <c r="G10964" s="6"/>
      <c r="H10964" s="6"/>
      <c r="I10964" s="10" t="s">
        <v>29</v>
      </c>
      <c r="J10964" s="6"/>
    </row>
    <row r="10965">
      <c r="A10965" s="11" t="s">
        <v>30</v>
      </c>
      <c r="B10965" s="12">
        <v>1005.2586</v>
      </c>
      <c r="C10965" s="12">
        <v>1740.8456</v>
      </c>
      <c r="D10965" s="13">
        <v>1750000</v>
      </c>
      <c r="E10965" s="12">
        <v>140.6476</v>
      </c>
      <c r="F10965" s="14">
        <v>141387</v>
      </c>
      <c r="G10965" s="13">
        <v>164594.4751</v>
      </c>
      <c r="H10965" s="14">
        <v>165460011.606761</v>
      </c>
      <c r="I10965" s="14" t="e">
        <f>=Round(4610.59850000,0)</f>
        <v>#VALUE!</v>
      </c>
      <c r="J10965" s="14" t="e">
        <f>=Round(2095.72450000,0)</f>
        <v>#VALUE!</v>
      </c>
    </row>
    <row r="10966">
      <c r="A10966" s="11" t="s">
        <v>31</v>
      </c>
      <c r="B10966" s="12">
        <v>1018.8126</v>
      </c>
      <c r="C10966" s="12">
        <v>0</v>
      </c>
      <c r="D10966" s="13">
        <v>0</v>
      </c>
      <c r="E10966" s="12">
        <v>0</v>
      </c>
      <c r="F10966" s="14">
        <v>0</v>
      </c>
      <c r="G10966" s="13">
        <v>166194.6731</v>
      </c>
      <c r="H10966" s="14">
        <v>169321227.007161</v>
      </c>
      <c r="I10966" s="14" t="e">
        <f>=Round(4575.01450000,0)</f>
        <v>#VALUE!</v>
      </c>
      <c r="J10966" s="14" t="e">
        <f>=Round(2079.55000000,0)</f>
        <v>#VALUE!</v>
      </c>
    </row>
    <row r="10967">
      <c r="A10967" s="11" t="s">
        <v>32</v>
      </c>
      <c r="B10967" s="12">
        <v>1030.4786</v>
      </c>
      <c r="C10967" s="12">
        <v>2620.1417</v>
      </c>
      <c r="D10967" s="13">
        <v>2700000</v>
      </c>
      <c r="E10967" s="12">
        <v>0</v>
      </c>
      <c r="F10967" s="14">
        <v>0</v>
      </c>
      <c r="G10967" s="13">
        <v>166194.6731</v>
      </c>
      <c r="H10967" s="14">
        <v>171260054.063546</v>
      </c>
      <c r="I10967" s="14" t="e">
        <f>=Round(4681.77820000,0)</f>
        <v>#VALUE!</v>
      </c>
      <c r="J10967" s="14" t="e">
        <f>=Round(2128.07890000,0)</f>
        <v>#VALUE!</v>
      </c>
    </row>
    <row r="10968">
      <c r="A10968" s="11" t="s">
        <v>33</v>
      </c>
      <c r="B10968" s="12">
        <v>1030.4427</v>
      </c>
      <c r="C10968" s="12">
        <v>10675.0235</v>
      </c>
      <c r="D10968" s="13">
        <v>11000000</v>
      </c>
      <c r="E10968" s="12">
        <v>0</v>
      </c>
      <c r="F10968" s="14">
        <v>0</v>
      </c>
      <c r="G10968" s="13">
        <v>168814.8148</v>
      </c>
      <c r="H10968" s="14">
        <v>173953993.562512</v>
      </c>
      <c r="I10968" s="14" t="e">
        <f>=Round(4735.38730000,0)</f>
        <v>#VALUE!</v>
      </c>
      <c r="J10968" s="14" t="e">
        <f>=Round(2152.44660000,0)</f>
        <v>#VALUE!</v>
      </c>
    </row>
    <row r="10969">
      <c r="A10969" s="11" t="s">
        <v>34</v>
      </c>
      <c r="B10969" s="12">
        <v>1031.1072</v>
      </c>
      <c r="C10969" s="12">
        <v>14547.469</v>
      </c>
      <c r="D10969" s="13">
        <v>15000000</v>
      </c>
      <c r="E10969" s="12">
        <v>0</v>
      </c>
      <c r="F10969" s="14">
        <v>0</v>
      </c>
      <c r="G10969" s="13">
        <v>179489.8383</v>
      </c>
      <c r="H10969" s="14">
        <v>185073264.597966</v>
      </c>
      <c r="I10969" s="14" t="e">
        <f>=Round(4809.87550000,0)</f>
        <v>#VALUE!</v>
      </c>
      <c r="J10969" s="14" t="e">
        <f>=Round(2186.30480000,0)</f>
        <v>#VALUE!</v>
      </c>
    </row>
    <row r="10970">
      <c r="A10970" s="11" t="s">
        <v>35</v>
      </c>
      <c r="B10970" s="12">
        <v>1031.1072</v>
      </c>
      <c r="C10970" s="12">
        <v>0</v>
      </c>
      <c r="D10970" s="13">
        <v>0</v>
      </c>
      <c r="E10970" s="12">
        <v>0</v>
      </c>
      <c r="F10970" s="14">
        <v>0</v>
      </c>
      <c r="G10970" s="13">
        <v>179489.8383</v>
      </c>
      <c r="H10970" s="14">
        <v>185073264.597966</v>
      </c>
      <c r="I10970" s="14" t="e">
        <f>=Round(5117.32630000,0)</f>
        <v>#VALUE!</v>
      </c>
      <c r="J10970" s="14" t="e">
        <f>=Round(2326.05510000,0)</f>
        <v>#VALUE!</v>
      </c>
    </row>
    <row r="10971">
      <c r="A10971" s="11" t="s">
        <v>36</v>
      </c>
      <c r="B10971" s="12">
        <v>1031.1072</v>
      </c>
      <c r="C10971" s="12">
        <v>0</v>
      </c>
      <c r="D10971" s="13">
        <v>0</v>
      </c>
      <c r="E10971" s="12">
        <v>0</v>
      </c>
      <c r="F10971" s="14">
        <v>0</v>
      </c>
      <c r="G10971" s="13">
        <v>179489.8383</v>
      </c>
      <c r="H10971" s="14">
        <v>185073264.597966</v>
      </c>
      <c r="I10971" s="14" t="e">
        <f>=Round(5117.32630000,0)</f>
        <v>#VALUE!</v>
      </c>
      <c r="J10971" s="14" t="e">
        <f>=Round(2326.05510000,0)</f>
        <v>#VALUE!</v>
      </c>
    </row>
    <row r="10972">
      <c r="A10972" s="11" t="s">
        <v>37</v>
      </c>
      <c r="B10972" s="12">
        <v>1025.3453</v>
      </c>
      <c r="C10972" s="12">
        <v>0</v>
      </c>
      <c r="D10972" s="13">
        <v>0</v>
      </c>
      <c r="E10972" s="12">
        <v>0</v>
      </c>
      <c r="F10972" s="14">
        <v>0</v>
      </c>
      <c r="G10972" s="13">
        <v>194037.3073</v>
      </c>
      <c r="H10972" s="14">
        <v>198955241.064711</v>
      </c>
      <c r="I10972" s="14" t="e">
        <f>=Round(5117.32630000,0)</f>
        <v>#VALUE!</v>
      </c>
      <c r="J10972" s="14" t="e">
        <f>=Round(2326.05510000,0)</f>
        <v>#VALUE!</v>
      </c>
    </row>
    <row r="10973">
      <c r="A10973" s="11" t="s">
        <v>38</v>
      </c>
      <c r="B10973" s="12">
        <v>1022.7892</v>
      </c>
      <c r="C10973" s="12">
        <v>10070.5014</v>
      </c>
      <c r="D10973" s="13">
        <v>10300000</v>
      </c>
      <c r="E10973" s="12">
        <v>1950.0765</v>
      </c>
      <c r="F10973" s="14">
        <v>1994517</v>
      </c>
      <c r="G10973" s="13">
        <v>194037.3073</v>
      </c>
      <c r="H10973" s="14">
        <v>198459262.303521</v>
      </c>
      <c r="I10973" s="14" t="e">
        <f>=Round(5501.16680000,0)</f>
        <v>#VALUE!</v>
      </c>
      <c r="J10973" s="14" t="e">
        <f>=Round(2500.52790000,0)</f>
        <v>#VALUE!</v>
      </c>
    </row>
    <row r="10974">
      <c r="A10974" s="11" t="s">
        <v>39</v>
      </c>
      <c r="B10974" s="12">
        <v>1015.9987</v>
      </c>
      <c r="C10974" s="12">
        <v>0</v>
      </c>
      <c r="D10974" s="13">
        <v>0</v>
      </c>
      <c r="E10974" s="12">
        <v>0</v>
      </c>
      <c r="F10974" s="14">
        <v>0</v>
      </c>
      <c r="G10974" s="13">
        <v>202157.7322</v>
      </c>
      <c r="H10974" s="14">
        <v>205391993.110148</v>
      </c>
      <c r="I10974" s="14" t="e">
        <f>=Round(5487.45280000,0)</f>
        <v>#VALUE!</v>
      </c>
      <c r="J10974" s="14" t="e">
        <f>=Round(2494.29420000,0)</f>
        <v>#VALUE!</v>
      </c>
    </row>
    <row r="10975">
      <c r="A10975" s="11" t="s">
        <v>40</v>
      </c>
      <c r="B10975" s="12">
        <v>1011.1407</v>
      </c>
      <c r="C10975" s="12">
        <v>4109.3322</v>
      </c>
      <c r="D10975" s="13">
        <v>4155113</v>
      </c>
      <c r="E10975" s="12">
        <v>0.0001</v>
      </c>
      <c r="F10975" s="14">
        <v>0</v>
      </c>
      <c r="G10975" s="13">
        <v>202157.7322</v>
      </c>
      <c r="H10975" s="14">
        <v>204409910.847121</v>
      </c>
      <c r="I10975" s="14" t="e">
        <f>=Round(5679.14470000,0)</f>
        <v>#VALUE!</v>
      </c>
      <c r="J10975" s="14" t="e">
        <f>=Round(2581.42680000,0)</f>
        <v>#VALUE!</v>
      </c>
    </row>
    <row r="10976">
      <c r="A10976" s="11" t="s">
        <v>41</v>
      </c>
      <c r="B10976" s="12">
        <v>1008.6293</v>
      </c>
      <c r="C10976" s="12">
        <v>0</v>
      </c>
      <c r="D10976" s="13">
        <v>0</v>
      </c>
      <c r="E10976" s="12">
        <v>0</v>
      </c>
      <c r="F10976" s="14">
        <v>0</v>
      </c>
      <c r="G10976" s="13">
        <v>206267.0643</v>
      </c>
      <c r="H10976" s="14">
        <v>208047004.677964</v>
      </c>
      <c r="I10976" s="14" t="e">
        <f>=Round(5651.98990000,0)</f>
        <v>#VALUE!</v>
      </c>
      <c r="J10976" s="14" t="e">
        <f>=Round(2569.08370000,0)</f>
        <v>#VALUE!</v>
      </c>
    </row>
    <row r="10977">
      <c r="A10977" s="11" t="s">
        <v>42</v>
      </c>
      <c r="B10977" s="12">
        <v>1008.6293</v>
      </c>
      <c r="C10977" s="12">
        <v>0</v>
      </c>
      <c r="D10977" s="13">
        <v>0</v>
      </c>
      <c r="E10977" s="12">
        <v>0</v>
      </c>
      <c r="F10977" s="14">
        <v>0</v>
      </c>
      <c r="G10977" s="13">
        <v>206267.0643</v>
      </c>
      <c r="H10977" s="14">
        <v>208047004.677964</v>
      </c>
      <c r="I10977" s="14" t="e">
        <f>=Round(5752.55650000,0)</f>
        <v>#VALUE!</v>
      </c>
      <c r="J10977" s="14" t="e">
        <f>=Round(2614.79580000,0)</f>
        <v>#VALUE!</v>
      </c>
    </row>
    <row r="10978">
      <c r="A10978" s="11" t="s">
        <v>43</v>
      </c>
      <c r="B10978" s="12">
        <v>1008.6293</v>
      </c>
      <c r="C10978" s="12">
        <v>0</v>
      </c>
      <c r="D10978" s="13">
        <v>0</v>
      </c>
      <c r="E10978" s="12">
        <v>0</v>
      </c>
      <c r="F10978" s="14">
        <v>0</v>
      </c>
      <c r="G10978" s="13">
        <v>206267.0643</v>
      </c>
      <c r="H10978" s="14">
        <v>208047004.677964</v>
      </c>
      <c r="I10978" s="14" t="e">
        <f>=Round(5752.55650000,0)</f>
        <v>#VALUE!</v>
      </c>
      <c r="J10978" s="14" t="e">
        <f>=Round(2614.79580000,0)</f>
        <v>#VALUE!</v>
      </c>
    </row>
    <row r="10979">
      <c r="A10979" s="11" t="s">
        <v>44</v>
      </c>
      <c r="B10979" s="12">
        <v>1006.9742</v>
      </c>
      <c r="C10979" s="12">
        <v>496.5371</v>
      </c>
      <c r="D10979" s="13">
        <v>500000</v>
      </c>
      <c r="E10979" s="12">
        <v>149.2153</v>
      </c>
      <c r="F10979" s="14">
        <v>150256</v>
      </c>
      <c r="G10979" s="13">
        <v>206267.0643</v>
      </c>
      <c r="H10979" s="14">
        <v>207705612.059841</v>
      </c>
      <c r="I10979" s="14" t="e">
        <f>=Round(5752.55650000,0)</f>
        <v>#VALUE!</v>
      </c>
      <c r="J10979" s="14" t="e">
        <f>=Round(2614.79580000,0)</f>
        <v>#VALUE!</v>
      </c>
    </row>
    <row r="10980">
      <c r="A10980" s="11" t="s">
        <v>45</v>
      </c>
      <c r="B10980" s="12">
        <v>1005.4996</v>
      </c>
      <c r="C10980" s="12">
        <v>0</v>
      </c>
      <c r="D10980" s="13">
        <v>0</v>
      </c>
      <c r="E10980" s="12">
        <v>0</v>
      </c>
      <c r="F10980" s="14">
        <v>0</v>
      </c>
      <c r="G10980" s="13">
        <v>206614.3861</v>
      </c>
      <c r="H10980" s="14">
        <v>207750682.577796</v>
      </c>
      <c r="I10980" s="14" t="e">
        <f>=Round(5743.11690000,0)</f>
        <v>#VALUE!</v>
      </c>
      <c r="J10980" s="14" t="e">
        <f>=Round(2610.50510000,0)</f>
        <v>#VALUE!</v>
      </c>
    </row>
    <row r="10981">
      <c r="A10981" s="11" t="s">
        <v>46</v>
      </c>
      <c r="B10981" s="12">
        <v>1014.8298</v>
      </c>
      <c r="C10981" s="12">
        <v>0</v>
      </c>
      <c r="D10981" s="13">
        <v>0</v>
      </c>
      <c r="E10981" s="12">
        <v>0</v>
      </c>
      <c r="F10981" s="14">
        <v>0</v>
      </c>
      <c r="G10981" s="13">
        <v>206614.3861</v>
      </c>
      <c r="H10981" s="14">
        <v>209678436.122986</v>
      </c>
      <c r="I10981" s="14" t="e">
        <f>=Round(5744.36310000,0)</f>
        <v>#VALUE!</v>
      </c>
      <c r="J10981" s="14" t="e">
        <f>=Round(2611.07150000,0)</f>
        <v>#VALUE!</v>
      </c>
    </row>
    <row r="10982">
      <c r="A10982" s="11" t="s">
        <v>47</v>
      </c>
      <c r="B10982" s="12">
        <v>1018.9191</v>
      </c>
      <c r="C10982" s="12">
        <v>98.1432</v>
      </c>
      <c r="D10982" s="13">
        <v>100000</v>
      </c>
      <c r="E10982" s="12">
        <v>0</v>
      </c>
      <c r="F10982" s="14">
        <v>0</v>
      </c>
      <c r="G10982" s="13">
        <v>206614.3861</v>
      </c>
      <c r="H10982" s="14">
        <v>210523344.332065</v>
      </c>
      <c r="I10982" s="14" t="e">
        <f>=Round(5797.66600000,0)</f>
        <v>#VALUE!</v>
      </c>
      <c r="J10982" s="14" t="e">
        <f>=Round(2635.30010000,0)</f>
        <v>#VALUE!</v>
      </c>
    </row>
    <row r="10983">
      <c r="A10983" s="11" t="s">
        <v>48</v>
      </c>
      <c r="B10983" s="12">
        <v>1011.3795</v>
      </c>
      <c r="C10983" s="12">
        <v>0</v>
      </c>
      <c r="D10983" s="13">
        <v>0</v>
      </c>
      <c r="E10983" s="12">
        <v>0</v>
      </c>
      <c r="F10983" s="14">
        <v>0</v>
      </c>
      <c r="G10983" s="13">
        <v>206712.5293</v>
      </c>
      <c r="H10983" s="14">
        <v>209064814.527169</v>
      </c>
      <c r="I10983" s="14" t="e">
        <f>=Round(5821.02800000,0)</f>
        <v>#VALUE!</v>
      </c>
      <c r="J10983" s="14" t="e">
        <f>=Round(2645.91920000,0)</f>
        <v>#VALUE!</v>
      </c>
    </row>
    <row r="10984">
      <c r="A10984" s="11" t="s">
        <v>49</v>
      </c>
      <c r="B10984" s="12">
        <v>1011.3795</v>
      </c>
      <c r="C10984" s="12">
        <v>0</v>
      </c>
      <c r="D10984" s="13">
        <v>0</v>
      </c>
      <c r="E10984" s="12">
        <v>0</v>
      </c>
      <c r="F10984" s="14">
        <v>0</v>
      </c>
      <c r="G10984" s="13">
        <v>206712.5293</v>
      </c>
      <c r="H10984" s="14">
        <v>209064814.527169</v>
      </c>
      <c r="I10984" s="14" t="e">
        <f>=Round(5780.69920000,0)</f>
        <v>#VALUE!</v>
      </c>
      <c r="J10984" s="14" t="e">
        <f>=Round(2627.58790000,0)</f>
        <v>#VALUE!</v>
      </c>
    </row>
    <row r="10985">
      <c r="A10985" s="11" t="s">
        <v>50</v>
      </c>
      <c r="B10985" s="12">
        <v>1011.3795</v>
      </c>
      <c r="C10985" s="12">
        <v>0</v>
      </c>
      <c r="D10985" s="13">
        <v>0</v>
      </c>
      <c r="E10985" s="12">
        <v>0</v>
      </c>
      <c r="F10985" s="14">
        <v>0</v>
      </c>
      <c r="G10985" s="13">
        <v>206712.5293</v>
      </c>
      <c r="H10985" s="14">
        <v>209064814.527169</v>
      </c>
      <c r="I10985" s="14" t="e">
        <f>=Round(5780.69920000,0)</f>
        <v>#VALUE!</v>
      </c>
      <c r="J10985" s="14" t="e">
        <f>=Round(2627.58790000,0)</f>
        <v>#VALUE!</v>
      </c>
    </row>
    <row r="10986">
      <c r="A10986" s="11" t="s">
        <v>51</v>
      </c>
      <c r="B10986" s="12">
        <v>995.3126</v>
      </c>
      <c r="C10986" s="12">
        <v>150.7064</v>
      </c>
      <c r="D10986" s="13">
        <v>150000</v>
      </c>
      <c r="E10986" s="12">
        <v>25222.4925</v>
      </c>
      <c r="F10986" s="14">
        <v>25104265</v>
      </c>
      <c r="G10986" s="13">
        <v>206712.5293</v>
      </c>
      <c r="H10986" s="14">
        <v>205743584.990159</v>
      </c>
      <c r="I10986" s="14" t="e">
        <f>=Round(5780.69920000,0)</f>
        <v>#VALUE!</v>
      </c>
      <c r="J10986" s="14" t="e">
        <f>=Round(2627.58790000,0)</f>
        <v>#VALUE!</v>
      </c>
    </row>
    <row r="10987">
      <c r="A10987" s="11" t="s">
        <v>52</v>
      </c>
      <c r="B10987" s="12">
        <v>996.4765</v>
      </c>
      <c r="C10987" s="12">
        <v>15163.4284</v>
      </c>
      <c r="D10987" s="13">
        <v>15110000</v>
      </c>
      <c r="E10987" s="12">
        <v>0</v>
      </c>
      <c r="F10987" s="14">
        <v>0</v>
      </c>
      <c r="G10987" s="13">
        <v>181640.7432</v>
      </c>
      <c r="H10987" s="14">
        <v>181000732.041335</v>
      </c>
      <c r="I10987" s="14" t="e">
        <f>=Round(5688.86630000,0)</f>
        <v>#VALUE!</v>
      </c>
      <c r="J10987" s="14" t="e">
        <f>=Round(2585.84580000,0)</f>
        <v>#VALUE!</v>
      </c>
    </row>
    <row r="10988">
      <c r="A10988" s="11" t="s">
        <v>53</v>
      </c>
      <c r="B10988" s="12">
        <v>980.4424</v>
      </c>
      <c r="C10988" s="12">
        <v>0</v>
      </c>
      <c r="D10988" s="13">
        <v>0</v>
      </c>
      <c r="E10988" s="12">
        <v>0</v>
      </c>
      <c r="F10988" s="14">
        <v>0</v>
      </c>
      <c r="G10988" s="13">
        <v>196804.1716</v>
      </c>
      <c r="H10988" s="14">
        <v>192955154.333516</v>
      </c>
      <c r="I10988" s="14" t="e">
        <f>=Round(5004.71970000,0)</f>
        <v>#VALUE!</v>
      </c>
      <c r="J10988" s="14" t="e">
        <f>=Round(2274.87030000,0)</f>
        <v>#VALUE!</v>
      </c>
    </row>
    <row r="10989">
      <c r="A10989" s="11" t="s">
        <v>54</v>
      </c>
      <c r="B10989" s="12">
        <v>953.8409</v>
      </c>
      <c r="C10989" s="12">
        <v>105.8877</v>
      </c>
      <c r="D10989" s="13">
        <v>101000</v>
      </c>
      <c r="E10989" s="12">
        <v>15053.0394</v>
      </c>
      <c r="F10989" s="14">
        <v>14358205</v>
      </c>
      <c r="G10989" s="13">
        <v>196804.1716</v>
      </c>
      <c r="H10989" s="14">
        <v>187719868.162698</v>
      </c>
      <c r="I10989" s="14" t="e">
        <f>=Round(5335.26270000,0)</f>
        <v>#VALUE!</v>
      </c>
      <c r="J10989" s="14" t="e">
        <f>=Round(2425.11700000,0)</f>
        <v>#VALUE!</v>
      </c>
    </row>
    <row r="10990">
      <c r="A10990" s="11" t="s">
        <v>55</v>
      </c>
      <c r="B10990" s="12">
        <v>944.2202</v>
      </c>
      <c r="C10990" s="12">
        <v>264.7687</v>
      </c>
      <c r="D10990" s="13">
        <v>250000</v>
      </c>
      <c r="E10990" s="12">
        <v>0</v>
      </c>
      <c r="F10990" s="14">
        <v>0</v>
      </c>
      <c r="G10990" s="13">
        <v>181857.0199</v>
      </c>
      <c r="H10990" s="14">
        <v>171713071.701382</v>
      </c>
      <c r="I10990" s="14" t="e">
        <f>=Round(5190.50560000,0)</f>
        <v>#VALUE!</v>
      </c>
      <c r="J10990" s="14" t="e">
        <f>=Round(2359.31840000,0)</f>
        <v>#VALUE!</v>
      </c>
    </row>
    <row r="10991" ht="-1">
      <c r="A10991" s="15"/>
      <c r="B10991" s="16" t="s">
        <v>56</v>
      </c>
      <c r="C10991" s="15"/>
      <c r="D10991" s="15"/>
      <c r="E10991" s="15"/>
      <c r="F10991" s="15"/>
      <c r="G10991" s="15"/>
      <c r="H10991" s="15"/>
      <c r="I10991" s="17" t="e">
        <f>=Round(SUM(I10965:I10990),0)</f>
        <v>#VALUE!</v>
      </c>
      <c r="J10991" s="17" t="e">
        <f>=Round(SUM(J10965:J10990),0)</f>
        <v>#VALUE!</v>
      </c>
    </row>
    <row r="10992">
      <c r="A10992" s="1" t="s">
        <v>0</v>
      </c>
      <c r="B10992" s="1"/>
      <c r="C10992" s="1"/>
      <c r="D10992" s="1"/>
    </row>
    <row r="10993">
      <c r="A10993" s="0" t="s">
        <v>1</v>
      </c>
      <c r="C10993" s="0" t="s">
        <v>368</v>
      </c>
      <c r="H10993" s="2" t="s">
        <v>3</v>
      </c>
    </row>
    <row r="10994">
      <c r="A10994" s="0" t="s">
        <v>4</v>
      </c>
      <c r="C10994" s="0" t="s">
        <v>352</v>
      </c>
      <c r="H10994" s="3" t="s">
        <v>6</v>
      </c>
    </row>
    <row r="10995">
      <c r="A10995" s="0" t="s">
        <v>7</v>
      </c>
      <c r="C10995" s="4" t="s">
        <v>370</v>
      </c>
      <c r="H10995" s="2" t="s">
        <v>9</v>
      </c>
    </row>
    <row r="10996">
      <c r="A10996" s="0" t="s">
        <v>10</v>
      </c>
      <c r="C10996" s="4" t="s">
        <v>124</v>
      </c>
      <c r="H10996" s="2" t="s">
        <v>12</v>
      </c>
    </row>
    <row r="10997">
      <c r="A10997" s="0" t="s">
        <v>13</v>
      </c>
      <c r="C10997" s="0" t="s">
        <v>14</v>
      </c>
    </row>
    <row r="10998">
      <c r="A10998" s="0" t="s">
        <v>15</v>
      </c>
      <c r="C10998" s="0" t="s">
        <v>16</v>
      </c>
    </row>
    <row r="10999">
      <c r="A10999" s="0" t="s">
        <v>17</v>
      </c>
      <c r="C10999" s="0" t="s">
        <v>18</v>
      </c>
    </row>
    <row r="11002">
      <c r="A11002" s="5" t="s">
        <v>19</v>
      </c>
      <c r="B11002" s="5" t="s">
        <v>20</v>
      </c>
      <c r="C11002" s="7" t="s">
        <v>21</v>
      </c>
      <c r="D11002" s="9"/>
      <c r="E11002" s="7" t="s">
        <v>22</v>
      </c>
      <c r="F11002" s="9"/>
      <c r="G11002" s="5" t="s">
        <v>23</v>
      </c>
      <c r="H11002" s="5" t="s">
        <v>24</v>
      </c>
      <c r="I11002" s="5" t="s">
        <v>371</v>
      </c>
      <c r="J11002" s="5" t="s">
        <v>125</v>
      </c>
    </row>
    <row r="11003">
      <c r="A11003" s="6"/>
      <c r="B11003" s="6"/>
      <c r="C11003" s="8" t="s">
        <v>27</v>
      </c>
      <c r="D11003" s="8" t="s">
        <v>28</v>
      </c>
      <c r="E11003" s="8" t="s">
        <v>27</v>
      </c>
      <c r="F11003" s="8" t="s">
        <v>28</v>
      </c>
      <c r="G11003" s="6"/>
      <c r="H11003" s="6"/>
      <c r="I11003" s="10" t="s">
        <v>29</v>
      </c>
      <c r="J11003" s="6"/>
    </row>
    <row r="11004">
      <c r="A11004" s="11" t="s">
        <v>30</v>
      </c>
      <c r="B11004" s="12">
        <v>1005.2586</v>
      </c>
      <c r="C11004" s="12">
        <v>1444.1061</v>
      </c>
      <c r="D11004" s="13">
        <v>1451700</v>
      </c>
      <c r="E11004" s="12">
        <v>433.7594</v>
      </c>
      <c r="F11004" s="14">
        <v>436040</v>
      </c>
      <c r="G11004" s="13">
        <v>42318.0105</v>
      </c>
      <c r="H11004" s="14">
        <v>42540543.990015</v>
      </c>
      <c r="I11004" s="14" t="e">
        <f>=Round(1184.48960000,0)</f>
        <v>#VALUE!</v>
      </c>
      <c r="J11004" s="14" t="e">
        <f>=Round(538.40380000,0)</f>
        <v>#VALUE!</v>
      </c>
    </row>
    <row r="11005">
      <c r="A11005" s="11" t="s">
        <v>31</v>
      </c>
      <c r="B11005" s="12">
        <v>1018.8126</v>
      </c>
      <c r="C11005" s="12">
        <v>68.7074</v>
      </c>
      <c r="D11005" s="13">
        <v>70000</v>
      </c>
      <c r="E11005" s="12">
        <v>77.4894</v>
      </c>
      <c r="F11005" s="14">
        <v>78947</v>
      </c>
      <c r="G11005" s="13">
        <v>43328.3572</v>
      </c>
      <c r="H11005" s="14">
        <v>44143476.252661</v>
      </c>
      <c r="I11005" s="14" t="e">
        <f>=Round(1176.25770000,0)</f>
        <v>#VALUE!</v>
      </c>
      <c r="J11005" s="14" t="e">
        <f>=Round(534.66200000,0)</f>
        <v>#VALUE!</v>
      </c>
    </row>
    <row r="11006">
      <c r="A11006" s="11" t="s">
        <v>32</v>
      </c>
      <c r="B11006" s="12">
        <v>1030.4786</v>
      </c>
      <c r="C11006" s="12">
        <v>174.6761</v>
      </c>
      <c r="D11006" s="13">
        <v>180000</v>
      </c>
      <c r="E11006" s="12">
        <v>77.1984</v>
      </c>
      <c r="F11006" s="14">
        <v>79551</v>
      </c>
      <c r="G11006" s="13">
        <v>43319.5752</v>
      </c>
      <c r="H11006" s="14">
        <v>44639895.204691</v>
      </c>
      <c r="I11006" s="14" t="e">
        <f>=Round(1220.57920000,0)</f>
        <v>#VALUE!</v>
      </c>
      <c r="J11006" s="14" t="e">
        <f>=Round(554.80820000,0)</f>
        <v>#VALUE!</v>
      </c>
    </row>
    <row r="11007">
      <c r="A11007" s="11" t="s">
        <v>33</v>
      </c>
      <c r="B11007" s="12">
        <v>1030.4427</v>
      </c>
      <c r="C11007" s="12">
        <v>174.6824</v>
      </c>
      <c r="D11007" s="13">
        <v>180000</v>
      </c>
      <c r="E11007" s="12">
        <v>347.1956</v>
      </c>
      <c r="F11007" s="14">
        <v>357765</v>
      </c>
      <c r="G11007" s="13">
        <v>43417.0529</v>
      </c>
      <c r="H11007" s="14">
        <v>44738785.216319</v>
      </c>
      <c r="I11007" s="14" t="e">
        <f>=Round(1234.30530000,0)</f>
        <v>#VALUE!</v>
      </c>
      <c r="J11007" s="14" t="e">
        <f>=Round(561.04730000,0)</f>
        <v>#VALUE!</v>
      </c>
    </row>
    <row r="11008">
      <c r="A11008" s="11" t="s">
        <v>34</v>
      </c>
      <c r="B11008" s="12">
        <v>1031.1072</v>
      </c>
      <c r="C11008" s="12">
        <v>9.6983</v>
      </c>
      <c r="D11008" s="13">
        <v>10000</v>
      </c>
      <c r="E11008" s="12">
        <v>57.2741</v>
      </c>
      <c r="F11008" s="14">
        <v>59056</v>
      </c>
      <c r="G11008" s="13">
        <v>43244.5397</v>
      </c>
      <c r="H11008" s="14">
        <v>44589756.245356</v>
      </c>
      <c r="I11008" s="14" t="e">
        <f>=Round(1237.03960000,0)</f>
        <v>#VALUE!</v>
      </c>
      <c r="J11008" s="14" t="e">
        <f>=Round(562.29020000,0)</f>
        <v>#VALUE!</v>
      </c>
    </row>
    <row r="11009">
      <c r="A11009" s="11" t="s">
        <v>35</v>
      </c>
      <c r="B11009" s="12">
        <v>1031.1072</v>
      </c>
      <c r="C11009" s="12">
        <v>0</v>
      </c>
      <c r="D11009" s="13">
        <v>0</v>
      </c>
      <c r="E11009" s="12">
        <v>0</v>
      </c>
      <c r="F11009" s="14">
        <v>0</v>
      </c>
      <c r="G11009" s="13">
        <v>43244.5397</v>
      </c>
      <c r="H11009" s="14">
        <v>44589756.245356</v>
      </c>
      <c r="I11009" s="14" t="e">
        <f>=Round(1232.91890000,0)</f>
        <v>#VALUE!</v>
      </c>
      <c r="J11009" s="14" t="e">
        <f>=Round(560.41710000,0)</f>
        <v>#VALUE!</v>
      </c>
    </row>
    <row r="11010">
      <c r="A11010" s="11" t="s">
        <v>36</v>
      </c>
      <c r="B11010" s="12">
        <v>1031.1072</v>
      </c>
      <c r="C11010" s="12">
        <v>0</v>
      </c>
      <c r="D11010" s="13">
        <v>0</v>
      </c>
      <c r="E11010" s="12">
        <v>0</v>
      </c>
      <c r="F11010" s="14">
        <v>0</v>
      </c>
      <c r="G11010" s="13">
        <v>43244.5397</v>
      </c>
      <c r="H11010" s="14">
        <v>44589756.245356</v>
      </c>
      <c r="I11010" s="14" t="e">
        <f>=Round(1232.91890000,0)</f>
        <v>#VALUE!</v>
      </c>
      <c r="J11010" s="14" t="e">
        <f>=Round(560.41710000,0)</f>
        <v>#VALUE!</v>
      </c>
    </row>
    <row r="11011">
      <c r="A11011" s="11" t="s">
        <v>37</v>
      </c>
      <c r="B11011" s="12">
        <v>1025.3453</v>
      </c>
      <c r="C11011" s="12">
        <v>284.312</v>
      </c>
      <c r="D11011" s="13">
        <v>291518</v>
      </c>
      <c r="E11011" s="12">
        <v>549.6343</v>
      </c>
      <c r="F11011" s="14">
        <v>563565</v>
      </c>
      <c r="G11011" s="13">
        <v>43196.9639</v>
      </c>
      <c r="H11011" s="14">
        <v>44291803.909135</v>
      </c>
      <c r="I11011" s="14" t="e">
        <f>=Round(1232.91890000,0)</f>
        <v>#VALUE!</v>
      </c>
      <c r="J11011" s="14" t="e">
        <f>=Round(560.41710000,0)</f>
        <v>#VALUE!</v>
      </c>
    </row>
    <row r="11012">
      <c r="A11012" s="11" t="s">
        <v>38</v>
      </c>
      <c r="B11012" s="12">
        <v>1022.7892</v>
      </c>
      <c r="C11012" s="12">
        <v>71.3735</v>
      </c>
      <c r="D11012" s="13">
        <v>73000</v>
      </c>
      <c r="E11012" s="12">
        <v>395.7303</v>
      </c>
      <c r="F11012" s="14">
        <v>404749</v>
      </c>
      <c r="G11012" s="13">
        <v>42931.6416</v>
      </c>
      <c r="H11012" s="14">
        <v>43910019.366751</v>
      </c>
      <c r="I11012" s="14" t="e">
        <f>=Round(1224.68050000,0)</f>
        <v>#VALUE!</v>
      </c>
      <c r="J11012" s="14" t="e">
        <f>=Round(556.67240000,0)</f>
        <v>#VALUE!</v>
      </c>
    </row>
    <row r="11013">
      <c r="A11013" s="11" t="s">
        <v>39</v>
      </c>
      <c r="B11013" s="12">
        <v>1015.9987</v>
      </c>
      <c r="C11013" s="12">
        <v>157.4805</v>
      </c>
      <c r="D11013" s="13">
        <v>160000</v>
      </c>
      <c r="E11013" s="12">
        <v>190.6411</v>
      </c>
      <c r="F11013" s="14">
        <v>193691</v>
      </c>
      <c r="G11013" s="13">
        <v>42607.2848</v>
      </c>
      <c r="H11013" s="14">
        <v>43288945.96733</v>
      </c>
      <c r="I11013" s="14" t="e">
        <f>=Round(1214.12400000,0)</f>
        <v>#VALUE!</v>
      </c>
      <c r="J11013" s="14" t="e">
        <f>=Round(551.87400000,0)</f>
        <v>#VALUE!</v>
      </c>
    </row>
    <row r="11014">
      <c r="A11014" s="11" t="s">
        <v>40</v>
      </c>
      <c r="B11014" s="12">
        <v>1011.1407</v>
      </c>
      <c r="C11014" s="12">
        <v>133.5205</v>
      </c>
      <c r="D11014" s="13">
        <v>135008</v>
      </c>
      <c r="E11014" s="12">
        <v>138.2333</v>
      </c>
      <c r="F11014" s="14">
        <v>139773</v>
      </c>
      <c r="G11014" s="13">
        <v>42574.1242</v>
      </c>
      <c r="H11014" s="14">
        <v>43048429.745475</v>
      </c>
      <c r="I11014" s="14" t="e">
        <f>=Round(1196.95120000,0)</f>
        <v>#VALUE!</v>
      </c>
      <c r="J11014" s="14" t="e">
        <f>=Round(544.06820000,0)</f>
        <v>#VALUE!</v>
      </c>
    </row>
    <row r="11015">
      <c r="A11015" s="11" t="s">
        <v>41</v>
      </c>
      <c r="B11015" s="12">
        <v>1008.6293</v>
      </c>
      <c r="C11015" s="12">
        <v>42.6331</v>
      </c>
      <c r="D11015" s="13">
        <v>43001</v>
      </c>
      <c r="E11015" s="12">
        <v>158.5127</v>
      </c>
      <c r="F11015" s="14">
        <v>159881</v>
      </c>
      <c r="G11015" s="13">
        <v>42569.4114</v>
      </c>
      <c r="H11015" s="14">
        <v>42936755.621794</v>
      </c>
      <c r="I11015" s="14" t="e">
        <f>=Round(1190.30080000,0)</f>
        <v>#VALUE!</v>
      </c>
      <c r="J11015" s="14" t="e">
        <f>=Round(541.04530000,0)</f>
        <v>#VALUE!</v>
      </c>
    </row>
    <row r="11016">
      <c r="A11016" s="11" t="s">
        <v>42</v>
      </c>
      <c r="B11016" s="12">
        <v>1008.6293</v>
      </c>
      <c r="C11016" s="12">
        <v>0</v>
      </c>
      <c r="D11016" s="13">
        <v>0</v>
      </c>
      <c r="E11016" s="12">
        <v>0</v>
      </c>
      <c r="F11016" s="14">
        <v>0</v>
      </c>
      <c r="G11016" s="13">
        <v>42569.4114</v>
      </c>
      <c r="H11016" s="14">
        <v>42936755.621794</v>
      </c>
      <c r="I11016" s="14" t="e">
        <f>=Round(1187.21300000,0)</f>
        <v>#VALUE!</v>
      </c>
      <c r="J11016" s="14" t="e">
        <f>=Round(539.64170000,0)</f>
        <v>#VALUE!</v>
      </c>
    </row>
    <row r="11017">
      <c r="A11017" s="11" t="s">
        <v>43</v>
      </c>
      <c r="B11017" s="12">
        <v>1008.6293</v>
      </c>
      <c r="C11017" s="12">
        <v>0</v>
      </c>
      <c r="D11017" s="13">
        <v>0</v>
      </c>
      <c r="E11017" s="12">
        <v>0</v>
      </c>
      <c r="F11017" s="14">
        <v>0</v>
      </c>
      <c r="G11017" s="13">
        <v>42569.4114</v>
      </c>
      <c r="H11017" s="14">
        <v>42936755.621794</v>
      </c>
      <c r="I11017" s="14" t="e">
        <f>=Round(1187.21300000,0)</f>
        <v>#VALUE!</v>
      </c>
      <c r="J11017" s="14" t="e">
        <f>=Round(539.64170000,0)</f>
        <v>#VALUE!</v>
      </c>
    </row>
    <row r="11018">
      <c r="A11018" s="11" t="s">
        <v>44</v>
      </c>
      <c r="B11018" s="12">
        <v>1006.9742</v>
      </c>
      <c r="C11018" s="12">
        <v>143.9957</v>
      </c>
      <c r="D11018" s="13">
        <v>145000</v>
      </c>
      <c r="E11018" s="12">
        <v>600.3779</v>
      </c>
      <c r="F11018" s="14">
        <v>604565</v>
      </c>
      <c r="G11018" s="13">
        <v>42453.5318</v>
      </c>
      <c r="H11018" s="14">
        <v>42749611.22148</v>
      </c>
      <c r="I11018" s="14" t="e">
        <f>=Round(1187.21300000,0)</f>
        <v>#VALUE!</v>
      </c>
      <c r="J11018" s="14" t="e">
        <f>=Round(539.64170000,0)</f>
        <v>#VALUE!</v>
      </c>
    </row>
    <row r="11019">
      <c r="A11019" s="11" t="s">
        <v>45</v>
      </c>
      <c r="B11019" s="12">
        <v>1005.4996</v>
      </c>
      <c r="C11019" s="12">
        <v>1541.5222</v>
      </c>
      <c r="D11019" s="13">
        <v>1550000</v>
      </c>
      <c r="E11019" s="12">
        <v>148.3268</v>
      </c>
      <c r="F11019" s="14">
        <v>149143</v>
      </c>
      <c r="G11019" s="13">
        <v>41997.1496</v>
      </c>
      <c r="H11019" s="14">
        <v>42228117.12394</v>
      </c>
      <c r="I11019" s="14" t="e">
        <f>=Round(1182.03840000,0)</f>
        <v>#VALUE!</v>
      </c>
      <c r="J11019" s="14" t="e">
        <f>=Round(537.28970000,0)</f>
        <v>#VALUE!</v>
      </c>
    </row>
    <row r="11020">
      <c r="A11020" s="11" t="s">
        <v>46</v>
      </c>
      <c r="B11020" s="12">
        <v>1014.8298</v>
      </c>
      <c r="C11020" s="12">
        <v>98.5387</v>
      </c>
      <c r="D11020" s="13">
        <v>100000</v>
      </c>
      <c r="E11020" s="12">
        <v>133.1536</v>
      </c>
      <c r="F11020" s="14">
        <v>135128</v>
      </c>
      <c r="G11020" s="13">
        <v>43390.345</v>
      </c>
      <c r="H11020" s="14">
        <v>44033815.138281</v>
      </c>
      <c r="I11020" s="14" t="e">
        <f>=Round(1167.61900000,0)</f>
        <v>#VALUE!</v>
      </c>
      <c r="J11020" s="14" t="e">
        <f>=Round(530.73540000,0)</f>
        <v>#VALUE!</v>
      </c>
    </row>
    <row r="11021">
      <c r="A11021" s="11" t="s">
        <v>47</v>
      </c>
      <c r="B11021" s="12">
        <v>1018.9191</v>
      </c>
      <c r="C11021" s="12">
        <v>49.0716</v>
      </c>
      <c r="D11021" s="13">
        <v>50000</v>
      </c>
      <c r="E11021" s="12">
        <v>77.2155</v>
      </c>
      <c r="F11021" s="14">
        <v>78676</v>
      </c>
      <c r="G11021" s="13">
        <v>43355.7301</v>
      </c>
      <c r="H11021" s="14">
        <v>44175981.493335</v>
      </c>
      <c r="I11021" s="14" t="e">
        <f>=Round(1217.54700000,0)</f>
        <v>#VALUE!</v>
      </c>
      <c r="J11021" s="14" t="e">
        <f>=Round(553.42990000,0)</f>
        <v>#VALUE!</v>
      </c>
    </row>
    <row r="11022">
      <c r="A11022" s="11" t="s">
        <v>48</v>
      </c>
      <c r="B11022" s="12">
        <v>1011.3795</v>
      </c>
      <c r="C11022" s="12">
        <v>49.4375</v>
      </c>
      <c r="D11022" s="13">
        <v>50000</v>
      </c>
      <c r="E11022" s="12">
        <v>96.5245</v>
      </c>
      <c r="F11022" s="14">
        <v>97623</v>
      </c>
      <c r="G11022" s="13">
        <v>43327.5862</v>
      </c>
      <c r="H11022" s="14">
        <v>43820632.467163</v>
      </c>
      <c r="I11022" s="14" t="e">
        <f>=Round(1221.47800000,0)</f>
        <v>#VALUE!</v>
      </c>
      <c r="J11022" s="14" t="e">
        <f>=Round(555.21670000,0)</f>
        <v>#VALUE!</v>
      </c>
    </row>
    <row r="11023">
      <c r="A11023" s="11" t="s">
        <v>49</v>
      </c>
      <c r="B11023" s="12">
        <v>1011.3795</v>
      </c>
      <c r="C11023" s="12">
        <v>0</v>
      </c>
      <c r="D11023" s="13">
        <v>0</v>
      </c>
      <c r="E11023" s="12">
        <v>0</v>
      </c>
      <c r="F11023" s="14">
        <v>0</v>
      </c>
      <c r="G11023" s="13">
        <v>43327.5862</v>
      </c>
      <c r="H11023" s="14">
        <v>43820632.467163</v>
      </c>
      <c r="I11023" s="14" t="e">
        <f>=Round(1211.65250000,0)</f>
        <v>#VALUE!</v>
      </c>
      <c r="J11023" s="14" t="e">
        <f>=Round(550.75060000,0)</f>
        <v>#VALUE!</v>
      </c>
    </row>
    <row r="11024">
      <c r="A11024" s="11" t="s">
        <v>50</v>
      </c>
      <c r="B11024" s="12">
        <v>1011.3795</v>
      </c>
      <c r="C11024" s="12">
        <v>0</v>
      </c>
      <c r="D11024" s="13">
        <v>0</v>
      </c>
      <c r="E11024" s="12">
        <v>0</v>
      </c>
      <c r="F11024" s="14">
        <v>0</v>
      </c>
      <c r="G11024" s="13">
        <v>43327.5862</v>
      </c>
      <c r="H11024" s="14">
        <v>43820632.467163</v>
      </c>
      <c r="I11024" s="14" t="e">
        <f>=Round(1211.65250000,0)</f>
        <v>#VALUE!</v>
      </c>
      <c r="J11024" s="14" t="e">
        <f>=Round(550.75060000,0)</f>
        <v>#VALUE!</v>
      </c>
    </row>
    <row r="11025">
      <c r="A11025" s="11" t="s">
        <v>51</v>
      </c>
      <c r="B11025" s="12">
        <v>995.3126</v>
      </c>
      <c r="C11025" s="12">
        <v>20.0942</v>
      </c>
      <c r="D11025" s="13">
        <v>20000</v>
      </c>
      <c r="E11025" s="12">
        <v>246.9347</v>
      </c>
      <c r="F11025" s="14">
        <v>245777</v>
      </c>
      <c r="G11025" s="13">
        <v>43280.4992</v>
      </c>
      <c r="H11025" s="14">
        <v>43077626.18805</v>
      </c>
      <c r="I11025" s="14" t="e">
        <f>=Round(1211.65250000,0)</f>
        <v>#VALUE!</v>
      </c>
      <c r="J11025" s="14" t="e">
        <f>=Round(550.75060000,0)</f>
        <v>#VALUE!</v>
      </c>
    </row>
    <row r="11026">
      <c r="A11026" s="11" t="s">
        <v>52</v>
      </c>
      <c r="B11026" s="12">
        <v>996.4765</v>
      </c>
      <c r="C11026" s="12">
        <v>10.0354</v>
      </c>
      <c r="D11026" s="13">
        <v>10000</v>
      </c>
      <c r="E11026" s="12">
        <v>18.9717</v>
      </c>
      <c r="F11026" s="14">
        <v>18905</v>
      </c>
      <c r="G11026" s="13">
        <v>43053.6587</v>
      </c>
      <c r="H11026" s="14">
        <v>42901959.133571</v>
      </c>
      <c r="I11026" s="14" t="e">
        <f>=Round(1191.10810000,0)</f>
        <v>#VALUE!</v>
      </c>
      <c r="J11026" s="14" t="e">
        <f>=Round(541.41220000,0)</f>
        <v>#VALUE!</v>
      </c>
    </row>
    <row r="11027">
      <c r="A11027" s="11" t="s">
        <v>53</v>
      </c>
      <c r="B11027" s="12">
        <v>980.4424</v>
      </c>
      <c r="C11027" s="12">
        <v>265.1864</v>
      </c>
      <c r="D11027" s="13">
        <v>260000</v>
      </c>
      <c r="E11027" s="12">
        <v>146.6858</v>
      </c>
      <c r="F11027" s="14">
        <v>143817</v>
      </c>
      <c r="G11027" s="13">
        <v>43044.7224</v>
      </c>
      <c r="H11027" s="14">
        <v>42202870.93719</v>
      </c>
      <c r="I11027" s="14" t="e">
        <f>=Round(1186.25090000,0)</f>
        <v>#VALUE!</v>
      </c>
      <c r="J11027" s="14" t="e">
        <f>=Round(539.20440000,0)</f>
        <v>#VALUE!</v>
      </c>
    </row>
    <row r="11028">
      <c r="A11028" s="11" t="s">
        <v>54</v>
      </c>
      <c r="B11028" s="12">
        <v>953.8409</v>
      </c>
      <c r="C11028" s="12">
        <v>115.3232</v>
      </c>
      <c r="D11028" s="13">
        <v>110000</v>
      </c>
      <c r="E11028" s="12">
        <v>9.8898</v>
      </c>
      <c r="F11028" s="14">
        <v>9433</v>
      </c>
      <c r="G11028" s="13">
        <v>43163.223</v>
      </c>
      <c r="H11028" s="14">
        <v>41170847.473221</v>
      </c>
      <c r="I11028" s="14" t="e">
        <f>=Round(1166.92090000,0)</f>
        <v>#VALUE!</v>
      </c>
      <c r="J11028" s="14" t="e">
        <f>=Round(530.41810000,0)</f>
        <v>#VALUE!</v>
      </c>
    </row>
    <row r="11029">
      <c r="A11029" s="11" t="s">
        <v>55</v>
      </c>
      <c r="B11029" s="12">
        <v>944.2202</v>
      </c>
      <c r="C11029" s="12">
        <v>3398.5716</v>
      </c>
      <c r="D11029" s="13">
        <v>3209000</v>
      </c>
      <c r="E11029" s="12">
        <v>325.7192</v>
      </c>
      <c r="F11029" s="14">
        <v>307551</v>
      </c>
      <c r="G11029" s="13">
        <v>43268.6564</v>
      </c>
      <c r="H11029" s="14">
        <v>40855139.399739</v>
      </c>
      <c r="I11029" s="14" t="e">
        <f>=Round(1138.38520000,0)</f>
        <v>#VALUE!</v>
      </c>
      <c r="J11029" s="14" t="e">
        <f>=Round(517.44730000,0)</f>
        <v>#VALUE!</v>
      </c>
    </row>
    <row r="11030" ht="-1">
      <c r="A11030" s="15"/>
      <c r="B11030" s="16" t="s">
        <v>56</v>
      </c>
      <c r="C11030" s="15"/>
      <c r="D11030" s="15"/>
      <c r="E11030" s="15"/>
      <c r="F11030" s="15"/>
      <c r="G11030" s="15"/>
      <c r="H11030" s="15"/>
      <c r="I11030" s="17" t="e">
        <f>=Round(SUM(I11004:I11029),0)</f>
        <v>#VALUE!</v>
      </c>
      <c r="J11030" s="17" t="e">
        <f>=Round(SUM(J11004:J11029),0)</f>
        <v>#VALUE!</v>
      </c>
    </row>
    <row r="11031">
      <c r="A11031" s="1" t="s">
        <v>0</v>
      </c>
      <c r="B11031" s="1"/>
      <c r="C11031" s="1"/>
      <c r="D11031" s="1"/>
    </row>
    <row r="11032">
      <c r="A11032" s="0" t="s">
        <v>1</v>
      </c>
      <c r="C11032" s="0" t="s">
        <v>373</v>
      </c>
      <c r="H11032" s="2" t="s">
        <v>3</v>
      </c>
    </row>
    <row r="11033">
      <c r="A11033" s="0" t="s">
        <v>4</v>
      </c>
      <c r="C11033" s="0" t="s">
        <v>123</v>
      </c>
      <c r="H11033" s="3" t="s">
        <v>6</v>
      </c>
    </row>
    <row r="11034">
      <c r="A11034" s="0" t="s">
        <v>7</v>
      </c>
      <c r="C11034" s="4" t="s">
        <v>374</v>
      </c>
      <c r="H11034" s="2" t="s">
        <v>9</v>
      </c>
    </row>
    <row r="11035">
      <c r="A11035" s="0" t="s">
        <v>10</v>
      </c>
      <c r="C11035" s="4" t="s">
        <v>375</v>
      </c>
      <c r="H11035" s="2" t="s">
        <v>12</v>
      </c>
    </row>
    <row r="11036">
      <c r="A11036" s="0" t="s">
        <v>13</v>
      </c>
      <c r="C11036" s="0" t="s">
        <v>14</v>
      </c>
    </row>
    <row r="11037">
      <c r="A11037" s="0" t="s">
        <v>15</v>
      </c>
      <c r="C11037" s="0" t="s">
        <v>16</v>
      </c>
    </row>
    <row r="11038">
      <c r="A11038" s="0" t="s">
        <v>17</v>
      </c>
      <c r="C11038" s="0" t="s">
        <v>18</v>
      </c>
    </row>
    <row r="11041">
      <c r="A11041" s="5" t="s">
        <v>19</v>
      </c>
      <c r="B11041" s="5" t="s">
        <v>20</v>
      </c>
      <c r="C11041" s="7" t="s">
        <v>21</v>
      </c>
      <c r="D11041" s="9"/>
      <c r="E11041" s="7" t="s">
        <v>22</v>
      </c>
      <c r="F11041" s="9"/>
      <c r="G11041" s="5" t="s">
        <v>23</v>
      </c>
      <c r="H11041" s="5" t="s">
        <v>24</v>
      </c>
      <c r="I11041" s="5" t="s">
        <v>376</v>
      </c>
      <c r="J11041" s="5" t="s">
        <v>377</v>
      </c>
    </row>
    <row r="11042">
      <c r="A11042" s="6"/>
      <c r="B11042" s="6"/>
      <c r="C11042" s="8" t="s">
        <v>27</v>
      </c>
      <c r="D11042" s="8" t="s">
        <v>28</v>
      </c>
      <c r="E11042" s="8" t="s">
        <v>27</v>
      </c>
      <c r="F11042" s="8" t="s">
        <v>28</v>
      </c>
      <c r="G11042" s="6"/>
      <c r="H11042" s="6"/>
      <c r="I11042" s="10" t="s">
        <v>29</v>
      </c>
      <c r="J11042" s="6"/>
    </row>
    <row r="11043">
      <c r="A11043" s="11" t="s">
        <v>30</v>
      </c>
      <c r="B11043" s="12">
        <v>1002.752</v>
      </c>
      <c r="C11043" s="12">
        <v>0</v>
      </c>
      <c r="D11043" s="13">
        <v>0</v>
      </c>
      <c r="E11043" s="12">
        <v>0</v>
      </c>
      <c r="F11043" s="14">
        <v>0</v>
      </c>
      <c r="G11043" s="13">
        <v>99580000</v>
      </c>
      <c r="H11043" s="14">
        <v>99854044160</v>
      </c>
      <c r="I11043" s="14" t="e">
        <f>=Round(2474837.37550000,0)</f>
        <v>#VALUE!</v>
      </c>
      <c r="J11043" s="14" t="e">
        <f>=Round(1363548.77460000,0)</f>
        <v>#VALUE!</v>
      </c>
    </row>
    <row r="11044">
      <c r="A11044" s="11" t="s">
        <v>31</v>
      </c>
      <c r="B11044" s="12">
        <v>1003.432</v>
      </c>
      <c r="C11044" s="12">
        <v>0</v>
      </c>
      <c r="D11044" s="13">
        <v>0</v>
      </c>
      <c r="E11044" s="12">
        <v>0</v>
      </c>
      <c r="F11044" s="14">
        <v>0</v>
      </c>
      <c r="G11044" s="13">
        <v>99580000</v>
      </c>
      <c r="H11044" s="14">
        <v>99921758560</v>
      </c>
      <c r="I11044" s="14" t="e">
        <f>=Round(2475889.20970000,0)</f>
        <v>#VALUE!</v>
      </c>
      <c r="J11044" s="14" t="e">
        <f>=Round(1364128.29840000,0)</f>
        <v>#VALUE!</v>
      </c>
    </row>
    <row r="11045">
      <c r="A11045" s="11" t="s">
        <v>32</v>
      </c>
      <c r="B11045" s="12">
        <v>1004.089</v>
      </c>
      <c r="C11045" s="12">
        <v>0</v>
      </c>
      <c r="D11045" s="13">
        <v>0</v>
      </c>
      <c r="E11045" s="12">
        <v>0</v>
      </c>
      <c r="F11045" s="14">
        <v>0</v>
      </c>
      <c r="G11045" s="13">
        <v>99580000</v>
      </c>
      <c r="H11045" s="14">
        <v>99987182620</v>
      </c>
      <c r="I11045" s="14" t="e">
        <f>=Round(2477568.19380000,0)</f>
        <v>#VALUE!</v>
      </c>
      <c r="J11045" s="14" t="e">
        <f>=Round(1365053.35990000,0)</f>
        <v>#VALUE!</v>
      </c>
    </row>
    <row r="11046">
      <c r="A11046" s="11" t="s">
        <v>33</v>
      </c>
      <c r="B11046" s="12">
        <v>1004.956</v>
      </c>
      <c r="C11046" s="12">
        <v>0</v>
      </c>
      <c r="D11046" s="13">
        <v>0</v>
      </c>
      <c r="E11046" s="12">
        <v>0</v>
      </c>
      <c r="F11046" s="14">
        <v>0</v>
      </c>
      <c r="G11046" s="13">
        <v>99580000</v>
      </c>
      <c r="H11046" s="14">
        <v>100073518480</v>
      </c>
      <c r="I11046" s="14" t="e">
        <f>=Round(2479190.38870000,0)</f>
        <v>#VALUE!</v>
      </c>
      <c r="J11046" s="14" t="e">
        <f>=Round(1365947.13250000,0)</f>
        <v>#VALUE!</v>
      </c>
    </row>
    <row r="11047">
      <c r="A11047" s="11" t="s">
        <v>34</v>
      </c>
      <c r="B11047" s="12">
        <v>1004.883</v>
      </c>
      <c r="C11047" s="12">
        <v>0</v>
      </c>
      <c r="D11047" s="13">
        <v>0</v>
      </c>
      <c r="E11047" s="12">
        <v>0</v>
      </c>
      <c r="F11047" s="14">
        <v>0</v>
      </c>
      <c r="G11047" s="13">
        <v>99580000</v>
      </c>
      <c r="H11047" s="14">
        <v>100066249140</v>
      </c>
      <c r="I11047" s="14" t="e">
        <f>=Round(2481331.09350000,0)</f>
        <v>#VALUE!</v>
      </c>
      <c r="J11047" s="14" t="e">
        <f>=Round(1367126.58590000,0)</f>
        <v>#VALUE!</v>
      </c>
    </row>
    <row r="11048">
      <c r="A11048" s="11" t="s">
        <v>35</v>
      </c>
      <c r="B11048" s="12">
        <v>1004.883</v>
      </c>
      <c r="C11048" s="12">
        <v>0</v>
      </c>
      <c r="D11048" s="13">
        <v>0</v>
      </c>
      <c r="E11048" s="12">
        <v>0</v>
      </c>
      <c r="F11048" s="14">
        <v>0</v>
      </c>
      <c r="G11048" s="13">
        <v>99580000</v>
      </c>
      <c r="H11048" s="14">
        <v>100066249140</v>
      </c>
      <c r="I11048" s="14" t="e">
        <f>=Round(2481150.84960000,0)</f>
        <v>#VALUE!</v>
      </c>
      <c r="J11048" s="14" t="e">
        <f>=Round(1367027.27780000,0)</f>
        <v>#VALUE!</v>
      </c>
    </row>
    <row r="11049">
      <c r="A11049" s="11" t="s">
        <v>36</v>
      </c>
      <c r="B11049" s="12">
        <v>1004.883</v>
      </c>
      <c r="C11049" s="12">
        <v>0</v>
      </c>
      <c r="D11049" s="13">
        <v>0</v>
      </c>
      <c r="E11049" s="12">
        <v>0</v>
      </c>
      <c r="F11049" s="14">
        <v>0</v>
      </c>
      <c r="G11049" s="13">
        <v>99580000</v>
      </c>
      <c r="H11049" s="14">
        <v>100066249140</v>
      </c>
      <c r="I11049" s="14" t="e">
        <f>=Round(2481150.84960000,0)</f>
        <v>#VALUE!</v>
      </c>
      <c r="J11049" s="14" t="e">
        <f>=Round(1367027.27780000,0)</f>
        <v>#VALUE!</v>
      </c>
    </row>
    <row r="11050">
      <c r="A11050" s="11" t="s">
        <v>37</v>
      </c>
      <c r="B11050" s="12">
        <v>1005.606</v>
      </c>
      <c r="C11050" s="12">
        <v>0</v>
      </c>
      <c r="D11050" s="13">
        <v>0</v>
      </c>
      <c r="E11050" s="12">
        <v>0</v>
      </c>
      <c r="F11050" s="14">
        <v>0</v>
      </c>
      <c r="G11050" s="13">
        <v>99580000</v>
      </c>
      <c r="H11050" s="14">
        <v>100138245480</v>
      </c>
      <c r="I11050" s="14" t="e">
        <f>=Round(2481150.84960000,0)</f>
        <v>#VALUE!</v>
      </c>
      <c r="J11050" s="14" t="e">
        <f>=Round(1367027.27780000,0)</f>
        <v>#VALUE!</v>
      </c>
    </row>
    <row r="11051">
      <c r="A11051" s="11" t="s">
        <v>38</v>
      </c>
      <c r="B11051" s="12">
        <v>1005.954</v>
      </c>
      <c r="C11051" s="12">
        <v>0</v>
      </c>
      <c r="D11051" s="13">
        <v>0</v>
      </c>
      <c r="E11051" s="12">
        <v>0</v>
      </c>
      <c r="F11051" s="14">
        <v>0</v>
      </c>
      <c r="G11051" s="13">
        <v>99580000</v>
      </c>
      <c r="H11051" s="14">
        <v>100172899320</v>
      </c>
      <c r="I11051" s="14" t="e">
        <f>=Round(2482936.00470000,0)</f>
        <v>#VALUE!</v>
      </c>
      <c r="J11051" s="14" t="e">
        <f>=Round(1368010.83580000,0)</f>
        <v>#VALUE!</v>
      </c>
    </row>
    <row r="11052">
      <c r="A11052" s="11" t="s">
        <v>39</v>
      </c>
      <c r="B11052" s="12">
        <v>1007.33</v>
      </c>
      <c r="C11052" s="12">
        <v>0</v>
      </c>
      <c r="D11052" s="13">
        <v>0</v>
      </c>
      <c r="E11052" s="12">
        <v>0</v>
      </c>
      <c r="F11052" s="14">
        <v>0</v>
      </c>
      <c r="G11052" s="13">
        <v>99580000</v>
      </c>
      <c r="H11052" s="14">
        <v>100309921400</v>
      </c>
      <c r="I11052" s="14" t="e">
        <f>=Round(2483795.24950000,0)</f>
        <v>#VALUE!</v>
      </c>
      <c r="J11052" s="14" t="e">
        <f>=Round(1368484.24970000,0)</f>
        <v>#VALUE!</v>
      </c>
    </row>
    <row r="11053">
      <c r="A11053" s="11" t="s">
        <v>40</v>
      </c>
      <c r="B11053" s="12">
        <v>1007.653</v>
      </c>
      <c r="C11053" s="12">
        <v>0</v>
      </c>
      <c r="D11053" s="13">
        <v>0</v>
      </c>
      <c r="E11053" s="12">
        <v>0</v>
      </c>
      <c r="F11053" s="14">
        <v>0</v>
      </c>
      <c r="G11053" s="13">
        <v>99580000</v>
      </c>
      <c r="H11053" s="14">
        <v>100342085740</v>
      </c>
      <c r="I11053" s="14" t="e">
        <f>=Round(2487192.72320000,0)</f>
        <v>#VALUE!</v>
      </c>
      <c r="J11053" s="14" t="e">
        <f>=Round(1370356.13880000,0)</f>
        <v>#VALUE!</v>
      </c>
    </row>
    <row r="11054">
      <c r="A11054" s="11" t="s">
        <v>41</v>
      </c>
      <c r="B11054" s="12">
        <v>1008.305</v>
      </c>
      <c r="C11054" s="12">
        <v>0</v>
      </c>
      <c r="D11054" s="13">
        <v>0</v>
      </c>
      <c r="E11054" s="12">
        <v>0</v>
      </c>
      <c r="F11054" s="14">
        <v>0</v>
      </c>
      <c r="G11054" s="13">
        <v>99580000</v>
      </c>
      <c r="H11054" s="14">
        <v>100407011900</v>
      </c>
      <c r="I11054" s="14" t="e">
        <f>=Round(2487990.24070000,0)</f>
        <v>#VALUE!</v>
      </c>
      <c r="J11054" s="14" t="e">
        <f>=Round(1370795.54300000,0)</f>
        <v>#VALUE!</v>
      </c>
    </row>
    <row r="11055">
      <c r="A11055" s="11" t="s">
        <v>42</v>
      </c>
      <c r="B11055" s="12">
        <v>1008.305</v>
      </c>
      <c r="C11055" s="12">
        <v>0</v>
      </c>
      <c r="D11055" s="13">
        <v>0</v>
      </c>
      <c r="E11055" s="12">
        <v>0</v>
      </c>
      <c r="F11055" s="14">
        <v>0</v>
      </c>
      <c r="G11055" s="13">
        <v>99580000</v>
      </c>
      <c r="H11055" s="14">
        <v>100407011900</v>
      </c>
      <c r="I11055" s="14" t="e">
        <f>=Round(2489600.09010000,0)</f>
        <v>#VALUE!</v>
      </c>
      <c r="J11055" s="14" t="e">
        <f>=Round(1371682.51370000,0)</f>
        <v>#VALUE!</v>
      </c>
    </row>
    <row r="11056">
      <c r="A11056" s="11" t="s">
        <v>43</v>
      </c>
      <c r="B11056" s="12">
        <v>1008.305</v>
      </c>
      <c r="C11056" s="12">
        <v>0</v>
      </c>
      <c r="D11056" s="13">
        <v>0</v>
      </c>
      <c r="E11056" s="12">
        <v>0</v>
      </c>
      <c r="F11056" s="14">
        <v>0</v>
      </c>
      <c r="G11056" s="13">
        <v>99580000</v>
      </c>
      <c r="H11056" s="14">
        <v>100407011900</v>
      </c>
      <c r="I11056" s="14" t="e">
        <f>=Round(2489600.09010000,0)</f>
        <v>#VALUE!</v>
      </c>
      <c r="J11056" s="14" t="e">
        <f>=Round(1371682.51370000,0)</f>
        <v>#VALUE!</v>
      </c>
    </row>
    <row r="11057">
      <c r="A11057" s="11" t="s">
        <v>44</v>
      </c>
      <c r="B11057" s="12">
        <v>1009.67</v>
      </c>
      <c r="C11057" s="12">
        <v>0</v>
      </c>
      <c r="D11057" s="13">
        <v>0</v>
      </c>
      <c r="E11057" s="12">
        <v>0</v>
      </c>
      <c r="F11057" s="14">
        <v>0</v>
      </c>
      <c r="G11057" s="13">
        <v>99580000</v>
      </c>
      <c r="H11057" s="14">
        <v>100542938600</v>
      </c>
      <c r="I11057" s="14" t="e">
        <f>=Round(2489600.09010000,0)</f>
        <v>#VALUE!</v>
      </c>
      <c r="J11057" s="14" t="e">
        <f>=Round(1371682.51370000,0)</f>
        <v>#VALUE!</v>
      </c>
    </row>
    <row r="11058">
      <c r="A11058" s="11" t="s">
        <v>45</v>
      </c>
      <c r="B11058" s="12">
        <v>1009.981</v>
      </c>
      <c r="C11058" s="12">
        <v>0</v>
      </c>
      <c r="D11058" s="13">
        <v>0</v>
      </c>
      <c r="E11058" s="12">
        <v>0</v>
      </c>
      <c r="F11058" s="14">
        <v>0</v>
      </c>
      <c r="G11058" s="13">
        <v>99580000</v>
      </c>
      <c r="H11058" s="14">
        <v>100573907980</v>
      </c>
      <c r="I11058" s="14" t="e">
        <f>=Round(2492970.40380000,0)</f>
        <v>#VALUE!</v>
      </c>
      <c r="J11058" s="14" t="e">
        <f>=Round(1373539.43850000,0)</f>
        <v>#VALUE!</v>
      </c>
    </row>
    <row r="11059">
      <c r="A11059" s="11" t="s">
        <v>46</v>
      </c>
      <c r="B11059" s="12">
        <v>1010.572</v>
      </c>
      <c r="C11059" s="12">
        <v>0</v>
      </c>
      <c r="D11059" s="13">
        <v>0</v>
      </c>
      <c r="E11059" s="12">
        <v>0</v>
      </c>
      <c r="F11059" s="14">
        <v>0</v>
      </c>
      <c r="G11059" s="13">
        <v>99580000</v>
      </c>
      <c r="H11059" s="14">
        <v>100632759760</v>
      </c>
      <c r="I11059" s="14" t="e">
        <f>=Round(2493738.29210000,0)</f>
        <v>#VALUE!</v>
      </c>
      <c r="J11059" s="14" t="e">
        <f>=Round(1373962.51810000,0)</f>
        <v>#VALUE!</v>
      </c>
    </row>
    <row r="11060">
      <c r="A11060" s="11" t="s">
        <v>47</v>
      </c>
      <c r="B11060" s="12">
        <v>1010.695</v>
      </c>
      <c r="C11060" s="12">
        <v>0</v>
      </c>
      <c r="D11060" s="13">
        <v>0</v>
      </c>
      <c r="E11060" s="12">
        <v>0</v>
      </c>
      <c r="F11060" s="14">
        <v>0</v>
      </c>
      <c r="G11060" s="13">
        <v>99580000</v>
      </c>
      <c r="H11060" s="14">
        <v>100645008100</v>
      </c>
      <c r="I11060" s="14" t="e">
        <f>=Round(2495197.52680000,0)</f>
        <v>#VALUE!</v>
      </c>
      <c r="J11060" s="14" t="e">
        <f>=Round(1374766.50540000,0)</f>
        <v>#VALUE!</v>
      </c>
    </row>
    <row r="11061">
      <c r="A11061" s="11" t="s">
        <v>48</v>
      </c>
      <c r="B11061" s="12">
        <v>1011.198</v>
      </c>
      <c r="C11061" s="12">
        <v>0</v>
      </c>
      <c r="D11061" s="13">
        <v>0</v>
      </c>
      <c r="E11061" s="12">
        <v>0</v>
      </c>
      <c r="F11061" s="14">
        <v>0</v>
      </c>
      <c r="G11061" s="13">
        <v>99580000</v>
      </c>
      <c r="H11061" s="14">
        <v>100695096840</v>
      </c>
      <c r="I11061" s="14" t="e">
        <f>=Round(2495501.22540000,0)</f>
        <v>#VALUE!</v>
      </c>
      <c r="J11061" s="14" t="e">
        <f>=Round(1374933.83270000,0)</f>
        <v>#VALUE!</v>
      </c>
    </row>
    <row r="11062">
      <c r="A11062" s="11" t="s">
        <v>49</v>
      </c>
      <c r="B11062" s="12">
        <v>1011.198</v>
      </c>
      <c r="C11062" s="12">
        <v>0</v>
      </c>
      <c r="D11062" s="13">
        <v>0</v>
      </c>
      <c r="E11062" s="12">
        <v>0</v>
      </c>
      <c r="F11062" s="14">
        <v>0</v>
      </c>
      <c r="G11062" s="13">
        <v>99580000</v>
      </c>
      <c r="H11062" s="14">
        <v>100695096840</v>
      </c>
      <c r="I11062" s="14" t="e">
        <f>=Round(2496743.17980000,0)</f>
        <v>#VALUE!</v>
      </c>
      <c r="J11062" s="14" t="e">
        <f>=Round(1375618.10610000,0)</f>
        <v>#VALUE!</v>
      </c>
    </row>
    <row r="11063">
      <c r="A11063" s="11" t="s">
        <v>50</v>
      </c>
      <c r="B11063" s="12">
        <v>1011.198</v>
      </c>
      <c r="C11063" s="12">
        <v>0</v>
      </c>
      <c r="D11063" s="13">
        <v>0</v>
      </c>
      <c r="E11063" s="12">
        <v>0</v>
      </c>
      <c r="F11063" s="14">
        <v>0</v>
      </c>
      <c r="G11063" s="13">
        <v>99580000</v>
      </c>
      <c r="H11063" s="14">
        <v>100695096840</v>
      </c>
      <c r="I11063" s="14" t="e">
        <f>=Round(2496743.17980000,0)</f>
        <v>#VALUE!</v>
      </c>
      <c r="J11063" s="14" t="e">
        <f>=Round(1375618.10610000,0)</f>
        <v>#VALUE!</v>
      </c>
    </row>
    <row r="11064">
      <c r="A11064" s="11" t="s">
        <v>51</v>
      </c>
      <c r="B11064" s="12">
        <v>1012.001</v>
      </c>
      <c r="C11064" s="12">
        <v>0</v>
      </c>
      <c r="D11064" s="13">
        <v>0</v>
      </c>
      <c r="E11064" s="12">
        <v>0</v>
      </c>
      <c r="F11064" s="14">
        <v>0</v>
      </c>
      <c r="G11064" s="13">
        <v>99580000</v>
      </c>
      <c r="H11064" s="14">
        <v>100775059580</v>
      </c>
      <c r="I11064" s="14" t="e">
        <f>=Round(2496743.17980000,0)</f>
        <v>#VALUE!</v>
      </c>
      <c r="J11064" s="14" t="e">
        <f>=Round(1375618.10610000,0)</f>
        <v>#VALUE!</v>
      </c>
    </row>
    <row r="11065">
      <c r="A11065" s="11" t="s">
        <v>52</v>
      </c>
      <c r="B11065" s="12">
        <v>1012.263</v>
      </c>
      <c r="C11065" s="12">
        <v>0</v>
      </c>
      <c r="D11065" s="13">
        <v>0</v>
      </c>
      <c r="E11065" s="12">
        <v>0</v>
      </c>
      <c r="F11065" s="14">
        <v>0</v>
      </c>
      <c r="G11065" s="13">
        <v>99580000</v>
      </c>
      <c r="H11065" s="14">
        <v>100801149540</v>
      </c>
      <c r="I11065" s="14" t="e">
        <f>=Round(2498725.86250000,0)</f>
        <v>#VALUE!</v>
      </c>
      <c r="J11065" s="14" t="e">
        <f>=Round(1376710.49490000,0)</f>
        <v>#VALUE!</v>
      </c>
    </row>
    <row r="11066">
      <c r="A11066" s="11" t="s">
        <v>53</v>
      </c>
      <c r="B11066" s="12">
        <v>1012.365</v>
      </c>
      <c r="C11066" s="12">
        <v>0</v>
      </c>
      <c r="D11066" s="13">
        <v>0</v>
      </c>
      <c r="E11066" s="12">
        <v>0</v>
      </c>
      <c r="F11066" s="14">
        <v>0</v>
      </c>
      <c r="G11066" s="13">
        <v>99580000</v>
      </c>
      <c r="H11066" s="14">
        <v>100811306700</v>
      </c>
      <c r="I11066" s="14" t="e">
        <f>=Round(2499372.76520000,0)</f>
        <v>#VALUE!</v>
      </c>
      <c r="J11066" s="14" t="e">
        <f>=Round(1377066.91560000,0)</f>
        <v>#VALUE!</v>
      </c>
    </row>
    <row r="11067">
      <c r="A11067" s="11" t="s">
        <v>54</v>
      </c>
      <c r="B11067" s="12">
        <v>1012.725</v>
      </c>
      <c r="C11067" s="12">
        <v>0</v>
      </c>
      <c r="D11067" s="13">
        <v>0</v>
      </c>
      <c r="E11067" s="12">
        <v>0</v>
      </c>
      <c r="F11067" s="14">
        <v>0</v>
      </c>
      <c r="G11067" s="13">
        <v>99580000</v>
      </c>
      <c r="H11067" s="14">
        <v>100847155500</v>
      </c>
      <c r="I11067" s="14" t="e">
        <f>=Round(2499624.61280000,0)</f>
        <v>#VALUE!</v>
      </c>
      <c r="J11067" s="14" t="e">
        <f>=Round(1377205.67480000,0)</f>
        <v>#VALUE!</v>
      </c>
    </row>
    <row r="11068">
      <c r="A11068" s="11" t="s">
        <v>55</v>
      </c>
      <c r="B11068" s="12">
        <v>1012.055</v>
      </c>
      <c r="C11068" s="12">
        <v>0</v>
      </c>
      <c r="D11068" s="13">
        <v>0</v>
      </c>
      <c r="E11068" s="12">
        <v>0</v>
      </c>
      <c r="F11068" s="14">
        <v>0</v>
      </c>
      <c r="G11068" s="13">
        <v>99580000</v>
      </c>
      <c r="H11068" s="14">
        <v>100780436900</v>
      </c>
      <c r="I11068" s="14" t="e">
        <f>=Round(2500513.48680000,0)</f>
        <v>#VALUE!</v>
      </c>
      <c r="J11068" s="14" t="e">
        <f>=Round(1377695.41320000,0)</f>
        <v>#VALUE!</v>
      </c>
    </row>
    <row r="11069" ht="-1">
      <c r="A11069" s="15"/>
      <c r="B11069" s="16" t="s">
        <v>56</v>
      </c>
      <c r="C11069" s="15"/>
      <c r="D11069" s="15"/>
      <c r="E11069" s="15"/>
      <c r="F11069" s="15"/>
      <c r="G11069" s="15"/>
      <c r="H11069" s="15"/>
      <c r="I11069" s="17" t="e">
        <f>=Round(SUM(I11043:I11068),0)</f>
        <v>#VALUE!</v>
      </c>
      <c r="J11069" s="17" t="e">
        <f>=Round(SUM(J11043:J11068),0)</f>
        <v>#VALUE!</v>
      </c>
    </row>
    <row r="11070">
      <c r="A11070" s="1" t="s">
        <v>0</v>
      </c>
      <c r="B11070" s="1"/>
      <c r="C11070" s="1"/>
      <c r="D11070" s="1"/>
    </row>
    <row r="11071">
      <c r="A11071" s="0" t="s">
        <v>1</v>
      </c>
      <c r="C11071" s="0" t="s">
        <v>378</v>
      </c>
      <c r="H11071" s="2" t="s">
        <v>3</v>
      </c>
    </row>
    <row r="11072">
      <c r="A11072" s="0" t="s">
        <v>4</v>
      </c>
      <c r="C11072" s="0" t="s">
        <v>126</v>
      </c>
      <c r="H11072" s="3" t="s">
        <v>6</v>
      </c>
    </row>
    <row r="11073">
      <c r="A11073" s="0" t="s">
        <v>7</v>
      </c>
      <c r="C11073" s="4" t="s">
        <v>379</v>
      </c>
      <c r="H11073" s="2" t="s">
        <v>9</v>
      </c>
    </row>
    <row r="11074">
      <c r="A11074" s="0" t="s">
        <v>10</v>
      </c>
      <c r="C11074" s="4" t="s">
        <v>124</v>
      </c>
      <c r="H11074" s="2" t="s">
        <v>12</v>
      </c>
    </row>
    <row r="11075">
      <c r="A11075" s="0" t="s">
        <v>13</v>
      </c>
      <c r="C11075" s="0" t="s">
        <v>14</v>
      </c>
    </row>
    <row r="11076">
      <c r="A11076" s="0" t="s">
        <v>15</v>
      </c>
      <c r="C11076" s="0" t="s">
        <v>16</v>
      </c>
    </row>
    <row r="11077">
      <c r="A11077" s="0" t="s">
        <v>17</v>
      </c>
      <c r="C11077" s="0" t="s">
        <v>18</v>
      </c>
    </row>
    <row r="11080">
      <c r="A11080" s="5" t="s">
        <v>19</v>
      </c>
      <c r="B11080" s="5" t="s">
        <v>20</v>
      </c>
      <c r="C11080" s="7" t="s">
        <v>21</v>
      </c>
      <c r="D11080" s="9"/>
      <c r="E11080" s="7" t="s">
        <v>22</v>
      </c>
      <c r="F11080" s="9"/>
      <c r="G11080" s="5" t="s">
        <v>23</v>
      </c>
      <c r="H11080" s="5" t="s">
        <v>24</v>
      </c>
      <c r="I11080" s="5" t="s">
        <v>380</v>
      </c>
      <c r="J11080" s="5" t="s">
        <v>125</v>
      </c>
    </row>
    <row r="11081">
      <c r="A11081" s="6"/>
      <c r="B11081" s="6"/>
      <c r="C11081" s="8" t="s">
        <v>27</v>
      </c>
      <c r="D11081" s="8" t="s">
        <v>28</v>
      </c>
      <c r="E11081" s="8" t="s">
        <v>27</v>
      </c>
      <c r="F11081" s="8" t="s">
        <v>28</v>
      </c>
      <c r="G11081" s="6"/>
      <c r="H11081" s="6"/>
      <c r="I11081" s="10" t="s">
        <v>29</v>
      </c>
      <c r="J11081" s="6"/>
    </row>
    <row r="11082">
      <c r="A11082" s="11" t="s">
        <v>30</v>
      </c>
      <c r="B11082" s="12">
        <v>1016.725</v>
      </c>
      <c r="C11082" s="12">
        <v>0</v>
      </c>
      <c r="D11082" s="13">
        <v>0</v>
      </c>
      <c r="E11082" s="12">
        <v>0</v>
      </c>
      <c r="F11082" s="14">
        <v>0</v>
      </c>
      <c r="G11082" s="13">
        <v>346560750.1235</v>
      </c>
      <c r="H11082" s="14">
        <v>352356978669.31549</v>
      </c>
      <c r="I11082" s="14" t="e">
        <f>=Round(1959174.14100000,0)</f>
        <v>#VALUE!</v>
      </c>
      <c r="J11082" s="14" t="e">
        <f>=Round(890532.80990000,0)</f>
        <v>#VALUE!</v>
      </c>
    </row>
    <row r="11083">
      <c r="A11083" s="11" t="s">
        <v>31</v>
      </c>
      <c r="B11083" s="12">
        <v>1017.442</v>
      </c>
      <c r="C11083" s="12">
        <v>0</v>
      </c>
      <c r="D11083" s="13">
        <v>0</v>
      </c>
      <c r="E11083" s="12">
        <v>0</v>
      </c>
      <c r="F11083" s="14">
        <v>0</v>
      </c>
      <c r="G11083" s="13">
        <v>346560750.1235</v>
      </c>
      <c r="H11083" s="14">
        <v>352605462727.15411</v>
      </c>
      <c r="I11083" s="14" t="e">
        <f>=Round(1959143.31040000,0)</f>
        <v>#VALUE!</v>
      </c>
      <c r="J11083" s="14" t="e">
        <f>=Round(890518.79600000,0)</f>
        <v>#VALUE!</v>
      </c>
    </row>
    <row r="11084">
      <c r="A11084" s="11" t="s">
        <v>32</v>
      </c>
      <c r="B11084" s="12">
        <v>1018.087</v>
      </c>
      <c r="C11084" s="12">
        <v>0</v>
      </c>
      <c r="D11084" s="13">
        <v>0</v>
      </c>
      <c r="E11084" s="12">
        <v>0</v>
      </c>
      <c r="F11084" s="14">
        <v>0</v>
      </c>
      <c r="G11084" s="13">
        <v>346560750.1235</v>
      </c>
      <c r="H11084" s="14">
        <v>352828994410.98376</v>
      </c>
      <c r="I11084" s="14" t="e">
        <f>=Round(1960524.90890000,0)</f>
        <v>#VALUE!</v>
      </c>
      <c r="J11084" s="14" t="e">
        <f>=Round(891146.79470000,0)</f>
        <v>#VALUE!</v>
      </c>
    </row>
    <row r="11085">
      <c r="A11085" s="11" t="s">
        <v>33</v>
      </c>
      <c r="B11085" s="12">
        <v>1018.984</v>
      </c>
      <c r="C11085" s="12">
        <v>0</v>
      </c>
      <c r="D11085" s="13">
        <v>0</v>
      </c>
      <c r="E11085" s="12">
        <v>0</v>
      </c>
      <c r="F11085" s="14">
        <v>0</v>
      </c>
      <c r="G11085" s="13">
        <v>346560750.1235</v>
      </c>
      <c r="H11085" s="14">
        <v>353139859403.84454</v>
      </c>
      <c r="I11085" s="14" t="e">
        <f>=Round(1961767.76950000,0)</f>
        <v>#VALUE!</v>
      </c>
      <c r="J11085" s="14" t="e">
        <f>=Round(891711.73080000,0)</f>
        <v>#VALUE!</v>
      </c>
    </row>
    <row r="11086">
      <c r="A11086" s="11" t="s">
        <v>34</v>
      </c>
      <c r="B11086" s="12">
        <v>1018.847</v>
      </c>
      <c r="C11086" s="12">
        <v>0</v>
      </c>
      <c r="D11086" s="13">
        <v>0</v>
      </c>
      <c r="E11086" s="12">
        <v>0</v>
      </c>
      <c r="F11086" s="14">
        <v>0</v>
      </c>
      <c r="G11086" s="13">
        <v>346560750.1235</v>
      </c>
      <c r="H11086" s="14">
        <v>353092380581.07764</v>
      </c>
      <c r="I11086" s="14" t="e">
        <f>=Round(1963496.21280000,0)</f>
        <v>#VALUE!</v>
      </c>
      <c r="J11086" s="14" t="e">
        <f>=Round(892497.38600000,0)</f>
        <v>#VALUE!</v>
      </c>
    </row>
    <row r="11087">
      <c r="A11087" s="11" t="s">
        <v>35</v>
      </c>
      <c r="B11087" s="12">
        <v>1018.847</v>
      </c>
      <c r="C11087" s="12">
        <v>0</v>
      </c>
      <c r="D11087" s="13">
        <v>0</v>
      </c>
      <c r="E11087" s="12">
        <v>0</v>
      </c>
      <c r="F11087" s="14">
        <v>0</v>
      </c>
      <c r="G11087" s="13">
        <v>346560750.1235</v>
      </c>
      <c r="H11087" s="14">
        <v>353092380581.07764</v>
      </c>
      <c r="I11087" s="14" t="e">
        <f>=Round(1963232.22540000,0)</f>
        <v>#VALUE!</v>
      </c>
      <c r="J11087" s="14" t="e">
        <f>=Round(892377.39190000,0)</f>
        <v>#VALUE!</v>
      </c>
    </row>
    <row r="11088">
      <c r="A11088" s="11" t="s">
        <v>36</v>
      </c>
      <c r="B11088" s="12">
        <v>1018.847</v>
      </c>
      <c r="C11088" s="12">
        <v>0</v>
      </c>
      <c r="D11088" s="13">
        <v>0</v>
      </c>
      <c r="E11088" s="12">
        <v>0</v>
      </c>
      <c r="F11088" s="14">
        <v>0</v>
      </c>
      <c r="G11088" s="13">
        <v>346560750.1235</v>
      </c>
      <c r="H11088" s="14">
        <v>353092380581.07764</v>
      </c>
      <c r="I11088" s="14" t="e">
        <f>=Round(1963232.22540000,0)</f>
        <v>#VALUE!</v>
      </c>
      <c r="J11088" s="14" t="e">
        <f>=Round(892377.39190000,0)</f>
        <v>#VALUE!</v>
      </c>
    </row>
    <row r="11089">
      <c r="A11089" s="11" t="s">
        <v>37</v>
      </c>
      <c r="B11089" s="12">
        <v>1019.492</v>
      </c>
      <c r="C11089" s="12">
        <v>0</v>
      </c>
      <c r="D11089" s="13">
        <v>0</v>
      </c>
      <c r="E11089" s="12">
        <v>0</v>
      </c>
      <c r="F11089" s="14">
        <v>0</v>
      </c>
      <c r="G11089" s="13">
        <v>346560750.1235</v>
      </c>
      <c r="H11089" s="14">
        <v>353315912264.90729</v>
      </c>
      <c r="I11089" s="14" t="e">
        <f>=Round(1963232.22540000,0)</f>
        <v>#VALUE!</v>
      </c>
      <c r="J11089" s="14" t="e">
        <f>=Round(892377.39190000,0)</f>
        <v>#VALUE!</v>
      </c>
    </row>
    <row r="11090">
      <c r="A11090" s="11" t="s">
        <v>38</v>
      </c>
      <c r="B11090" s="12">
        <v>1019.806</v>
      </c>
      <c r="C11090" s="12">
        <v>0</v>
      </c>
      <c r="D11090" s="13">
        <v>0</v>
      </c>
      <c r="E11090" s="12">
        <v>0</v>
      </c>
      <c r="F11090" s="14">
        <v>0</v>
      </c>
      <c r="G11090" s="13">
        <v>346560750.1235</v>
      </c>
      <c r="H11090" s="14">
        <v>353424732340.44604</v>
      </c>
      <c r="I11090" s="14" t="e">
        <f>=Round(1964475.08600000,0)</f>
        <v>#VALUE!</v>
      </c>
      <c r="J11090" s="14" t="e">
        <f>=Round(892942.32790000,0)</f>
        <v>#VALUE!</v>
      </c>
    </row>
    <row r="11091">
      <c r="A11091" s="11" t="s">
        <v>39</v>
      </c>
      <c r="B11091" s="12">
        <v>1020.852</v>
      </c>
      <c r="C11091" s="12">
        <v>0</v>
      </c>
      <c r="D11091" s="13">
        <v>0</v>
      </c>
      <c r="E11091" s="12">
        <v>0</v>
      </c>
      <c r="F11091" s="14">
        <v>0</v>
      </c>
      <c r="G11091" s="13">
        <v>346560750.1235</v>
      </c>
      <c r="H11091" s="14">
        <v>353787234885.0752</v>
      </c>
      <c r="I11091" s="14" t="e">
        <f>=Round(1965080.13750000,0)</f>
        <v>#VALUE!</v>
      </c>
      <c r="J11091" s="14" t="e">
        <f>=Round(893217.35110000,0)</f>
        <v>#VALUE!</v>
      </c>
    </row>
    <row r="11092">
      <c r="A11092" s="11" t="s">
        <v>40</v>
      </c>
      <c r="B11092" s="12">
        <v>1021.349</v>
      </c>
      <c r="C11092" s="12">
        <v>0</v>
      </c>
      <c r="D11092" s="13">
        <v>0</v>
      </c>
      <c r="E11092" s="12">
        <v>0</v>
      </c>
      <c r="F11092" s="14">
        <v>0</v>
      </c>
      <c r="G11092" s="13">
        <v>346560750.1235</v>
      </c>
      <c r="H11092" s="14">
        <v>353959475577.8866</v>
      </c>
      <c r="I11092" s="14" t="e">
        <f>=Round(1967095.69120000,0)</f>
        <v>#VALUE!</v>
      </c>
      <c r="J11092" s="14" t="e">
        <f>=Round(894133.51100000,0)</f>
        <v>#VALUE!</v>
      </c>
    </row>
    <row r="11093">
      <c r="A11093" s="11" t="s">
        <v>41</v>
      </c>
      <c r="B11093" s="12">
        <v>1022.281</v>
      </c>
      <c r="C11093" s="12">
        <v>0</v>
      </c>
      <c r="D11093" s="13">
        <v>0</v>
      </c>
      <c r="E11093" s="12">
        <v>0</v>
      </c>
      <c r="F11093" s="14">
        <v>0</v>
      </c>
      <c r="G11093" s="13">
        <v>346560750.1235</v>
      </c>
      <c r="H11093" s="14">
        <v>354282470197.00171</v>
      </c>
      <c r="I11093" s="14" t="e">
        <f>=Round(1968053.36830000,0)</f>
        <v>#VALUE!</v>
      </c>
      <c r="J11093" s="14" t="e">
        <f>=Round(894568.81830000,0)</f>
        <v>#VALUE!</v>
      </c>
    </row>
    <row r="11094">
      <c r="A11094" s="11" t="s">
        <v>42</v>
      </c>
      <c r="B11094" s="12">
        <v>1022.281</v>
      </c>
      <c r="C11094" s="12">
        <v>0</v>
      </c>
      <c r="D11094" s="13">
        <v>0</v>
      </c>
      <c r="E11094" s="12">
        <v>0</v>
      </c>
      <c r="F11094" s="14">
        <v>0</v>
      </c>
      <c r="G11094" s="13">
        <v>346560750.1235</v>
      </c>
      <c r="H11094" s="14">
        <v>354282470197.00171</v>
      </c>
      <c r="I11094" s="14" t="e">
        <f>=Round(1969849.25370000,0)</f>
        <v>#VALUE!</v>
      </c>
      <c r="J11094" s="14" t="e">
        <f>=Round(895385.12900000,0)</f>
        <v>#VALUE!</v>
      </c>
    </row>
    <row r="11095">
      <c r="A11095" s="11" t="s">
        <v>43</v>
      </c>
      <c r="B11095" s="12">
        <v>1022.281</v>
      </c>
      <c r="C11095" s="12">
        <v>0</v>
      </c>
      <c r="D11095" s="13">
        <v>0</v>
      </c>
      <c r="E11095" s="12">
        <v>0</v>
      </c>
      <c r="F11095" s="14">
        <v>0</v>
      </c>
      <c r="G11095" s="13">
        <v>346560750.1235</v>
      </c>
      <c r="H11095" s="14">
        <v>354282470197.00171</v>
      </c>
      <c r="I11095" s="14" t="e">
        <f>=Round(1969849.25370000,0)</f>
        <v>#VALUE!</v>
      </c>
      <c r="J11095" s="14" t="e">
        <f>=Round(895385.12900000,0)</f>
        <v>#VALUE!</v>
      </c>
    </row>
    <row r="11096">
      <c r="A11096" s="11" t="s">
        <v>44</v>
      </c>
      <c r="B11096" s="12">
        <v>1023.606</v>
      </c>
      <c r="C11096" s="12">
        <v>0</v>
      </c>
      <c r="D11096" s="13">
        <v>0</v>
      </c>
      <c r="E11096" s="12">
        <v>0</v>
      </c>
      <c r="F11096" s="14">
        <v>0</v>
      </c>
      <c r="G11096" s="13">
        <v>346560750.1235</v>
      </c>
      <c r="H11096" s="14">
        <v>354741663190.91534</v>
      </c>
      <c r="I11096" s="14" t="e">
        <f>=Round(1969849.25370000,0)</f>
        <v>#VALUE!</v>
      </c>
      <c r="J11096" s="14" t="e">
        <f>=Round(895385.12900000,0)</f>
        <v>#VALUE!</v>
      </c>
    </row>
    <row r="11097">
      <c r="A11097" s="11" t="s">
        <v>45</v>
      </c>
      <c r="B11097" s="12">
        <v>1022.798</v>
      </c>
      <c r="C11097" s="12">
        <v>0</v>
      </c>
      <c r="D11097" s="13">
        <v>0</v>
      </c>
      <c r="E11097" s="12">
        <v>0</v>
      </c>
      <c r="F11097" s="14">
        <v>0</v>
      </c>
      <c r="G11097" s="13">
        <v>346560750.1235</v>
      </c>
      <c r="H11097" s="14">
        <v>354461642104.81555</v>
      </c>
      <c r="I11097" s="14" t="e">
        <f>=Round(1972402.41690000,0)</f>
        <v>#VALUE!</v>
      </c>
      <c r="J11097" s="14" t="e">
        <f>=Round(896545.65660000,0)</f>
        <v>#VALUE!</v>
      </c>
    </row>
    <row r="11098">
      <c r="A11098" s="11" t="s">
        <v>46</v>
      </c>
      <c r="B11098" s="12">
        <v>1024.437</v>
      </c>
      <c r="C11098" s="12">
        <v>0</v>
      </c>
      <c r="D11098" s="13">
        <v>0</v>
      </c>
      <c r="E11098" s="12">
        <v>0</v>
      </c>
      <c r="F11098" s="14">
        <v>0</v>
      </c>
      <c r="G11098" s="13">
        <v>346560750.1235</v>
      </c>
      <c r="H11098" s="14">
        <v>355029655174.26794</v>
      </c>
      <c r="I11098" s="14" t="e">
        <f>=Round(1970845.46910000,0)</f>
        <v>#VALUE!</v>
      </c>
      <c r="J11098" s="14" t="e">
        <f>=Round(895837.95370000,0)</f>
        <v>#VALUE!</v>
      </c>
    </row>
    <row r="11099">
      <c r="A11099" s="11" t="s">
        <v>47</v>
      </c>
      <c r="B11099" s="12">
        <v>1024.549</v>
      </c>
      <c r="C11099" s="12">
        <v>0</v>
      </c>
      <c r="D11099" s="13">
        <v>0</v>
      </c>
      <c r="E11099" s="12">
        <v>0</v>
      </c>
      <c r="F11099" s="14">
        <v>0</v>
      </c>
      <c r="G11099" s="13">
        <v>346560750.1235</v>
      </c>
      <c r="H11099" s="14">
        <v>355068469978.2818</v>
      </c>
      <c r="I11099" s="14" t="e">
        <f>=Round(1974003.68380000,0)</f>
        <v>#VALUE!</v>
      </c>
      <c r="J11099" s="14" t="e">
        <f>=Round(897273.50450000,0)</f>
        <v>#VALUE!</v>
      </c>
    </row>
    <row r="11100">
      <c r="A11100" s="11" t="s">
        <v>48</v>
      </c>
      <c r="B11100" s="12">
        <v>1025.051</v>
      </c>
      <c r="C11100" s="12">
        <v>0</v>
      </c>
      <c r="D11100" s="13">
        <v>0</v>
      </c>
      <c r="E11100" s="12">
        <v>0</v>
      </c>
      <c r="F11100" s="14">
        <v>0</v>
      </c>
      <c r="G11100" s="13">
        <v>346560750.1235</v>
      </c>
      <c r="H11100" s="14">
        <v>355242443474.84375</v>
      </c>
      <c r="I11100" s="14" t="e">
        <f>=Round(1974219.49840000,0)</f>
        <v>#VALUE!</v>
      </c>
      <c r="J11100" s="14" t="e">
        <f>=Round(897371.60190000,0)</f>
        <v>#VALUE!</v>
      </c>
    </row>
    <row r="11101">
      <c r="A11101" s="11" t="s">
        <v>49</v>
      </c>
      <c r="B11101" s="12">
        <v>1025.051</v>
      </c>
      <c r="C11101" s="12">
        <v>0</v>
      </c>
      <c r="D11101" s="13">
        <v>0</v>
      </c>
      <c r="E11101" s="12">
        <v>0</v>
      </c>
      <c r="F11101" s="14">
        <v>0</v>
      </c>
      <c r="G11101" s="13">
        <v>346560750.1235</v>
      </c>
      <c r="H11101" s="14">
        <v>355242443474.84375</v>
      </c>
      <c r="I11101" s="14" t="e">
        <f>=Round(1975186.81000000,0)</f>
        <v>#VALUE!</v>
      </c>
      <c r="J11101" s="14" t="e">
        <f>=Round(897811.28860000,0)</f>
        <v>#VALUE!</v>
      </c>
    </row>
    <row r="11102">
      <c r="A11102" s="11" t="s">
        <v>50</v>
      </c>
      <c r="B11102" s="12">
        <v>1025.051</v>
      </c>
      <c r="C11102" s="12">
        <v>0</v>
      </c>
      <c r="D11102" s="13">
        <v>0</v>
      </c>
      <c r="E11102" s="12">
        <v>0</v>
      </c>
      <c r="F11102" s="14">
        <v>0</v>
      </c>
      <c r="G11102" s="13">
        <v>346560750.1235</v>
      </c>
      <c r="H11102" s="14">
        <v>355242443474.84375</v>
      </c>
      <c r="I11102" s="14" t="e">
        <f>=Round(1975186.81000000,0)</f>
        <v>#VALUE!</v>
      </c>
      <c r="J11102" s="14" t="e">
        <f>=Round(897811.28860000,0)</f>
        <v>#VALUE!</v>
      </c>
    </row>
    <row r="11103">
      <c r="A11103" s="11" t="s">
        <v>51</v>
      </c>
      <c r="B11103" s="12">
        <v>1025.737</v>
      </c>
      <c r="C11103" s="12">
        <v>0</v>
      </c>
      <c r="D11103" s="13">
        <v>0</v>
      </c>
      <c r="E11103" s="12">
        <v>0</v>
      </c>
      <c r="F11103" s="14">
        <v>0</v>
      </c>
      <c r="G11103" s="13">
        <v>346560750.1235</v>
      </c>
      <c r="H11103" s="14">
        <v>355480184149.42853</v>
      </c>
      <c r="I11103" s="14" t="e">
        <f>=Round(1975186.81000000,0)</f>
        <v>#VALUE!</v>
      </c>
      <c r="J11103" s="14" t="e">
        <f>=Round(897811.28860000,0)</f>
        <v>#VALUE!</v>
      </c>
    </row>
    <row r="11104">
      <c r="A11104" s="11" t="s">
        <v>52</v>
      </c>
      <c r="B11104" s="12">
        <v>1025.959</v>
      </c>
      <c r="C11104" s="12">
        <v>0</v>
      </c>
      <c r="D11104" s="13">
        <v>0</v>
      </c>
      <c r="E11104" s="12">
        <v>0</v>
      </c>
      <c r="F11104" s="14">
        <v>0</v>
      </c>
      <c r="G11104" s="13">
        <v>346560750.1235</v>
      </c>
      <c r="H11104" s="14">
        <v>355557120635.956</v>
      </c>
      <c r="I11104" s="14" t="e">
        <f>=Round(1976508.67420000,0)</f>
        <v>#VALUE!</v>
      </c>
      <c r="J11104" s="14" t="e">
        <f>=Round(898412.13530000,0)</f>
        <v>#VALUE!</v>
      </c>
    </row>
    <row r="11105">
      <c r="A11105" s="11" t="s">
        <v>53</v>
      </c>
      <c r="B11105" s="12">
        <v>1026.019</v>
      </c>
      <c r="C11105" s="12">
        <v>0</v>
      </c>
      <c r="D11105" s="13">
        <v>0</v>
      </c>
      <c r="E11105" s="12">
        <v>0</v>
      </c>
      <c r="F11105" s="14">
        <v>0</v>
      </c>
      <c r="G11105" s="13">
        <v>346560750.1235</v>
      </c>
      <c r="H11105" s="14">
        <v>355577914280.96332</v>
      </c>
      <c r="I11105" s="14" t="e">
        <f>=Round(1976936.44940000,0)</f>
        <v>#VALUE!</v>
      </c>
      <c r="J11105" s="14" t="e">
        <f>=Round(898606.57840000,0)</f>
        <v>#VALUE!</v>
      </c>
    </row>
    <row r="11106">
      <c r="A11106" s="11" t="s">
        <v>54</v>
      </c>
      <c r="B11106" s="12">
        <v>1026.345</v>
      </c>
      <c r="C11106" s="12">
        <v>0</v>
      </c>
      <c r="D11106" s="13">
        <v>0</v>
      </c>
      <c r="E11106" s="12">
        <v>0</v>
      </c>
      <c r="F11106" s="14">
        <v>0</v>
      </c>
      <c r="G11106" s="13">
        <v>346560750.1235</v>
      </c>
      <c r="H11106" s="14">
        <v>355690893085.5036</v>
      </c>
      <c r="I11106" s="14" t="e">
        <f>=Round(1977052.06440000,0)</f>
        <v>#VALUE!</v>
      </c>
      <c r="J11106" s="14" t="e">
        <f>=Round(898659.13060000,0)</f>
        <v>#VALUE!</v>
      </c>
    </row>
    <row r="11107">
      <c r="A11107" s="11" t="s">
        <v>55</v>
      </c>
      <c r="B11107" s="12">
        <v>1025.558</v>
      </c>
      <c r="C11107" s="12">
        <v>0</v>
      </c>
      <c r="D11107" s="13">
        <v>0</v>
      </c>
      <c r="E11107" s="12">
        <v>0</v>
      </c>
      <c r="F11107" s="14">
        <v>0</v>
      </c>
      <c r="G11107" s="13">
        <v>346560750.1235</v>
      </c>
      <c r="H11107" s="14">
        <v>355418149775.15643</v>
      </c>
      <c r="I11107" s="14" t="e">
        <f>=Round(1977680.23890000,0)</f>
        <v>#VALUE!</v>
      </c>
      <c r="J11107" s="14" t="e">
        <f>=Round(898944.66420000,0)</f>
        <v>#VALUE!</v>
      </c>
    </row>
    <row r="11108" ht="-1">
      <c r="A11108" s="15"/>
      <c r="B11108" s="16" t="s">
        <v>56</v>
      </c>
      <c r="C11108" s="15"/>
      <c r="D11108" s="15"/>
      <c r="E11108" s="15"/>
      <c r="F11108" s="15"/>
      <c r="G11108" s="15"/>
      <c r="H11108" s="15"/>
      <c r="I11108" s="17" t="e">
        <f>=Round(SUM(I11082:I11107),0)</f>
        <v>#VALUE!</v>
      </c>
      <c r="J11108" s="17" t="e">
        <f>=Round(SUM(J11082:J11107),0)</f>
        <v>#VALUE!</v>
      </c>
    </row>
    <row r="11109">
      <c r="A11109" s="1" t="s">
        <v>0</v>
      </c>
      <c r="B11109" s="1"/>
      <c r="C11109" s="1"/>
      <c r="D11109" s="1"/>
    </row>
    <row r="11110">
      <c r="A11110" s="0" t="s">
        <v>1</v>
      </c>
      <c r="C11110" s="0" t="s">
        <v>381</v>
      </c>
      <c r="H11110" s="2" t="s">
        <v>3</v>
      </c>
    </row>
    <row r="11111">
      <c r="A11111" s="0" t="s">
        <v>4</v>
      </c>
      <c r="C11111" s="0" t="s">
        <v>382</v>
      </c>
      <c r="H11111" s="3" t="s">
        <v>6</v>
      </c>
    </row>
    <row r="11112">
      <c r="A11112" s="0" t="s">
        <v>7</v>
      </c>
      <c r="C11112" s="4" t="s">
        <v>383</v>
      </c>
      <c r="H11112" s="2" t="s">
        <v>9</v>
      </c>
    </row>
    <row r="11113">
      <c r="A11113" s="0" t="s">
        <v>10</v>
      </c>
      <c r="C11113" s="4" t="s">
        <v>11</v>
      </c>
      <c r="H11113" s="2" t="s">
        <v>12</v>
      </c>
    </row>
    <row r="11114">
      <c r="A11114" s="0" t="s">
        <v>13</v>
      </c>
      <c r="C11114" s="0" t="s">
        <v>14</v>
      </c>
    </row>
    <row r="11115">
      <c r="A11115" s="0" t="s">
        <v>15</v>
      </c>
      <c r="C11115" s="0" t="s">
        <v>16</v>
      </c>
    </row>
    <row r="11116">
      <c r="A11116" s="0" t="s">
        <v>17</v>
      </c>
      <c r="C11116" s="0" t="s">
        <v>18</v>
      </c>
    </row>
    <row r="11119">
      <c r="A11119" s="5" t="s">
        <v>19</v>
      </c>
      <c r="B11119" s="5" t="s">
        <v>20</v>
      </c>
      <c r="C11119" s="7" t="s">
        <v>21</v>
      </c>
      <c r="D11119" s="9"/>
      <c r="E11119" s="7" t="s">
        <v>22</v>
      </c>
      <c r="F11119" s="9"/>
      <c r="G11119" s="5" t="s">
        <v>23</v>
      </c>
      <c r="H11119" s="5" t="s">
        <v>24</v>
      </c>
      <c r="I11119" s="5" t="s">
        <v>384</v>
      </c>
      <c r="J11119" s="5" t="s">
        <v>26</v>
      </c>
    </row>
    <row r="11120">
      <c r="A11120" s="6"/>
      <c r="B11120" s="6"/>
      <c r="C11120" s="8" t="s">
        <v>27</v>
      </c>
      <c r="D11120" s="8" t="s">
        <v>28</v>
      </c>
      <c r="E11120" s="8" t="s">
        <v>27</v>
      </c>
      <c r="F11120" s="8" t="s">
        <v>28</v>
      </c>
      <c r="G11120" s="6"/>
      <c r="H11120" s="6"/>
      <c r="I11120" s="10" t="s">
        <v>29</v>
      </c>
      <c r="J11120" s="6"/>
    </row>
    <row r="11121">
      <c r="A11121" s="11" t="s">
        <v>30</v>
      </c>
      <c r="B11121" s="12">
        <v>966.7131</v>
      </c>
      <c r="C11121" s="12">
        <v>0</v>
      </c>
      <c r="D11121" s="13">
        <v>0</v>
      </c>
      <c r="E11121" s="12">
        <v>0</v>
      </c>
      <c r="F11121" s="14">
        <v>0</v>
      </c>
      <c r="G11121" s="13">
        <v>200200000</v>
      </c>
      <c r="H11121" s="14">
        <v>193535962620</v>
      </c>
      <c r="I11121" s="14" t="e">
        <f>=Round(815195.91920000,0)</f>
        <v>#VALUE!</v>
      </c>
      <c r="J11121" s="14" t="e">
        <f>=Round(0.00000000,0)</f>
        <v>#VALUE!</v>
      </c>
    </row>
    <row r="11122">
      <c r="A11122" s="11" t="s">
        <v>31</v>
      </c>
      <c r="B11122" s="12">
        <v>971.4393</v>
      </c>
      <c r="C11122" s="12">
        <v>0</v>
      </c>
      <c r="D11122" s="13">
        <v>0</v>
      </c>
      <c r="E11122" s="12">
        <v>0</v>
      </c>
      <c r="F11122" s="14">
        <v>0</v>
      </c>
      <c r="G11122" s="13">
        <v>200200000</v>
      </c>
      <c r="H11122" s="14">
        <v>194482147860</v>
      </c>
      <c r="I11122" s="14" t="e">
        <f>=Round(814331.64600000,0)</f>
        <v>#VALUE!</v>
      </c>
      <c r="J11122" s="14" t="e">
        <f>=Round(0.00000000,0)</f>
        <v>#VALUE!</v>
      </c>
    </row>
    <row r="11123">
      <c r="A11123" s="11" t="s">
        <v>32</v>
      </c>
      <c r="B11123" s="12">
        <v>971.3155</v>
      </c>
      <c r="C11123" s="12">
        <v>0</v>
      </c>
      <c r="D11123" s="13">
        <v>0</v>
      </c>
      <c r="E11123" s="12">
        <v>0</v>
      </c>
      <c r="F11123" s="14">
        <v>0</v>
      </c>
      <c r="G11123" s="13">
        <v>200200000</v>
      </c>
      <c r="H11123" s="14">
        <v>194457363100</v>
      </c>
      <c r="I11123" s="14" t="e">
        <f>=Round(818312.86260000,0)</f>
        <v>#VALUE!</v>
      </c>
      <c r="J11123" s="14" t="e">
        <f>=Round(0.00000000,0)</f>
        <v>#VALUE!</v>
      </c>
    </row>
    <row r="11124">
      <c r="A11124" s="11" t="s">
        <v>33</v>
      </c>
      <c r="B11124" s="12">
        <v>974.7153</v>
      </c>
      <c r="C11124" s="12">
        <v>0</v>
      </c>
      <c r="D11124" s="13">
        <v>0</v>
      </c>
      <c r="E11124" s="12">
        <v>0</v>
      </c>
      <c r="F11124" s="14">
        <v>0</v>
      </c>
      <c r="G11124" s="13">
        <v>200200000</v>
      </c>
      <c r="H11124" s="14">
        <v>195138003060</v>
      </c>
      <c r="I11124" s="14" t="e">
        <f>=Round(818208.57700000,0)</f>
        <v>#VALUE!</v>
      </c>
      <c r="J11124" s="14" t="e">
        <f>=Round(0.00000000,0)</f>
        <v>#VALUE!</v>
      </c>
    </row>
    <row r="11125">
      <c r="A11125" s="11" t="s">
        <v>34</v>
      </c>
      <c r="B11125" s="12">
        <v>975.4014</v>
      </c>
      <c r="C11125" s="12">
        <v>0</v>
      </c>
      <c r="D11125" s="13">
        <v>0</v>
      </c>
      <c r="E11125" s="12">
        <v>0</v>
      </c>
      <c r="F11125" s="14">
        <v>0</v>
      </c>
      <c r="G11125" s="13">
        <v>200200000</v>
      </c>
      <c r="H11125" s="14">
        <v>195275360280</v>
      </c>
      <c r="I11125" s="14" t="e">
        <f>=Round(821072.47190000,0)</f>
        <v>#VALUE!</v>
      </c>
      <c r="J11125" s="14" t="e">
        <f>=Round(0.00000000,0)</f>
        <v>#VALUE!</v>
      </c>
    </row>
    <row r="11126">
      <c r="A11126" s="11" t="s">
        <v>35</v>
      </c>
      <c r="B11126" s="12">
        <v>975.4014</v>
      </c>
      <c r="C11126" s="12">
        <v>0</v>
      </c>
      <c r="D11126" s="13">
        <v>0</v>
      </c>
      <c r="E11126" s="12">
        <v>0</v>
      </c>
      <c r="F11126" s="14">
        <v>0</v>
      </c>
      <c r="G11126" s="13">
        <v>200200000</v>
      </c>
      <c r="H11126" s="14">
        <v>195275360280</v>
      </c>
      <c r="I11126" s="14" t="e">
        <f>=Round(821650.42300000,0)</f>
        <v>#VALUE!</v>
      </c>
      <c r="J11126" s="14" t="e">
        <f>=Round(0.00000000,0)</f>
        <v>#VALUE!</v>
      </c>
    </row>
    <row r="11127">
      <c r="A11127" s="11" t="s">
        <v>36</v>
      </c>
      <c r="B11127" s="12">
        <v>975.4014</v>
      </c>
      <c r="C11127" s="12">
        <v>0</v>
      </c>
      <c r="D11127" s="13">
        <v>0</v>
      </c>
      <c r="E11127" s="12">
        <v>0</v>
      </c>
      <c r="F11127" s="14">
        <v>0</v>
      </c>
      <c r="G11127" s="13">
        <v>200200000</v>
      </c>
      <c r="H11127" s="14">
        <v>195275360280</v>
      </c>
      <c r="I11127" s="14" t="e">
        <f>=Round(821650.42300000,0)</f>
        <v>#VALUE!</v>
      </c>
      <c r="J11127" s="14" t="e">
        <f>=Round(0.00000000,0)</f>
        <v>#VALUE!</v>
      </c>
    </row>
    <row r="11128">
      <c r="A11128" s="11" t="s">
        <v>37</v>
      </c>
      <c r="B11128" s="12">
        <v>974.0688</v>
      </c>
      <c r="C11128" s="12">
        <v>0</v>
      </c>
      <c r="D11128" s="13">
        <v>0</v>
      </c>
      <c r="E11128" s="12">
        <v>0</v>
      </c>
      <c r="F11128" s="14">
        <v>0</v>
      </c>
      <c r="G11128" s="13">
        <v>200200000</v>
      </c>
      <c r="H11128" s="14">
        <v>195008573760</v>
      </c>
      <c r="I11128" s="14" t="e">
        <f>=Round(821650.42300000,0)</f>
        <v>#VALUE!</v>
      </c>
      <c r="J11128" s="14" t="e">
        <f>=Round(0.00000000,0)</f>
        <v>#VALUE!</v>
      </c>
    </row>
    <row r="11129">
      <c r="A11129" s="11" t="s">
        <v>38</v>
      </c>
      <c r="B11129" s="12">
        <v>975.8479</v>
      </c>
      <c r="C11129" s="12">
        <v>0</v>
      </c>
      <c r="D11129" s="13">
        <v>0</v>
      </c>
      <c r="E11129" s="12">
        <v>0</v>
      </c>
      <c r="F11129" s="14">
        <v>0</v>
      </c>
      <c r="G11129" s="13">
        <v>200200000</v>
      </c>
      <c r="H11129" s="14">
        <v>195364749580</v>
      </c>
      <c r="I11129" s="14" t="e">
        <f>=Round(820527.87870000,0)</f>
        <v>#VALUE!</v>
      </c>
      <c r="J11129" s="14" t="e">
        <f>=Round(0.00000000,0)</f>
        <v>#VALUE!</v>
      </c>
    </row>
    <row r="11130">
      <c r="A11130" s="11" t="s">
        <v>39</v>
      </c>
      <c r="B11130" s="12">
        <v>982.3296</v>
      </c>
      <c r="C11130" s="12">
        <v>0</v>
      </c>
      <c r="D11130" s="13">
        <v>0</v>
      </c>
      <c r="E11130" s="12">
        <v>0</v>
      </c>
      <c r="F11130" s="14">
        <v>0</v>
      </c>
      <c r="G11130" s="13">
        <v>200200000</v>
      </c>
      <c r="H11130" s="14">
        <v>196662385920</v>
      </c>
      <c r="I11130" s="14" t="e">
        <f>=Round(822026.54190000,0)</f>
        <v>#VALUE!</v>
      </c>
      <c r="J11130" s="14" t="e">
        <f>=Round(0.00000000,0)</f>
        <v>#VALUE!</v>
      </c>
    </row>
    <row r="11131">
      <c r="A11131" s="11" t="s">
        <v>40</v>
      </c>
      <c r="B11131" s="12">
        <v>982.9493</v>
      </c>
      <c r="C11131" s="12">
        <v>0</v>
      </c>
      <c r="D11131" s="13">
        <v>0</v>
      </c>
      <c r="E11131" s="12">
        <v>0</v>
      </c>
      <c r="F11131" s="14">
        <v>0</v>
      </c>
      <c r="G11131" s="13">
        <v>200200000</v>
      </c>
      <c r="H11131" s="14">
        <v>196786449860</v>
      </c>
      <c r="I11131" s="14" t="e">
        <f>=Round(827486.54180000,0)</f>
        <v>#VALUE!</v>
      </c>
      <c r="J11131" s="14" t="e">
        <f>=Round(0.00000000,0)</f>
        <v>#VALUE!</v>
      </c>
    </row>
    <row r="11132">
      <c r="A11132" s="11" t="s">
        <v>41</v>
      </c>
      <c r="B11132" s="12">
        <v>982.8564</v>
      </c>
      <c r="C11132" s="12">
        <v>0</v>
      </c>
      <c r="D11132" s="13">
        <v>0</v>
      </c>
      <c r="E11132" s="12">
        <v>0</v>
      </c>
      <c r="F11132" s="14">
        <v>0</v>
      </c>
      <c r="G11132" s="13">
        <v>200200000</v>
      </c>
      <c r="H11132" s="14">
        <v>196767851280</v>
      </c>
      <c r="I11132" s="14" t="e">
        <f>=Round(828008.55950000,0)</f>
        <v>#VALUE!</v>
      </c>
      <c r="J11132" s="14" t="e">
        <f>=Round(0.00000000,0)</f>
        <v>#VALUE!</v>
      </c>
    </row>
    <row r="11133">
      <c r="A11133" s="11" t="s">
        <v>42</v>
      </c>
      <c r="B11133" s="12">
        <v>982.8564</v>
      </c>
      <c r="C11133" s="12">
        <v>0</v>
      </c>
      <c r="D11133" s="13">
        <v>0</v>
      </c>
      <c r="E11133" s="12">
        <v>0</v>
      </c>
      <c r="F11133" s="14">
        <v>0</v>
      </c>
      <c r="G11133" s="13">
        <v>200200000</v>
      </c>
      <c r="H11133" s="14">
        <v>196767851280</v>
      </c>
      <c r="I11133" s="14" t="e">
        <f>=Round(827930.30320000,0)</f>
        <v>#VALUE!</v>
      </c>
      <c r="J11133" s="14" t="e">
        <f>=Round(0.00000000,0)</f>
        <v>#VALUE!</v>
      </c>
    </row>
    <row r="11134">
      <c r="A11134" s="11" t="s">
        <v>43</v>
      </c>
      <c r="B11134" s="12">
        <v>982.8564</v>
      </c>
      <c r="C11134" s="12">
        <v>0</v>
      </c>
      <c r="D11134" s="13">
        <v>0</v>
      </c>
      <c r="E11134" s="12">
        <v>0</v>
      </c>
      <c r="F11134" s="14">
        <v>0</v>
      </c>
      <c r="G11134" s="13">
        <v>200200000</v>
      </c>
      <c r="H11134" s="14">
        <v>196767851280</v>
      </c>
      <c r="I11134" s="14" t="e">
        <f>=Round(827930.30320000,0)</f>
        <v>#VALUE!</v>
      </c>
      <c r="J11134" s="14" t="e">
        <f>=Round(0.00000000,0)</f>
        <v>#VALUE!</v>
      </c>
    </row>
    <row r="11135">
      <c r="A11135" s="11" t="s">
        <v>44</v>
      </c>
      <c r="B11135" s="12">
        <v>983.7525</v>
      </c>
      <c r="C11135" s="12">
        <v>0</v>
      </c>
      <c r="D11135" s="13">
        <v>0</v>
      </c>
      <c r="E11135" s="12">
        <v>0</v>
      </c>
      <c r="F11135" s="14">
        <v>0</v>
      </c>
      <c r="G11135" s="13">
        <v>200200000</v>
      </c>
      <c r="H11135" s="14">
        <v>196947250500</v>
      </c>
      <c r="I11135" s="14" t="e">
        <f>=Round(827930.30320000,0)</f>
        <v>#VALUE!</v>
      </c>
      <c r="J11135" s="14" t="e">
        <f>=Round(0.00000000,0)</f>
        <v>#VALUE!</v>
      </c>
    </row>
    <row r="11136">
      <c r="A11136" s="11" t="s">
        <v>45</v>
      </c>
      <c r="B11136" s="12">
        <v>985.1524</v>
      </c>
      <c r="C11136" s="12">
        <v>0</v>
      </c>
      <c r="D11136" s="13">
        <v>0</v>
      </c>
      <c r="E11136" s="12">
        <v>0</v>
      </c>
      <c r="F11136" s="14">
        <v>0</v>
      </c>
      <c r="G11136" s="13">
        <v>200200000</v>
      </c>
      <c r="H11136" s="14">
        <v>197227510480</v>
      </c>
      <c r="I11136" s="14" t="e">
        <f>=Round(828685.15240000,0)</f>
        <v>#VALUE!</v>
      </c>
      <c r="J11136" s="14" t="e">
        <f>=Round(0.00000000,0)</f>
        <v>#VALUE!</v>
      </c>
    </row>
    <row r="11137">
      <c r="A11137" s="11" t="s">
        <v>46</v>
      </c>
      <c r="B11137" s="12">
        <v>986.3759</v>
      </c>
      <c r="C11137" s="12">
        <v>0</v>
      </c>
      <c r="D11137" s="13">
        <v>0</v>
      </c>
      <c r="E11137" s="12">
        <v>0</v>
      </c>
      <c r="F11137" s="14">
        <v>0</v>
      </c>
      <c r="G11137" s="13">
        <v>200200000</v>
      </c>
      <c r="H11137" s="14">
        <v>197472455180</v>
      </c>
      <c r="I11137" s="14" t="e">
        <f>=Round(829864.38840000,0)</f>
        <v>#VALUE!</v>
      </c>
      <c r="J11137" s="14" t="e">
        <f>=Round(0.00000000,0)</f>
        <v>#VALUE!</v>
      </c>
    </row>
    <row r="11138">
      <c r="A11138" s="11" t="s">
        <v>47</v>
      </c>
      <c r="B11138" s="12">
        <v>985.7427</v>
      </c>
      <c r="C11138" s="12">
        <v>0</v>
      </c>
      <c r="D11138" s="13">
        <v>0</v>
      </c>
      <c r="E11138" s="12">
        <v>0</v>
      </c>
      <c r="F11138" s="14">
        <v>0</v>
      </c>
      <c r="G11138" s="13">
        <v>200200000</v>
      </c>
      <c r="H11138" s="14">
        <v>197345688540</v>
      </c>
      <c r="I11138" s="14" t="e">
        <f>=Round(830895.03000000,0)</f>
        <v>#VALUE!</v>
      </c>
      <c r="J11138" s="14" t="e">
        <f>=Round(0.00000000,0)</f>
        <v>#VALUE!</v>
      </c>
    </row>
    <row r="11139">
      <c r="A11139" s="11" t="s">
        <v>48</v>
      </c>
      <c r="B11139" s="12">
        <v>983.9824</v>
      </c>
      <c r="C11139" s="12">
        <v>0</v>
      </c>
      <c r="D11139" s="13">
        <v>0</v>
      </c>
      <c r="E11139" s="12">
        <v>0</v>
      </c>
      <c r="F11139" s="14">
        <v>0</v>
      </c>
      <c r="G11139" s="13">
        <v>200200000</v>
      </c>
      <c r="H11139" s="14">
        <v>196993276480</v>
      </c>
      <c r="I11139" s="14" t="e">
        <f>=Round(830361.64030000,0)</f>
        <v>#VALUE!</v>
      </c>
      <c r="J11139" s="14" t="e">
        <f>=Round(0.00000000,0)</f>
        <v>#VALUE!</v>
      </c>
    </row>
    <row r="11140">
      <c r="A11140" s="11" t="s">
        <v>49</v>
      </c>
      <c r="B11140" s="12">
        <v>983.9824</v>
      </c>
      <c r="C11140" s="12">
        <v>0</v>
      </c>
      <c r="D11140" s="13">
        <v>0</v>
      </c>
      <c r="E11140" s="12">
        <v>0</v>
      </c>
      <c r="F11140" s="14">
        <v>0</v>
      </c>
      <c r="G11140" s="13">
        <v>200200000</v>
      </c>
      <c r="H11140" s="14">
        <v>196993276480</v>
      </c>
      <c r="I11140" s="14" t="e">
        <f>=Round(828878.81360000,0)</f>
        <v>#VALUE!</v>
      </c>
      <c r="J11140" s="14" t="e">
        <f>=Round(0.00000000,0)</f>
        <v>#VALUE!</v>
      </c>
    </row>
    <row r="11141">
      <c r="A11141" s="11" t="s">
        <v>50</v>
      </c>
      <c r="B11141" s="12">
        <v>983.9824</v>
      </c>
      <c r="C11141" s="12">
        <v>0</v>
      </c>
      <c r="D11141" s="13">
        <v>0</v>
      </c>
      <c r="E11141" s="12">
        <v>0</v>
      </c>
      <c r="F11141" s="14">
        <v>0</v>
      </c>
      <c r="G11141" s="13">
        <v>200200000</v>
      </c>
      <c r="H11141" s="14">
        <v>196993276480</v>
      </c>
      <c r="I11141" s="14" t="e">
        <f>=Round(828878.81360000,0)</f>
        <v>#VALUE!</v>
      </c>
      <c r="J11141" s="14" t="e">
        <f>=Round(0.00000000,0)</f>
        <v>#VALUE!</v>
      </c>
    </row>
    <row r="11142">
      <c r="A11142" s="11" t="s">
        <v>51</v>
      </c>
      <c r="B11142" s="12">
        <v>981.3243</v>
      </c>
      <c r="C11142" s="12">
        <v>0</v>
      </c>
      <c r="D11142" s="13">
        <v>0</v>
      </c>
      <c r="E11142" s="12">
        <v>0</v>
      </c>
      <c r="F11142" s="14">
        <v>0</v>
      </c>
      <c r="G11142" s="13">
        <v>200200000</v>
      </c>
      <c r="H11142" s="14">
        <v>196461124860</v>
      </c>
      <c r="I11142" s="14" t="e">
        <f>=Round(828878.81360000,0)</f>
        <v>#VALUE!</v>
      </c>
      <c r="J11142" s="14" t="e">
        <f>=Round(0.00000000,0)</f>
        <v>#VALUE!</v>
      </c>
    </row>
    <row r="11143">
      <c r="A11143" s="11" t="s">
        <v>52</v>
      </c>
      <c r="B11143" s="12">
        <v>979.4516</v>
      </c>
      <c r="C11143" s="12">
        <v>0</v>
      </c>
      <c r="D11143" s="13">
        <v>0</v>
      </c>
      <c r="E11143" s="12">
        <v>0</v>
      </c>
      <c r="F11143" s="14">
        <v>0</v>
      </c>
      <c r="G11143" s="13">
        <v>200200000</v>
      </c>
      <c r="H11143" s="14">
        <v>196086210320</v>
      </c>
      <c r="I11143" s="14" t="e">
        <f>=Round(826639.70570000,0)</f>
        <v>#VALUE!</v>
      </c>
      <c r="J11143" s="14" t="e">
        <f>=Round(0.00000000,0)</f>
        <v>#VALUE!</v>
      </c>
    </row>
    <row r="11144">
      <c r="A11144" s="11" t="s">
        <v>53</v>
      </c>
      <c r="B11144" s="12">
        <v>976.6909</v>
      </c>
      <c r="C11144" s="12">
        <v>0</v>
      </c>
      <c r="D11144" s="13">
        <v>0</v>
      </c>
      <c r="E11144" s="12">
        <v>0</v>
      </c>
      <c r="F11144" s="14">
        <v>0</v>
      </c>
      <c r="G11144" s="13">
        <v>200200000</v>
      </c>
      <c r="H11144" s="14">
        <v>195533518180</v>
      </c>
      <c r="I11144" s="14" t="e">
        <f>=Round(825062.19640000,0)</f>
        <v>#VALUE!</v>
      </c>
      <c r="J11144" s="14" t="e">
        <f>=Round(0.00000000,0)</f>
        <v>#VALUE!</v>
      </c>
    </row>
    <row r="11145">
      <c r="A11145" s="11" t="s">
        <v>54</v>
      </c>
      <c r="B11145" s="12">
        <v>968.2675</v>
      </c>
      <c r="C11145" s="12">
        <v>0</v>
      </c>
      <c r="D11145" s="13">
        <v>0</v>
      </c>
      <c r="E11145" s="12">
        <v>0</v>
      </c>
      <c r="F11145" s="14">
        <v>0</v>
      </c>
      <c r="G11145" s="13">
        <v>200200000</v>
      </c>
      <c r="H11145" s="14">
        <v>193847153500</v>
      </c>
      <c r="I11145" s="14" t="e">
        <f>=Round(822736.66120000,0)</f>
        <v>#VALUE!</v>
      </c>
      <c r="J11145" s="14" t="e">
        <f>=Round(0.00000000,0)</f>
        <v>#VALUE!</v>
      </c>
    </row>
    <row r="11146">
      <c r="A11146" s="11" t="s">
        <v>55</v>
      </c>
      <c r="B11146" s="12">
        <v>959.8021</v>
      </c>
      <c r="C11146" s="12">
        <v>0</v>
      </c>
      <c r="D11146" s="13">
        <v>0</v>
      </c>
      <c r="E11146" s="12">
        <v>0</v>
      </c>
      <c r="F11146" s="14">
        <v>0</v>
      </c>
      <c r="G11146" s="13">
        <v>200200000</v>
      </c>
      <c r="H11146" s="14">
        <v>192152380420</v>
      </c>
      <c r="I11146" s="14" t="e">
        <f>=Round(815641.02840000,0)</f>
        <v>#VALUE!</v>
      </c>
      <c r="J11146" s="14" t="e">
        <f>=Round(0.00000000,0)</f>
        <v>#VALUE!</v>
      </c>
    </row>
    <row r="11147" ht="-1">
      <c r="A11147" s="15"/>
      <c r="B11147" s="16" t="s">
        <v>56</v>
      </c>
      <c r="C11147" s="15"/>
      <c r="D11147" s="15"/>
      <c r="E11147" s="15"/>
      <c r="F11147" s="15"/>
      <c r="G11147" s="15"/>
      <c r="H11147" s="15"/>
      <c r="I11147" s="17" t="e">
        <f>=Round(SUM(I11121:I11146),0)</f>
        <v>#VALUE!</v>
      </c>
      <c r="J11147" s="17" t="e">
        <f>=Round(SUM(J11121:J11146),0)</f>
        <v>#VALUE!</v>
      </c>
    </row>
    <row r="11148">
      <c r="A11148" s="1" t="s">
        <v>0</v>
      </c>
      <c r="B11148" s="1"/>
      <c r="C11148" s="1"/>
      <c r="D11148" s="1"/>
    </row>
    <row r="11149">
      <c r="A11149" s="0" t="s">
        <v>1</v>
      </c>
      <c r="C11149" s="0" t="s">
        <v>385</v>
      </c>
      <c r="H11149" s="2" t="s">
        <v>3</v>
      </c>
    </row>
    <row r="11150">
      <c r="A11150" s="0" t="s">
        <v>4</v>
      </c>
      <c r="C11150" s="0" t="s">
        <v>386</v>
      </c>
      <c r="H11150" s="3" t="s">
        <v>6</v>
      </c>
    </row>
    <row r="11151">
      <c r="A11151" s="0" t="s">
        <v>7</v>
      </c>
      <c r="C11151" s="4" t="s">
        <v>335</v>
      </c>
      <c r="H11151" s="2" t="s">
        <v>9</v>
      </c>
    </row>
    <row r="11152">
      <c r="A11152" s="0" t="s">
        <v>10</v>
      </c>
      <c r="C11152" s="4" t="s">
        <v>11</v>
      </c>
      <c r="H11152" s="2" t="s">
        <v>12</v>
      </c>
    </row>
    <row r="11153">
      <c r="A11153" s="0" t="s">
        <v>13</v>
      </c>
      <c r="C11153" s="0" t="s">
        <v>14</v>
      </c>
    </row>
    <row r="11154">
      <c r="A11154" s="0" t="s">
        <v>15</v>
      </c>
      <c r="C11154" s="0" t="s">
        <v>16</v>
      </c>
    </row>
    <row r="11155">
      <c r="A11155" s="0" t="s">
        <v>17</v>
      </c>
      <c r="C11155" s="0" t="s">
        <v>18</v>
      </c>
    </row>
    <row r="11158">
      <c r="A11158" s="5" t="s">
        <v>19</v>
      </c>
      <c r="B11158" s="5" t="s">
        <v>20</v>
      </c>
      <c r="C11158" s="7" t="s">
        <v>21</v>
      </c>
      <c r="D11158" s="9"/>
      <c r="E11158" s="7" t="s">
        <v>22</v>
      </c>
      <c r="F11158" s="9"/>
      <c r="G11158" s="5" t="s">
        <v>23</v>
      </c>
      <c r="H11158" s="5" t="s">
        <v>24</v>
      </c>
      <c r="I11158" s="5" t="s">
        <v>336</v>
      </c>
      <c r="J11158" s="5" t="s">
        <v>26</v>
      </c>
    </row>
    <row r="11159">
      <c r="A11159" s="6"/>
      <c r="B11159" s="6"/>
      <c r="C11159" s="8" t="s">
        <v>27</v>
      </c>
      <c r="D11159" s="8" t="s">
        <v>28</v>
      </c>
      <c r="E11159" s="8" t="s">
        <v>27</v>
      </c>
      <c r="F11159" s="8" t="s">
        <v>28</v>
      </c>
      <c r="G11159" s="6"/>
      <c r="H11159" s="6"/>
      <c r="I11159" s="10" t="s">
        <v>29</v>
      </c>
      <c r="J11159" s="6"/>
    </row>
    <row r="11160">
      <c r="A11160" s="11" t="s">
        <v>30</v>
      </c>
      <c r="B11160" s="12">
        <v>1017.069</v>
      </c>
      <c r="C11160" s="12">
        <v>0</v>
      </c>
      <c r="D11160" s="13">
        <v>0</v>
      </c>
      <c r="E11160" s="12">
        <v>0</v>
      </c>
      <c r="F11160" s="14">
        <v>0</v>
      </c>
      <c r="G11160" s="13">
        <v>33076504.157399997</v>
      </c>
      <c r="H11160" s="14">
        <v>33641087006.862659</v>
      </c>
      <c r="I11160" s="14" t="e">
        <f>=Round(252688.45060000,0)</f>
        <v>#VALUE!</v>
      </c>
      <c r="J11160" s="14" t="e">
        <f>=Round(0.00000000,0)</f>
        <v>#VALUE!</v>
      </c>
    </row>
    <row r="11161">
      <c r="A11161" s="11" t="s">
        <v>31</v>
      </c>
      <c r="B11161" s="12">
        <v>1017.927</v>
      </c>
      <c r="C11161" s="12">
        <v>0</v>
      </c>
      <c r="D11161" s="13">
        <v>0</v>
      </c>
      <c r="E11161" s="12">
        <v>0</v>
      </c>
      <c r="F11161" s="14">
        <v>0</v>
      </c>
      <c r="G11161" s="13">
        <v>33076504.157399997</v>
      </c>
      <c r="H11161" s="14">
        <v>33669466647.42971</v>
      </c>
      <c r="I11161" s="14" t="e">
        <f>=Round(252767.73020000,0)</f>
        <v>#VALUE!</v>
      </c>
      <c r="J11161" s="14" t="e">
        <f>=Round(0.00000000,0)</f>
        <v>#VALUE!</v>
      </c>
    </row>
    <row r="11162">
      <c r="A11162" s="11" t="s">
        <v>32</v>
      </c>
      <c r="B11162" s="12">
        <v>1018.206</v>
      </c>
      <c r="C11162" s="12">
        <v>0</v>
      </c>
      <c r="D11162" s="13">
        <v>0</v>
      </c>
      <c r="E11162" s="12">
        <v>0</v>
      </c>
      <c r="F11162" s="14">
        <v>0</v>
      </c>
      <c r="G11162" s="13">
        <v>33076504.157399997</v>
      </c>
      <c r="H11162" s="14">
        <v>33678694992.089622</v>
      </c>
      <c r="I11162" s="14" t="e">
        <f>=Round(252980.96520000,0)</f>
        <v>#VALUE!</v>
      </c>
      <c r="J11162" s="14" t="e">
        <f>=Round(0.00000000,0)</f>
        <v>#VALUE!</v>
      </c>
    </row>
    <row r="11163">
      <c r="A11163" s="11" t="s">
        <v>33</v>
      </c>
      <c r="B11163" s="12">
        <v>1018.913</v>
      </c>
      <c r="C11163" s="12">
        <v>0</v>
      </c>
      <c r="D11163" s="13">
        <v>0</v>
      </c>
      <c r="E11163" s="12">
        <v>0</v>
      </c>
      <c r="F11163" s="14">
        <v>0</v>
      </c>
      <c r="G11163" s="13">
        <v>33076504.157399997</v>
      </c>
      <c r="H11163" s="14">
        <v>33702080080.528904</v>
      </c>
      <c r="I11163" s="14" t="e">
        <f>=Round(253050.30390000,0)</f>
        <v>#VALUE!</v>
      </c>
      <c r="J11163" s="14" t="e">
        <f>=Round(0.00000000,0)</f>
        <v>#VALUE!</v>
      </c>
    </row>
    <row r="11164">
      <c r="A11164" s="11" t="s">
        <v>34</v>
      </c>
      <c r="B11164" s="12">
        <v>1018.97</v>
      </c>
      <c r="C11164" s="12">
        <v>0</v>
      </c>
      <c r="D11164" s="13">
        <v>0</v>
      </c>
      <c r="E11164" s="12">
        <v>0</v>
      </c>
      <c r="F11164" s="14">
        <v>0</v>
      </c>
      <c r="G11164" s="13">
        <v>33076504.157399997</v>
      </c>
      <c r="H11164" s="14">
        <v>33703965441.265881</v>
      </c>
      <c r="I11164" s="14" t="e">
        <f>=Round(253226.01150000,0)</f>
        <v>#VALUE!</v>
      </c>
      <c r="J11164" s="14" t="e">
        <f>=Round(0.00000000,0)</f>
        <v>#VALUE!</v>
      </c>
    </row>
    <row r="11165">
      <c r="A11165" s="11" t="s">
        <v>35</v>
      </c>
      <c r="B11165" s="12">
        <v>1018.97</v>
      </c>
      <c r="C11165" s="12">
        <v>0</v>
      </c>
      <c r="D11165" s="13">
        <v>0</v>
      </c>
      <c r="E11165" s="12">
        <v>0</v>
      </c>
      <c r="F11165" s="14">
        <v>0</v>
      </c>
      <c r="G11165" s="13">
        <v>33076504.157399997</v>
      </c>
      <c r="H11165" s="14">
        <v>33703965441.265881</v>
      </c>
      <c r="I11165" s="14" t="e">
        <f>=Round(253240.17750000,0)</f>
        <v>#VALUE!</v>
      </c>
      <c r="J11165" s="14" t="e">
        <f>=Round(0.00000000,0)</f>
        <v>#VALUE!</v>
      </c>
    </row>
    <row r="11166">
      <c r="A11166" s="11" t="s">
        <v>36</v>
      </c>
      <c r="B11166" s="12">
        <v>1018.97</v>
      </c>
      <c r="C11166" s="12">
        <v>0</v>
      </c>
      <c r="D11166" s="13">
        <v>0</v>
      </c>
      <c r="E11166" s="12">
        <v>0</v>
      </c>
      <c r="F11166" s="14">
        <v>0</v>
      </c>
      <c r="G11166" s="13">
        <v>33076504.157399997</v>
      </c>
      <c r="H11166" s="14">
        <v>33703965441.265881</v>
      </c>
      <c r="I11166" s="14" t="e">
        <f>=Round(253240.17750000,0)</f>
        <v>#VALUE!</v>
      </c>
      <c r="J11166" s="14" t="e">
        <f>=Round(0.00000000,0)</f>
        <v>#VALUE!</v>
      </c>
    </row>
    <row r="11167">
      <c r="A11167" s="11" t="s">
        <v>37</v>
      </c>
      <c r="B11167" s="12">
        <v>1019.797</v>
      </c>
      <c r="C11167" s="12">
        <v>0</v>
      </c>
      <c r="D11167" s="13">
        <v>0</v>
      </c>
      <c r="E11167" s="12">
        <v>0</v>
      </c>
      <c r="F11167" s="14">
        <v>0</v>
      </c>
      <c r="G11167" s="13">
        <v>33076504.157399997</v>
      </c>
      <c r="H11167" s="14">
        <v>33731319710.204048</v>
      </c>
      <c r="I11167" s="14" t="e">
        <f>=Round(253240.17750000,0)</f>
        <v>#VALUE!</v>
      </c>
      <c r="J11167" s="14" t="e">
        <f>=Round(0.00000000,0)</f>
        <v>#VALUE!</v>
      </c>
    </row>
    <row r="11168">
      <c r="A11168" s="11" t="s">
        <v>38</v>
      </c>
      <c r="B11168" s="12">
        <v>1020.014</v>
      </c>
      <c r="C11168" s="12">
        <v>0</v>
      </c>
      <c r="D11168" s="13">
        <v>0</v>
      </c>
      <c r="E11168" s="12">
        <v>0</v>
      </c>
      <c r="F11168" s="14">
        <v>0</v>
      </c>
      <c r="G11168" s="13">
        <v>33076504.157399997</v>
      </c>
      <c r="H11168" s="14">
        <v>33738497311.606205</v>
      </c>
      <c r="I11168" s="14" t="e">
        <f>=Round(253445.70820000,0)</f>
        <v>#VALUE!</v>
      </c>
      <c r="J11168" s="14" t="e">
        <f>=Round(0.00000000,0)</f>
        <v>#VALUE!</v>
      </c>
    </row>
    <row r="11169">
      <c r="A11169" s="11" t="s">
        <v>39</v>
      </c>
      <c r="B11169" s="12">
        <v>1021.595</v>
      </c>
      <c r="C11169" s="12">
        <v>0</v>
      </c>
      <c r="D11169" s="13">
        <v>0</v>
      </c>
      <c r="E11169" s="12">
        <v>0</v>
      </c>
      <c r="F11169" s="14">
        <v>0</v>
      </c>
      <c r="G11169" s="13">
        <v>33076504.157399997</v>
      </c>
      <c r="H11169" s="14">
        <v>33790791264.67905</v>
      </c>
      <c r="I11169" s="14" t="e">
        <f>=Round(253499.63830000,0)</f>
        <v>#VALUE!</v>
      </c>
      <c r="J11169" s="14" t="e">
        <f>=Round(0.00000000,0)</f>
        <v>#VALUE!</v>
      </c>
    </row>
    <row r="11170">
      <c r="A11170" s="11" t="s">
        <v>40</v>
      </c>
      <c r="B11170" s="12">
        <v>1022.131</v>
      </c>
      <c r="C11170" s="12">
        <v>0</v>
      </c>
      <c r="D11170" s="13">
        <v>0</v>
      </c>
      <c r="E11170" s="12">
        <v>0</v>
      </c>
      <c r="F11170" s="14">
        <v>0</v>
      </c>
      <c r="G11170" s="13">
        <v>33076504.157399997</v>
      </c>
      <c r="H11170" s="14">
        <v>33808520270.907421</v>
      </c>
      <c r="I11170" s="14" t="e">
        <f>=Round(253892.55730000,0)</f>
        <v>#VALUE!</v>
      </c>
      <c r="J11170" s="14" t="e">
        <f>=Round(0.00000000,0)</f>
        <v>#VALUE!</v>
      </c>
    </row>
    <row r="11171">
      <c r="A11171" s="11" t="s">
        <v>41</v>
      </c>
      <c r="B11171" s="12">
        <v>1022.53</v>
      </c>
      <c r="C11171" s="12">
        <v>0</v>
      </c>
      <c r="D11171" s="13">
        <v>0</v>
      </c>
      <c r="E11171" s="12">
        <v>0</v>
      </c>
      <c r="F11171" s="14">
        <v>0</v>
      </c>
      <c r="G11171" s="13">
        <v>33076504.157399997</v>
      </c>
      <c r="H11171" s="14">
        <v>33821717796.066223</v>
      </c>
      <c r="I11171" s="14" t="e">
        <f>=Round(254025.76710000,0)</f>
        <v>#VALUE!</v>
      </c>
      <c r="J11171" s="14" t="e">
        <f>=Round(0.00000000,0)</f>
        <v>#VALUE!</v>
      </c>
    </row>
    <row r="11172">
      <c r="A11172" s="11" t="s">
        <v>42</v>
      </c>
      <c r="B11172" s="12">
        <v>1022.53</v>
      </c>
      <c r="C11172" s="12">
        <v>0</v>
      </c>
      <c r="D11172" s="13">
        <v>0</v>
      </c>
      <c r="E11172" s="12">
        <v>0</v>
      </c>
      <c r="F11172" s="14">
        <v>0</v>
      </c>
      <c r="G11172" s="13">
        <v>33076504.157399997</v>
      </c>
      <c r="H11172" s="14">
        <v>33821717796.066223</v>
      </c>
      <c r="I11172" s="14" t="e">
        <f>=Round(254124.92880000,0)</f>
        <v>#VALUE!</v>
      </c>
      <c r="J11172" s="14" t="e">
        <f>=Round(0.00000000,0)</f>
        <v>#VALUE!</v>
      </c>
    </row>
    <row r="11173">
      <c r="A11173" s="11" t="s">
        <v>43</v>
      </c>
      <c r="B11173" s="12">
        <v>1022.53</v>
      </c>
      <c r="C11173" s="12">
        <v>0</v>
      </c>
      <c r="D11173" s="13">
        <v>0</v>
      </c>
      <c r="E11173" s="12">
        <v>0</v>
      </c>
      <c r="F11173" s="14">
        <v>0</v>
      </c>
      <c r="G11173" s="13">
        <v>33076504.157399997</v>
      </c>
      <c r="H11173" s="14">
        <v>33821717796.066223</v>
      </c>
      <c r="I11173" s="14" t="e">
        <f>=Round(254124.92880000,0)</f>
        <v>#VALUE!</v>
      </c>
      <c r="J11173" s="14" t="e">
        <f>=Round(0.00000000,0)</f>
        <v>#VALUE!</v>
      </c>
    </row>
    <row r="11174">
      <c r="A11174" s="11" t="s">
        <v>44</v>
      </c>
      <c r="B11174" s="12">
        <v>1023.691</v>
      </c>
      <c r="C11174" s="12">
        <v>0</v>
      </c>
      <c r="D11174" s="13">
        <v>0</v>
      </c>
      <c r="E11174" s="12">
        <v>0</v>
      </c>
      <c r="F11174" s="14">
        <v>0</v>
      </c>
      <c r="G11174" s="13">
        <v>33076504.157399997</v>
      </c>
      <c r="H11174" s="14">
        <v>33860119617.392963</v>
      </c>
      <c r="I11174" s="14" t="e">
        <f>=Round(254124.92880000,0)</f>
        <v>#VALUE!</v>
      </c>
      <c r="J11174" s="14" t="e">
        <f>=Round(0.00000000,0)</f>
        <v>#VALUE!</v>
      </c>
    </row>
    <row r="11175">
      <c r="A11175" s="11" t="s">
        <v>45</v>
      </c>
      <c r="B11175" s="12">
        <v>1023.835</v>
      </c>
      <c r="C11175" s="12">
        <v>0</v>
      </c>
      <c r="D11175" s="13">
        <v>0</v>
      </c>
      <c r="E11175" s="12">
        <v>0</v>
      </c>
      <c r="F11175" s="14">
        <v>0</v>
      </c>
      <c r="G11175" s="13">
        <v>33076504.157399997</v>
      </c>
      <c r="H11175" s="14">
        <v>33864882633.991627</v>
      </c>
      <c r="I11175" s="14" t="e">
        <f>=Round(254413.46710000,0)</f>
        <v>#VALUE!</v>
      </c>
      <c r="J11175" s="14" t="e">
        <f>=Round(0.00000000,0)</f>
        <v>#VALUE!</v>
      </c>
    </row>
    <row r="11176">
      <c r="A11176" s="11" t="s">
        <v>46</v>
      </c>
      <c r="B11176" s="12">
        <v>1024.275</v>
      </c>
      <c r="C11176" s="12">
        <v>0</v>
      </c>
      <c r="D11176" s="13">
        <v>0</v>
      </c>
      <c r="E11176" s="12">
        <v>0</v>
      </c>
      <c r="F11176" s="14">
        <v>0</v>
      </c>
      <c r="G11176" s="13">
        <v>33076504.157399997</v>
      </c>
      <c r="H11176" s="14">
        <v>33879436295.820885</v>
      </c>
      <c r="I11176" s="14" t="e">
        <f>=Round(254449.25480000,0)</f>
        <v>#VALUE!</v>
      </c>
      <c r="J11176" s="14" t="e">
        <f>=Round(0.00000000,0)</f>
        <v>#VALUE!</v>
      </c>
    </row>
    <row r="11177">
      <c r="A11177" s="11" t="s">
        <v>47</v>
      </c>
      <c r="B11177" s="12">
        <v>1024.816</v>
      </c>
      <c r="C11177" s="12">
        <v>0</v>
      </c>
      <c r="D11177" s="13">
        <v>0</v>
      </c>
      <c r="E11177" s="12">
        <v>0</v>
      </c>
      <c r="F11177" s="14">
        <v>0</v>
      </c>
      <c r="G11177" s="13">
        <v>33076504.157399997</v>
      </c>
      <c r="H11177" s="14">
        <v>33897330684.570042</v>
      </c>
      <c r="I11177" s="14" t="e">
        <f>=Round(254558.60600000,0)</f>
        <v>#VALUE!</v>
      </c>
      <c r="J11177" s="14" t="e">
        <f>=Round(0.00000000,0)</f>
        <v>#VALUE!</v>
      </c>
    </row>
    <row r="11178">
      <c r="A11178" s="11" t="s">
        <v>48</v>
      </c>
      <c r="B11178" s="12">
        <v>1025.373</v>
      </c>
      <c r="C11178" s="12">
        <v>0</v>
      </c>
      <c r="D11178" s="13">
        <v>0</v>
      </c>
      <c r="E11178" s="12">
        <v>0</v>
      </c>
      <c r="F11178" s="14">
        <v>0</v>
      </c>
      <c r="G11178" s="13">
        <v>33076504.157399997</v>
      </c>
      <c r="H11178" s="14">
        <v>33915754297.385712</v>
      </c>
      <c r="I11178" s="14" t="e">
        <f>=Round(254693.05840000,0)</f>
        <v>#VALUE!</v>
      </c>
      <c r="J11178" s="14" t="e">
        <f>=Round(0.00000000,0)</f>
        <v>#VALUE!</v>
      </c>
    </row>
    <row r="11179">
      <c r="A11179" s="11" t="s">
        <v>49</v>
      </c>
      <c r="B11179" s="12">
        <v>1025.373</v>
      </c>
      <c r="C11179" s="12">
        <v>0</v>
      </c>
      <c r="D11179" s="13">
        <v>0</v>
      </c>
      <c r="E11179" s="12">
        <v>0</v>
      </c>
      <c r="F11179" s="14">
        <v>0</v>
      </c>
      <c r="G11179" s="13">
        <v>33076504.157399997</v>
      </c>
      <c r="H11179" s="14">
        <v>33915754297.385712</v>
      </c>
      <c r="I11179" s="14" t="e">
        <f>=Round(254831.48720000,0)</f>
        <v>#VALUE!</v>
      </c>
      <c r="J11179" s="14" t="e">
        <f>=Round(0.00000000,0)</f>
        <v>#VALUE!</v>
      </c>
    </row>
    <row r="11180">
      <c r="A11180" s="11" t="s">
        <v>50</v>
      </c>
      <c r="B11180" s="12">
        <v>1025.373</v>
      </c>
      <c r="C11180" s="12">
        <v>0</v>
      </c>
      <c r="D11180" s="13">
        <v>0</v>
      </c>
      <c r="E11180" s="12">
        <v>0</v>
      </c>
      <c r="F11180" s="14">
        <v>0</v>
      </c>
      <c r="G11180" s="13">
        <v>33076504.157399997</v>
      </c>
      <c r="H11180" s="14">
        <v>33915754297.385712</v>
      </c>
      <c r="I11180" s="14" t="e">
        <f>=Round(254831.48720000,0)</f>
        <v>#VALUE!</v>
      </c>
      <c r="J11180" s="14" t="e">
        <f>=Round(0.00000000,0)</f>
        <v>#VALUE!</v>
      </c>
    </row>
    <row r="11181">
      <c r="A11181" s="11" t="s">
        <v>51</v>
      </c>
      <c r="B11181" s="12">
        <v>1025.824</v>
      </c>
      <c r="C11181" s="12">
        <v>0</v>
      </c>
      <c r="D11181" s="13">
        <v>0</v>
      </c>
      <c r="E11181" s="12">
        <v>0</v>
      </c>
      <c r="F11181" s="14">
        <v>0</v>
      </c>
      <c r="G11181" s="13">
        <v>33076504.157399997</v>
      </c>
      <c r="H11181" s="14">
        <v>33930671800.760696</v>
      </c>
      <c r="I11181" s="14" t="e">
        <f>=Round(254831.48720000,0)</f>
        <v>#VALUE!</v>
      </c>
      <c r="J11181" s="14" t="e">
        <f>=Round(0.00000000,0)</f>
        <v>#VALUE!</v>
      </c>
    </row>
    <row r="11182">
      <c r="A11182" s="11" t="s">
        <v>52</v>
      </c>
      <c r="B11182" s="12">
        <v>1026.281</v>
      </c>
      <c r="C11182" s="12">
        <v>0</v>
      </c>
      <c r="D11182" s="13">
        <v>0</v>
      </c>
      <c r="E11182" s="12">
        <v>0</v>
      </c>
      <c r="F11182" s="14">
        <v>0</v>
      </c>
      <c r="G11182" s="13">
        <v>33076504.157399997</v>
      </c>
      <c r="H11182" s="14">
        <v>33945787763.160629</v>
      </c>
      <c r="I11182" s="14" t="e">
        <f>=Round(254943.57230000,0)</f>
        <v>#VALUE!</v>
      </c>
      <c r="J11182" s="14" t="e">
        <f>=Round(0.00000000,0)</f>
        <v>#VALUE!</v>
      </c>
    </row>
    <row r="11183">
      <c r="A11183" s="11" t="s">
        <v>53</v>
      </c>
      <c r="B11183" s="12">
        <v>1026.515</v>
      </c>
      <c r="C11183" s="12">
        <v>0</v>
      </c>
      <c r="D11183" s="13">
        <v>0</v>
      </c>
      <c r="E11183" s="12">
        <v>0</v>
      </c>
      <c r="F11183" s="14">
        <v>0</v>
      </c>
      <c r="G11183" s="13">
        <v>33076504.157399997</v>
      </c>
      <c r="H11183" s="14">
        <v>33953527665.133461</v>
      </c>
      <c r="I11183" s="14" t="e">
        <f>=Round(255057.14850000,0)</f>
        <v>#VALUE!</v>
      </c>
      <c r="J11183" s="14" t="e">
        <f>=Round(0.00000000,0)</f>
        <v>#VALUE!</v>
      </c>
    </row>
    <row r="11184">
      <c r="A11184" s="11" t="s">
        <v>54</v>
      </c>
      <c r="B11184" s="12">
        <v>1026.65</v>
      </c>
      <c r="C11184" s="12">
        <v>0</v>
      </c>
      <c r="D11184" s="13">
        <v>0</v>
      </c>
      <c r="E11184" s="12">
        <v>0</v>
      </c>
      <c r="F11184" s="14">
        <v>0</v>
      </c>
      <c r="G11184" s="13">
        <v>33076504.157399997</v>
      </c>
      <c r="H11184" s="14">
        <v>33957992993.194714</v>
      </c>
      <c r="I11184" s="14" t="e">
        <f>=Round(255115.30350000,0)</f>
        <v>#VALUE!</v>
      </c>
      <c r="J11184" s="14" t="e">
        <f>=Round(0.00000000,0)</f>
        <v>#VALUE!</v>
      </c>
    </row>
    <row r="11185">
      <c r="A11185" s="11" t="s">
        <v>55</v>
      </c>
      <c r="B11185" s="12">
        <v>1026.077</v>
      </c>
      <c r="C11185" s="12">
        <v>0</v>
      </c>
      <c r="D11185" s="13">
        <v>0</v>
      </c>
      <c r="E11185" s="12">
        <v>0</v>
      </c>
      <c r="F11185" s="14">
        <v>0</v>
      </c>
      <c r="G11185" s="13">
        <v>33076504.157399997</v>
      </c>
      <c r="H11185" s="14">
        <v>33939040156.312519</v>
      </c>
      <c r="I11185" s="14" t="e">
        <f>=Round(255148.85450000,0)</f>
        <v>#VALUE!</v>
      </c>
      <c r="J11185" s="14" t="e">
        <f>=Round(0.00000000,0)</f>
        <v>#VALUE!</v>
      </c>
    </row>
    <row r="11186" ht="-1">
      <c r="A11186" s="15"/>
      <c r="B11186" s="16" t="s">
        <v>56</v>
      </c>
      <c r="C11186" s="15"/>
      <c r="D11186" s="15"/>
      <c r="E11186" s="15"/>
      <c r="F11186" s="15"/>
      <c r="G11186" s="15"/>
      <c r="H11186" s="15"/>
      <c r="I11186" s="17" t="e">
        <f>=Round(SUM(I11160:I11185),0)</f>
        <v>#VALUE!</v>
      </c>
      <c r="J11186" s="17" t="e">
        <f>=Round(SUM(J11160:J11185),0)</f>
        <v>#VALUE!</v>
      </c>
    </row>
    <row r="11187">
      <c r="A11187" s="1" t="s">
        <v>0</v>
      </c>
      <c r="B11187" s="1"/>
      <c r="C11187" s="1"/>
      <c r="D11187" s="1"/>
    </row>
    <row r="11188">
      <c r="A11188" s="0" t="s">
        <v>1</v>
      </c>
      <c r="C11188" s="0" t="s">
        <v>387</v>
      </c>
      <c r="H11188" s="2" t="s">
        <v>3</v>
      </c>
    </row>
    <row r="11189">
      <c r="A11189" s="0" t="s">
        <v>4</v>
      </c>
      <c r="C11189" s="0" t="s">
        <v>126</v>
      </c>
      <c r="H11189" s="3" t="s">
        <v>6</v>
      </c>
    </row>
    <row r="11190">
      <c r="A11190" s="0" t="s">
        <v>7</v>
      </c>
      <c r="C11190" s="4" t="s">
        <v>301</v>
      </c>
      <c r="H11190" s="2" t="s">
        <v>9</v>
      </c>
    </row>
    <row r="11191">
      <c r="A11191" s="0" t="s">
        <v>10</v>
      </c>
      <c r="C11191" s="4" t="s">
        <v>124</v>
      </c>
      <c r="H11191" s="2" t="s">
        <v>12</v>
      </c>
    </row>
    <row r="11192">
      <c r="A11192" s="0" t="s">
        <v>13</v>
      </c>
      <c r="C11192" s="0" t="s">
        <v>14</v>
      </c>
    </row>
    <row r="11193">
      <c r="A11193" s="0" t="s">
        <v>15</v>
      </c>
      <c r="C11193" s="0" t="s">
        <v>16</v>
      </c>
    </row>
    <row r="11194">
      <c r="A11194" s="0" t="s">
        <v>17</v>
      </c>
      <c r="C11194" s="0" t="s">
        <v>18</v>
      </c>
    </row>
    <row r="11197">
      <c r="A11197" s="5" t="s">
        <v>19</v>
      </c>
      <c r="B11197" s="5" t="s">
        <v>20</v>
      </c>
      <c r="C11197" s="7" t="s">
        <v>21</v>
      </c>
      <c r="D11197" s="9"/>
      <c r="E11197" s="7" t="s">
        <v>22</v>
      </c>
      <c r="F11197" s="9"/>
      <c r="G11197" s="5" t="s">
        <v>23</v>
      </c>
      <c r="H11197" s="5" t="s">
        <v>24</v>
      </c>
      <c r="I11197" s="5" t="s">
        <v>302</v>
      </c>
      <c r="J11197" s="5" t="s">
        <v>125</v>
      </c>
    </row>
    <row r="11198">
      <c r="A11198" s="6"/>
      <c r="B11198" s="6"/>
      <c r="C11198" s="8" t="s">
        <v>27</v>
      </c>
      <c r="D11198" s="8" t="s">
        <v>28</v>
      </c>
      <c r="E11198" s="8" t="s">
        <v>27</v>
      </c>
      <c r="F11198" s="8" t="s">
        <v>28</v>
      </c>
      <c r="G11198" s="6"/>
      <c r="H11198" s="6"/>
      <c r="I11198" s="10" t="s">
        <v>29</v>
      </c>
      <c r="J11198" s="6"/>
    </row>
    <row r="11199">
      <c r="A11199" s="11" t="s">
        <v>30</v>
      </c>
      <c r="B11199" s="12">
        <v>1003.887</v>
      </c>
      <c r="C11199" s="12">
        <v>0</v>
      </c>
      <c r="D11199" s="13">
        <v>0</v>
      </c>
      <c r="E11199" s="12">
        <v>0</v>
      </c>
      <c r="F11199" s="14">
        <v>0</v>
      </c>
      <c r="G11199" s="13">
        <v>159000000</v>
      </c>
      <c r="H11199" s="14">
        <v>159618033000</v>
      </c>
      <c r="I11199" s="14" t="e">
        <f>=Round(479495.51800000,0)</f>
        <v>#VALUE!</v>
      </c>
      <c r="J11199" s="14" t="e">
        <f>=Round(217952.29020000,0)</f>
        <v>#VALUE!</v>
      </c>
    </row>
    <row r="11200">
      <c r="A11200" s="11" t="s">
        <v>31</v>
      </c>
      <c r="B11200" s="12">
        <v>1004.387</v>
      </c>
      <c r="C11200" s="12">
        <v>0</v>
      </c>
      <c r="D11200" s="13">
        <v>0</v>
      </c>
      <c r="E11200" s="12">
        <v>0</v>
      </c>
      <c r="F11200" s="14">
        <v>0</v>
      </c>
      <c r="G11200" s="13">
        <v>159000000</v>
      </c>
      <c r="H11200" s="14">
        <v>159697533000</v>
      </c>
      <c r="I11200" s="14" t="e">
        <f>=Round(479726.32870000,0)</f>
        <v>#VALUE!</v>
      </c>
      <c r="J11200" s="14" t="e">
        <f>=Round(218057.20410000,0)</f>
        <v>#VALUE!</v>
      </c>
    </row>
    <row r="11201">
      <c r="A11201" s="11" t="s">
        <v>32</v>
      </c>
      <c r="B11201" s="12">
        <v>1004.846</v>
      </c>
      <c r="C11201" s="12">
        <v>0</v>
      </c>
      <c r="D11201" s="13">
        <v>0</v>
      </c>
      <c r="E11201" s="12">
        <v>0</v>
      </c>
      <c r="F11201" s="14">
        <v>0</v>
      </c>
      <c r="G11201" s="13">
        <v>159000000</v>
      </c>
      <c r="H11201" s="14">
        <v>159770514000</v>
      </c>
      <c r="I11201" s="14" t="e">
        <f>=Round(479965.26310000,0)</f>
        <v>#VALUE!</v>
      </c>
      <c r="J11201" s="14" t="e">
        <f>=Round(218165.81050000,0)</f>
        <v>#VALUE!</v>
      </c>
    </row>
    <row r="11202">
      <c r="A11202" s="11" t="s">
        <v>33</v>
      </c>
      <c r="B11202" s="12">
        <v>1005.453</v>
      </c>
      <c r="C11202" s="12">
        <v>0</v>
      </c>
      <c r="D11202" s="13">
        <v>0</v>
      </c>
      <c r="E11202" s="12">
        <v>0</v>
      </c>
      <c r="F11202" s="14">
        <v>0</v>
      </c>
      <c r="G11202" s="13">
        <v>159000000</v>
      </c>
      <c r="H11202" s="14">
        <v>159867027000</v>
      </c>
      <c r="I11202" s="14" t="e">
        <f>=Round(480184.60490000,0)</f>
        <v>#VALUE!</v>
      </c>
      <c r="J11202" s="14" t="e">
        <f>=Round(218265.51120000,0)</f>
        <v>#VALUE!</v>
      </c>
    </row>
    <row r="11203">
      <c r="A11203" s="11" t="s">
        <v>34</v>
      </c>
      <c r="B11203" s="12">
        <v>1005.501</v>
      </c>
      <c r="C11203" s="12">
        <v>0</v>
      </c>
      <c r="D11203" s="13">
        <v>0</v>
      </c>
      <c r="E11203" s="12">
        <v>0</v>
      </c>
      <c r="F11203" s="14">
        <v>0</v>
      </c>
      <c r="G11203" s="13">
        <v>159000000</v>
      </c>
      <c r="H11203" s="14">
        <v>159874659000</v>
      </c>
      <c r="I11203" s="14" t="e">
        <f>=Round(480474.67130000,0)</f>
        <v>#VALUE!</v>
      </c>
      <c r="J11203" s="14" t="e">
        <f>=Round(218397.35950000,0)</f>
        <v>#VALUE!</v>
      </c>
    </row>
    <row r="11204">
      <c r="A11204" s="11" t="s">
        <v>35</v>
      </c>
      <c r="B11204" s="12">
        <v>1005.501</v>
      </c>
      <c r="C11204" s="12">
        <v>0</v>
      </c>
      <c r="D11204" s="13">
        <v>0</v>
      </c>
      <c r="E11204" s="12">
        <v>0</v>
      </c>
      <c r="F11204" s="14">
        <v>0</v>
      </c>
      <c r="G11204" s="13">
        <v>159000000</v>
      </c>
      <c r="H11204" s="14">
        <v>159874659000</v>
      </c>
      <c r="I11204" s="14" t="e">
        <f>=Round(480497.60900000,0)</f>
        <v>#VALUE!</v>
      </c>
      <c r="J11204" s="14" t="e">
        <f>=Round(218407.78570000,0)</f>
        <v>#VALUE!</v>
      </c>
    </row>
    <row r="11205">
      <c r="A11205" s="11" t="s">
        <v>36</v>
      </c>
      <c r="B11205" s="12">
        <v>1005.501</v>
      </c>
      <c r="C11205" s="12">
        <v>0</v>
      </c>
      <c r="D11205" s="13">
        <v>0</v>
      </c>
      <c r="E11205" s="12">
        <v>0</v>
      </c>
      <c r="F11205" s="14">
        <v>0</v>
      </c>
      <c r="G11205" s="13">
        <v>159000000</v>
      </c>
      <c r="H11205" s="14">
        <v>159874659000</v>
      </c>
      <c r="I11205" s="14" t="e">
        <f>=Round(480497.60900000,0)</f>
        <v>#VALUE!</v>
      </c>
      <c r="J11205" s="14" t="e">
        <f>=Round(218407.78570000,0)</f>
        <v>#VALUE!</v>
      </c>
    </row>
    <row r="11206">
      <c r="A11206" s="11" t="s">
        <v>37</v>
      </c>
      <c r="B11206" s="12">
        <v>1006.199</v>
      </c>
      <c r="C11206" s="12">
        <v>0</v>
      </c>
      <c r="D11206" s="13">
        <v>0</v>
      </c>
      <c r="E11206" s="12">
        <v>0</v>
      </c>
      <c r="F11206" s="14">
        <v>0</v>
      </c>
      <c r="G11206" s="13">
        <v>159000000</v>
      </c>
      <c r="H11206" s="14">
        <v>159985641000</v>
      </c>
      <c r="I11206" s="14" t="e">
        <f>=Round(480497.60900000,0)</f>
        <v>#VALUE!</v>
      </c>
      <c r="J11206" s="14" t="e">
        <f>=Round(218407.78570000,0)</f>
        <v>#VALUE!</v>
      </c>
    </row>
    <row r="11207">
      <c r="A11207" s="11" t="s">
        <v>38</v>
      </c>
      <c r="B11207" s="12">
        <v>1006.484</v>
      </c>
      <c r="C11207" s="12">
        <v>0</v>
      </c>
      <c r="D11207" s="13">
        <v>0</v>
      </c>
      <c r="E11207" s="12">
        <v>0</v>
      </c>
      <c r="F11207" s="14">
        <v>0</v>
      </c>
      <c r="G11207" s="13">
        <v>159000000</v>
      </c>
      <c r="H11207" s="14">
        <v>160030956000</v>
      </c>
      <c r="I11207" s="14" t="e">
        <f>=Round(480831.16150000,0)</f>
        <v>#VALUE!</v>
      </c>
      <c r="J11207" s="14" t="e">
        <f>=Round(218559.40030000,0)</f>
        <v>#VALUE!</v>
      </c>
    </row>
    <row r="11208">
      <c r="A11208" s="11" t="s">
        <v>39</v>
      </c>
      <c r="B11208" s="12">
        <v>1006.987</v>
      </c>
      <c r="C11208" s="12">
        <v>0</v>
      </c>
      <c r="D11208" s="13">
        <v>0</v>
      </c>
      <c r="E11208" s="12">
        <v>0</v>
      </c>
      <c r="F11208" s="14">
        <v>0</v>
      </c>
      <c r="G11208" s="13">
        <v>159000000</v>
      </c>
      <c r="H11208" s="14">
        <v>160110933000</v>
      </c>
      <c r="I11208" s="14" t="e">
        <f>=Round(480967.35410000,0)</f>
        <v>#VALUE!</v>
      </c>
      <c r="J11208" s="14" t="e">
        <f>=Round(218621.30600000,0)</f>
        <v>#VALUE!</v>
      </c>
    </row>
    <row r="11209">
      <c r="A11209" s="11" t="s">
        <v>40</v>
      </c>
      <c r="B11209" s="12">
        <v>1007.526</v>
      </c>
      <c r="C11209" s="12">
        <v>0</v>
      </c>
      <c r="D11209" s="13">
        <v>0</v>
      </c>
      <c r="E11209" s="12">
        <v>0</v>
      </c>
      <c r="F11209" s="14">
        <v>0</v>
      </c>
      <c r="G11209" s="13">
        <v>159000000</v>
      </c>
      <c r="H11209" s="14">
        <v>160196634000</v>
      </c>
      <c r="I11209" s="14" t="e">
        <f>=Round(481207.72210000,0)</f>
        <v>#VALUE!</v>
      </c>
      <c r="J11209" s="14" t="e">
        <f>=Round(218730.56410000,0)</f>
        <v>#VALUE!</v>
      </c>
    </row>
    <row r="11210">
      <c r="A11210" s="11" t="s">
        <v>41</v>
      </c>
      <c r="B11210" s="12">
        <v>1008.408</v>
      </c>
      <c r="C11210" s="12">
        <v>0</v>
      </c>
      <c r="D11210" s="13">
        <v>0</v>
      </c>
      <c r="E11210" s="12">
        <v>0</v>
      </c>
      <c r="F11210" s="14">
        <v>0</v>
      </c>
      <c r="G11210" s="13">
        <v>159000000</v>
      </c>
      <c r="H11210" s="14">
        <v>160336872000</v>
      </c>
      <c r="I11210" s="14" t="e">
        <f>=Round(481465.29340000,0)</f>
        <v>#VALUE!</v>
      </c>
      <c r="J11210" s="14" t="e">
        <f>=Round(218847.64180000,0)</f>
        <v>#VALUE!</v>
      </c>
    </row>
    <row r="11211">
      <c r="A11211" s="11" t="s">
        <v>42</v>
      </c>
      <c r="B11211" s="12">
        <v>1008.408</v>
      </c>
      <c r="C11211" s="12">
        <v>0</v>
      </c>
      <c r="D11211" s="13">
        <v>0</v>
      </c>
      <c r="E11211" s="12">
        <v>0</v>
      </c>
      <c r="F11211" s="14">
        <v>0</v>
      </c>
      <c r="G11211" s="13">
        <v>159000000</v>
      </c>
      <c r="H11211" s="14">
        <v>160336872000</v>
      </c>
      <c r="I11211" s="14" t="e">
        <f>=Round(481886.77380000,0)</f>
        <v>#VALUE!</v>
      </c>
      <c r="J11211" s="14" t="e">
        <f>=Round(219039.22360000,0)</f>
        <v>#VALUE!</v>
      </c>
    </row>
    <row r="11212">
      <c r="A11212" s="11" t="s">
        <v>43</v>
      </c>
      <c r="B11212" s="12">
        <v>1008.408</v>
      </c>
      <c r="C11212" s="12">
        <v>0</v>
      </c>
      <c r="D11212" s="13">
        <v>0</v>
      </c>
      <c r="E11212" s="12">
        <v>0</v>
      </c>
      <c r="F11212" s="14">
        <v>0</v>
      </c>
      <c r="G11212" s="13">
        <v>159000000</v>
      </c>
      <c r="H11212" s="14">
        <v>160336872000</v>
      </c>
      <c r="I11212" s="14" t="e">
        <f>=Round(481886.77380000,0)</f>
        <v>#VALUE!</v>
      </c>
      <c r="J11212" s="14" t="e">
        <f>=Round(219039.22360000,0)</f>
        <v>#VALUE!</v>
      </c>
    </row>
    <row r="11213">
      <c r="A11213" s="11" t="s">
        <v>44</v>
      </c>
      <c r="B11213" s="12">
        <v>1009.718</v>
      </c>
      <c r="C11213" s="12">
        <v>0</v>
      </c>
      <c r="D11213" s="13">
        <v>0</v>
      </c>
      <c r="E11213" s="12">
        <v>0</v>
      </c>
      <c r="F11213" s="14">
        <v>0</v>
      </c>
      <c r="G11213" s="13">
        <v>159000000</v>
      </c>
      <c r="H11213" s="14">
        <v>160545162000</v>
      </c>
      <c r="I11213" s="14" t="e">
        <f>=Round(481886.77380000,0)</f>
        <v>#VALUE!</v>
      </c>
      <c r="J11213" s="14" t="e">
        <f>=Round(219039.22360000,0)</f>
        <v>#VALUE!</v>
      </c>
    </row>
    <row r="11214">
      <c r="A11214" s="11" t="s">
        <v>45</v>
      </c>
      <c r="B11214" s="12">
        <v>1008.655</v>
      </c>
      <c r="C11214" s="12">
        <v>0</v>
      </c>
      <c r="D11214" s="13">
        <v>0</v>
      </c>
      <c r="E11214" s="12">
        <v>0</v>
      </c>
      <c r="F11214" s="14">
        <v>0</v>
      </c>
      <c r="G11214" s="13">
        <v>159000000</v>
      </c>
      <c r="H11214" s="14">
        <v>160376145000</v>
      </c>
      <c r="I11214" s="14" t="e">
        <f>=Round(482512.78200000,0)</f>
        <v>#VALUE!</v>
      </c>
      <c r="J11214" s="14" t="e">
        <f>=Round(219323.77250000,0)</f>
        <v>#VALUE!</v>
      </c>
    </row>
    <row r="11215">
      <c r="A11215" s="11" t="s">
        <v>46</v>
      </c>
      <c r="B11215" s="12">
        <v>1010.585</v>
      </c>
      <c r="C11215" s="12">
        <v>0</v>
      </c>
      <c r="D11215" s="13">
        <v>0</v>
      </c>
      <c r="E11215" s="12">
        <v>0</v>
      </c>
      <c r="F11215" s="14">
        <v>0</v>
      </c>
      <c r="G11215" s="13">
        <v>159000000</v>
      </c>
      <c r="H11215" s="14">
        <v>160683015000</v>
      </c>
      <c r="I11215" s="14" t="e">
        <f>=Round(482004.80740000,0)</f>
        <v>#VALUE!</v>
      </c>
      <c r="J11215" s="14" t="e">
        <f>=Round(219092.87520000,0)</f>
        <v>#VALUE!</v>
      </c>
    </row>
    <row r="11216">
      <c r="A11216" s="11" t="s">
        <v>47</v>
      </c>
      <c r="B11216" s="12">
        <v>1010.806</v>
      </c>
      <c r="C11216" s="12">
        <v>0</v>
      </c>
      <c r="D11216" s="13">
        <v>0</v>
      </c>
      <c r="E11216" s="12">
        <v>0</v>
      </c>
      <c r="F11216" s="14">
        <v>0</v>
      </c>
      <c r="G11216" s="13">
        <v>159000000</v>
      </c>
      <c r="H11216" s="14">
        <v>160718154000</v>
      </c>
      <c r="I11216" s="14" t="e">
        <f>=Round(482927.09430000,0)</f>
        <v>#VALUE!</v>
      </c>
      <c r="J11216" s="14" t="e">
        <f>=Round(219512.09610000,0)</f>
        <v>#VALUE!</v>
      </c>
    </row>
    <row r="11217">
      <c r="A11217" s="11" t="s">
        <v>48</v>
      </c>
      <c r="B11217" s="12">
        <v>1011.324</v>
      </c>
      <c r="C11217" s="12">
        <v>0</v>
      </c>
      <c r="D11217" s="13">
        <v>0</v>
      </c>
      <c r="E11217" s="12">
        <v>0</v>
      </c>
      <c r="F11217" s="14">
        <v>0</v>
      </c>
      <c r="G11217" s="13">
        <v>159000000</v>
      </c>
      <c r="H11217" s="14">
        <v>160800516000</v>
      </c>
      <c r="I11217" s="14" t="e">
        <f>=Round(483032.70330000,0)</f>
        <v>#VALUE!</v>
      </c>
      <c r="J11217" s="14" t="e">
        <f>=Round(219560.10010000,0)</f>
        <v>#VALUE!</v>
      </c>
    </row>
    <row r="11218">
      <c r="A11218" s="11" t="s">
        <v>49</v>
      </c>
      <c r="B11218" s="12">
        <v>1011.324</v>
      </c>
      <c r="C11218" s="12">
        <v>0</v>
      </c>
      <c r="D11218" s="13">
        <v>0</v>
      </c>
      <c r="E11218" s="12">
        <v>0</v>
      </c>
      <c r="F11218" s="14">
        <v>0</v>
      </c>
      <c r="G11218" s="13">
        <v>159000000</v>
      </c>
      <c r="H11218" s="14">
        <v>160800516000</v>
      </c>
      <c r="I11218" s="14" t="e">
        <f>=Round(483280.23930000,0)</f>
        <v>#VALUE!</v>
      </c>
      <c r="J11218" s="14" t="e">
        <f>=Round(219672.61640000,0)</f>
        <v>#VALUE!</v>
      </c>
    </row>
    <row r="11219">
      <c r="A11219" s="11" t="s">
        <v>50</v>
      </c>
      <c r="B11219" s="12">
        <v>1011.324</v>
      </c>
      <c r="C11219" s="12">
        <v>0</v>
      </c>
      <c r="D11219" s="13">
        <v>0</v>
      </c>
      <c r="E11219" s="12">
        <v>0</v>
      </c>
      <c r="F11219" s="14">
        <v>0</v>
      </c>
      <c r="G11219" s="13">
        <v>159000000</v>
      </c>
      <c r="H11219" s="14">
        <v>160800516000</v>
      </c>
      <c r="I11219" s="14" t="e">
        <f>=Round(483280.23930000,0)</f>
        <v>#VALUE!</v>
      </c>
      <c r="J11219" s="14" t="e">
        <f>=Round(219672.61640000,0)</f>
        <v>#VALUE!</v>
      </c>
    </row>
    <row r="11220">
      <c r="A11220" s="11" t="s">
        <v>51</v>
      </c>
      <c r="B11220" s="12">
        <v>1012.052</v>
      </c>
      <c r="C11220" s="12">
        <v>0</v>
      </c>
      <c r="D11220" s="13">
        <v>0</v>
      </c>
      <c r="E11220" s="12">
        <v>0</v>
      </c>
      <c r="F11220" s="14">
        <v>0</v>
      </c>
      <c r="G11220" s="13">
        <v>159000000</v>
      </c>
      <c r="H11220" s="14">
        <v>160916268000</v>
      </c>
      <c r="I11220" s="14" t="e">
        <f>=Round(483280.23930000,0)</f>
        <v>#VALUE!</v>
      </c>
      <c r="J11220" s="14" t="e">
        <f>=Round(219672.61640000,0)</f>
        <v>#VALUE!</v>
      </c>
    </row>
    <row r="11221">
      <c r="A11221" s="11" t="s">
        <v>52</v>
      </c>
      <c r="B11221" s="12">
        <v>1012.306</v>
      </c>
      <c r="C11221" s="12">
        <v>0</v>
      </c>
      <c r="D11221" s="13">
        <v>0</v>
      </c>
      <c r="E11221" s="12">
        <v>0</v>
      </c>
      <c r="F11221" s="14">
        <v>0</v>
      </c>
      <c r="G11221" s="13">
        <v>159000000</v>
      </c>
      <c r="H11221" s="14">
        <v>160956654000</v>
      </c>
      <c r="I11221" s="14" t="e">
        <f>=Round(483628.12790000,0)</f>
        <v>#VALUE!</v>
      </c>
      <c r="J11221" s="14" t="e">
        <f>=Round(219830.74740000,0)</f>
        <v>#VALUE!</v>
      </c>
    </row>
    <row r="11222">
      <c r="A11222" s="11" t="s">
        <v>53</v>
      </c>
      <c r="B11222" s="12">
        <v>1012.723</v>
      </c>
      <c r="C11222" s="12">
        <v>0</v>
      </c>
      <c r="D11222" s="13">
        <v>0</v>
      </c>
      <c r="E11222" s="12">
        <v>0</v>
      </c>
      <c r="F11222" s="14">
        <v>0</v>
      </c>
      <c r="G11222" s="13">
        <v>159000000</v>
      </c>
      <c r="H11222" s="14">
        <v>161022957000</v>
      </c>
      <c r="I11222" s="14" t="e">
        <f>=Round(483749.50660000,0)</f>
        <v>#VALUE!</v>
      </c>
      <c r="J11222" s="14" t="e">
        <f>=Round(219885.91950000,0)</f>
        <v>#VALUE!</v>
      </c>
    </row>
    <row r="11223">
      <c r="A11223" s="11" t="s">
        <v>54</v>
      </c>
      <c r="B11223" s="12">
        <v>1013.04</v>
      </c>
      <c r="C11223" s="12">
        <v>0</v>
      </c>
      <c r="D11223" s="13">
        <v>0</v>
      </c>
      <c r="E11223" s="12">
        <v>0</v>
      </c>
      <c r="F11223" s="14">
        <v>0</v>
      </c>
      <c r="G11223" s="13">
        <v>159000000</v>
      </c>
      <c r="H11223" s="14">
        <v>161073360000</v>
      </c>
      <c r="I11223" s="14" t="e">
        <f>=Round(483948.77790000,0)</f>
        <v>#VALUE!</v>
      </c>
      <c r="J11223" s="14" t="e">
        <f>=Round(219976.49720000,0)</f>
        <v>#VALUE!</v>
      </c>
    </row>
    <row r="11224">
      <c r="A11224" s="11" t="s">
        <v>55</v>
      </c>
      <c r="B11224" s="12">
        <v>1012.744</v>
      </c>
      <c r="C11224" s="12">
        <v>0</v>
      </c>
      <c r="D11224" s="13">
        <v>0</v>
      </c>
      <c r="E11224" s="12">
        <v>0</v>
      </c>
      <c r="F11224" s="14">
        <v>0</v>
      </c>
      <c r="G11224" s="13">
        <v>159000000</v>
      </c>
      <c r="H11224" s="14">
        <v>161026296000</v>
      </c>
      <c r="I11224" s="14" t="e">
        <f>=Round(484100.26230000,0)</f>
        <v>#VALUE!</v>
      </c>
      <c r="J11224" s="14" t="e">
        <f>=Round(220045.35370000,0)</f>
        <v>#VALUE!</v>
      </c>
    </row>
    <row r="11225" ht="-1">
      <c r="A11225" s="15"/>
      <c r="B11225" s="16" t="s">
        <v>56</v>
      </c>
      <c r="C11225" s="15"/>
      <c r="D11225" s="15"/>
      <c r="E11225" s="15"/>
      <c r="F11225" s="15"/>
      <c r="G11225" s="15"/>
      <c r="H11225" s="15"/>
      <c r="I11225" s="17" t="e">
        <f>=Round(SUM(I11199:I11224),0)</f>
        <v>#VALUE!</v>
      </c>
      <c r="J11225" s="17" t="e">
        <f>=Round(SUM(J11199:J11224),0)</f>
        <v>#VALUE!</v>
      </c>
    </row>
    <row r="11226">
      <c r="A11226" s="1" t="s">
        <v>0</v>
      </c>
      <c r="B11226" s="1"/>
      <c r="C11226" s="1"/>
      <c r="D11226" s="1"/>
    </row>
    <row r="11227">
      <c r="A11227" s="0" t="s">
        <v>1</v>
      </c>
      <c r="C11227" s="0" t="s">
        <v>388</v>
      </c>
      <c r="H11227" s="2" t="s">
        <v>3</v>
      </c>
    </row>
    <row r="11228">
      <c r="A11228" s="0" t="s">
        <v>4</v>
      </c>
      <c r="C11228" s="0" t="s">
        <v>93</v>
      </c>
      <c r="H11228" s="3" t="s">
        <v>6</v>
      </c>
    </row>
    <row r="11229">
      <c r="A11229" s="0" t="s">
        <v>7</v>
      </c>
      <c r="C11229" s="4" t="s">
        <v>8</v>
      </c>
      <c r="H11229" s="2" t="s">
        <v>9</v>
      </c>
    </row>
    <row r="11230">
      <c r="A11230" s="0" t="s">
        <v>10</v>
      </c>
      <c r="C11230" s="4" t="s">
        <v>11</v>
      </c>
      <c r="H11230" s="2" t="s">
        <v>12</v>
      </c>
    </row>
    <row r="11231">
      <c r="A11231" s="0" t="s">
        <v>13</v>
      </c>
      <c r="C11231" s="0" t="s">
        <v>14</v>
      </c>
    </row>
    <row r="11232">
      <c r="A11232" s="0" t="s">
        <v>15</v>
      </c>
      <c r="C11232" s="0" t="s">
        <v>16</v>
      </c>
    </row>
    <row r="11233">
      <c r="A11233" s="0" t="s">
        <v>17</v>
      </c>
      <c r="C11233" s="0" t="s">
        <v>18</v>
      </c>
    </row>
    <row r="11236">
      <c r="A11236" s="5" t="s">
        <v>19</v>
      </c>
      <c r="B11236" s="5" t="s">
        <v>20</v>
      </c>
      <c r="C11236" s="7" t="s">
        <v>21</v>
      </c>
      <c r="D11236" s="9"/>
      <c r="E11236" s="7" t="s">
        <v>22</v>
      </c>
      <c r="F11236" s="9"/>
      <c r="G11236" s="5" t="s">
        <v>23</v>
      </c>
      <c r="H11236" s="5" t="s">
        <v>24</v>
      </c>
      <c r="I11236" s="5" t="s">
        <v>25</v>
      </c>
      <c r="J11236" s="5" t="s">
        <v>26</v>
      </c>
    </row>
    <row r="11237">
      <c r="A11237" s="6"/>
      <c r="B11237" s="6"/>
      <c r="C11237" s="8" t="s">
        <v>27</v>
      </c>
      <c r="D11237" s="8" t="s">
        <v>28</v>
      </c>
      <c r="E11237" s="8" t="s">
        <v>27</v>
      </c>
      <c r="F11237" s="8" t="s">
        <v>28</v>
      </c>
      <c r="G11237" s="6"/>
      <c r="H11237" s="6"/>
      <c r="I11237" s="10" t="s">
        <v>29</v>
      </c>
      <c r="J11237" s="6"/>
    </row>
    <row r="11238">
      <c r="A11238" s="11" t="s">
        <v>30</v>
      </c>
      <c r="B11238" s="12">
        <v>1701.229</v>
      </c>
      <c r="C11238" s="12">
        <v>0</v>
      </c>
      <c r="D11238" s="13">
        <v>0</v>
      </c>
      <c r="E11238" s="12">
        <v>0</v>
      </c>
      <c r="F11238" s="14">
        <v>0</v>
      </c>
      <c r="G11238" s="13">
        <v>400233.9139</v>
      </c>
      <c r="H11238" s="14">
        <v>680889541.110183</v>
      </c>
      <c r="I11238" s="14" t="e">
        <f>=Round(15337.68040000,0)</f>
        <v>#VALUE!</v>
      </c>
      <c r="J11238" s="14" t="e">
        <f>=Round(0.00000000,0)</f>
        <v>#VALUE!</v>
      </c>
    </row>
    <row r="11239">
      <c r="A11239" s="11" t="s">
        <v>31</v>
      </c>
      <c r="B11239" s="12">
        <v>1701.603</v>
      </c>
      <c r="C11239" s="12">
        <v>0</v>
      </c>
      <c r="D11239" s="13">
        <v>0</v>
      </c>
      <c r="E11239" s="12">
        <v>0</v>
      </c>
      <c r="F11239" s="14">
        <v>0</v>
      </c>
      <c r="G11239" s="13">
        <v>400233.9139</v>
      </c>
      <c r="H11239" s="14">
        <v>681039228.593982</v>
      </c>
      <c r="I11239" s="14" t="e">
        <f>=Round(15347.92000000,0)</f>
        <v>#VALUE!</v>
      </c>
      <c r="J11239" s="14" t="e">
        <f>=Round(0.00000000,0)</f>
        <v>#VALUE!</v>
      </c>
    </row>
    <row r="11240">
      <c r="A11240" s="11" t="s">
        <v>32</v>
      </c>
      <c r="B11240" s="12">
        <v>1701.949</v>
      </c>
      <c r="C11240" s="12">
        <v>0</v>
      </c>
      <c r="D11240" s="13">
        <v>0</v>
      </c>
      <c r="E11240" s="12">
        <v>0</v>
      </c>
      <c r="F11240" s="14">
        <v>0</v>
      </c>
      <c r="G11240" s="13">
        <v>400233.9139</v>
      </c>
      <c r="H11240" s="14">
        <v>681177709.528191</v>
      </c>
      <c r="I11240" s="14" t="e">
        <f>=Round(15351.29410000,0)</f>
        <v>#VALUE!</v>
      </c>
      <c r="J11240" s="14" t="e">
        <f>=Round(0.00000000,0)</f>
        <v>#VALUE!</v>
      </c>
    </row>
    <row r="11241">
      <c r="A11241" s="11" t="s">
        <v>33</v>
      </c>
      <c r="B11241" s="12">
        <v>1702.322</v>
      </c>
      <c r="C11241" s="12">
        <v>0</v>
      </c>
      <c r="D11241" s="13">
        <v>0</v>
      </c>
      <c r="E11241" s="12">
        <v>0</v>
      </c>
      <c r="F11241" s="14">
        <v>0</v>
      </c>
      <c r="G11241" s="13">
        <v>400233.9139</v>
      </c>
      <c r="H11241" s="14">
        <v>681326996.778076</v>
      </c>
      <c r="I11241" s="14" t="e">
        <f>=Round(15354.41560000,0)</f>
        <v>#VALUE!</v>
      </c>
      <c r="J11241" s="14" t="e">
        <f>=Round(0.00000000,0)</f>
        <v>#VALUE!</v>
      </c>
    </row>
    <row r="11242">
      <c r="A11242" s="11" t="s">
        <v>34</v>
      </c>
      <c r="B11242" s="12">
        <v>1702.696</v>
      </c>
      <c r="C11242" s="12">
        <v>0</v>
      </c>
      <c r="D11242" s="13">
        <v>0</v>
      </c>
      <c r="E11242" s="12">
        <v>0</v>
      </c>
      <c r="F11242" s="14">
        <v>0</v>
      </c>
      <c r="G11242" s="13">
        <v>400233.9139</v>
      </c>
      <c r="H11242" s="14">
        <v>681476684.261874</v>
      </c>
      <c r="I11242" s="14" t="e">
        <f>=Round(15357.78070000,0)</f>
        <v>#VALUE!</v>
      </c>
      <c r="J11242" s="14" t="e">
        <f>=Round(0.00000000,0)</f>
        <v>#VALUE!</v>
      </c>
    </row>
    <row r="11243">
      <c r="A11243" s="11" t="s">
        <v>35</v>
      </c>
      <c r="B11243" s="12">
        <v>1702.696</v>
      </c>
      <c r="C11243" s="12">
        <v>0</v>
      </c>
      <c r="D11243" s="13">
        <v>0</v>
      </c>
      <c r="E11243" s="12">
        <v>0</v>
      </c>
      <c r="F11243" s="14">
        <v>0</v>
      </c>
      <c r="G11243" s="13">
        <v>400233.9139</v>
      </c>
      <c r="H11243" s="14">
        <v>681476684.261874</v>
      </c>
      <c r="I11243" s="14" t="e">
        <f>=Round(15361.15480000,0)</f>
        <v>#VALUE!</v>
      </c>
      <c r="J11243" s="14" t="e">
        <f>=Round(0.00000000,0)</f>
        <v>#VALUE!</v>
      </c>
    </row>
    <row r="11244">
      <c r="A11244" s="11" t="s">
        <v>36</v>
      </c>
      <c r="B11244" s="12">
        <v>1702.696</v>
      </c>
      <c r="C11244" s="12">
        <v>0</v>
      </c>
      <c r="D11244" s="13">
        <v>0</v>
      </c>
      <c r="E11244" s="12">
        <v>0</v>
      </c>
      <c r="F11244" s="14">
        <v>0</v>
      </c>
      <c r="G11244" s="13">
        <v>400233.9139</v>
      </c>
      <c r="H11244" s="14">
        <v>681476684.261874</v>
      </c>
      <c r="I11244" s="14" t="e">
        <f>=Round(15361.15480000,0)</f>
        <v>#VALUE!</v>
      </c>
      <c r="J11244" s="14" t="e">
        <f>=Round(0.00000000,0)</f>
        <v>#VALUE!</v>
      </c>
    </row>
    <row r="11245">
      <c r="A11245" s="11" t="s">
        <v>37</v>
      </c>
      <c r="B11245" s="12">
        <v>1703.818</v>
      </c>
      <c r="C11245" s="12">
        <v>0</v>
      </c>
      <c r="D11245" s="13">
        <v>0</v>
      </c>
      <c r="E11245" s="12">
        <v>0</v>
      </c>
      <c r="F11245" s="14">
        <v>0</v>
      </c>
      <c r="G11245" s="13">
        <v>400233.9139</v>
      </c>
      <c r="H11245" s="14">
        <v>681925746.71327</v>
      </c>
      <c r="I11245" s="14" t="e">
        <f>=Round(15361.15480000,0)</f>
        <v>#VALUE!</v>
      </c>
      <c r="J11245" s="14" t="e">
        <f>=Round(0.00000000,0)</f>
        <v>#VALUE!</v>
      </c>
    </row>
    <row r="11246">
      <c r="A11246" s="11" t="s">
        <v>38</v>
      </c>
      <c r="B11246" s="12">
        <v>1704.192</v>
      </c>
      <c r="C11246" s="12">
        <v>0</v>
      </c>
      <c r="D11246" s="13">
        <v>0</v>
      </c>
      <c r="E11246" s="12">
        <v>0</v>
      </c>
      <c r="F11246" s="14">
        <v>0</v>
      </c>
      <c r="G11246" s="13">
        <v>400233.9139</v>
      </c>
      <c r="H11246" s="14">
        <v>682075434.197069</v>
      </c>
      <c r="I11246" s="14" t="e">
        <f>=Round(15371.27710000,0)</f>
        <v>#VALUE!</v>
      </c>
      <c r="J11246" s="14" t="e">
        <f>=Round(0.00000000,0)</f>
        <v>#VALUE!</v>
      </c>
    </row>
    <row r="11247">
      <c r="A11247" s="11" t="s">
        <v>39</v>
      </c>
      <c r="B11247" s="12">
        <v>1704.55</v>
      </c>
      <c r="C11247" s="12">
        <v>0</v>
      </c>
      <c r="D11247" s="13">
        <v>0</v>
      </c>
      <c r="E11247" s="12">
        <v>0</v>
      </c>
      <c r="F11247" s="14">
        <v>0</v>
      </c>
      <c r="G11247" s="13">
        <v>400233.9139</v>
      </c>
      <c r="H11247" s="14">
        <v>682218717.938245</v>
      </c>
      <c r="I11247" s="14" t="e">
        <f>=Round(15374.65120000,0)</f>
        <v>#VALUE!</v>
      </c>
      <c r="J11247" s="14" t="e">
        <f>=Round(0.00000000,0)</f>
        <v>#VALUE!</v>
      </c>
    </row>
    <row r="11248">
      <c r="A11248" s="11" t="s">
        <v>40</v>
      </c>
      <c r="B11248" s="12">
        <v>1704.928</v>
      </c>
      <c r="C11248" s="12">
        <v>0</v>
      </c>
      <c r="D11248" s="13">
        <v>0</v>
      </c>
      <c r="E11248" s="12">
        <v>0</v>
      </c>
      <c r="F11248" s="14">
        <v>0</v>
      </c>
      <c r="G11248" s="13">
        <v>400233.9139</v>
      </c>
      <c r="H11248" s="14">
        <v>682370006.357699</v>
      </c>
      <c r="I11248" s="14" t="e">
        <f>=Round(15377.88090000,0)</f>
        <v>#VALUE!</v>
      </c>
      <c r="J11248" s="14" t="e">
        <f>=Round(0.00000000,0)</f>
        <v>#VALUE!</v>
      </c>
    </row>
    <row r="11249">
      <c r="A11249" s="11" t="s">
        <v>41</v>
      </c>
      <c r="B11249" s="12">
        <v>1705.306</v>
      </c>
      <c r="C11249" s="12">
        <v>0</v>
      </c>
      <c r="D11249" s="13">
        <v>0</v>
      </c>
      <c r="E11249" s="12">
        <v>0</v>
      </c>
      <c r="F11249" s="14">
        <v>0</v>
      </c>
      <c r="G11249" s="13">
        <v>400233.9139</v>
      </c>
      <c r="H11249" s="14">
        <v>682521294.777153</v>
      </c>
      <c r="I11249" s="14" t="e">
        <f>=Round(15381.29110000,0)</f>
        <v>#VALUE!</v>
      </c>
      <c r="J11249" s="14" t="e">
        <f>=Round(0.00000000,0)</f>
        <v>#VALUE!</v>
      </c>
    </row>
    <row r="11250">
      <c r="A11250" s="11" t="s">
        <v>42</v>
      </c>
      <c r="B11250" s="12">
        <v>1705.306</v>
      </c>
      <c r="C11250" s="12">
        <v>0</v>
      </c>
      <c r="D11250" s="13">
        <v>0</v>
      </c>
      <c r="E11250" s="12">
        <v>0</v>
      </c>
      <c r="F11250" s="14">
        <v>0</v>
      </c>
      <c r="G11250" s="13">
        <v>400233.9139</v>
      </c>
      <c r="H11250" s="14">
        <v>682521294.777153</v>
      </c>
      <c r="I11250" s="14" t="e">
        <f>=Round(15384.70130000,0)</f>
        <v>#VALUE!</v>
      </c>
      <c r="J11250" s="14" t="e">
        <f>=Round(0.00000000,0)</f>
        <v>#VALUE!</v>
      </c>
    </row>
    <row r="11251">
      <c r="A11251" s="11" t="s">
        <v>43</v>
      </c>
      <c r="B11251" s="12">
        <v>1705.306</v>
      </c>
      <c r="C11251" s="12">
        <v>0</v>
      </c>
      <c r="D11251" s="13">
        <v>0</v>
      </c>
      <c r="E11251" s="12">
        <v>0</v>
      </c>
      <c r="F11251" s="14">
        <v>0</v>
      </c>
      <c r="G11251" s="13">
        <v>400233.9139</v>
      </c>
      <c r="H11251" s="14">
        <v>682521294.777153</v>
      </c>
      <c r="I11251" s="14" t="e">
        <f>=Round(15384.70130000,0)</f>
        <v>#VALUE!</v>
      </c>
      <c r="J11251" s="14" t="e">
        <f>=Round(0.00000000,0)</f>
        <v>#VALUE!</v>
      </c>
    </row>
    <row r="11252">
      <c r="A11252" s="11" t="s">
        <v>44</v>
      </c>
      <c r="B11252" s="12">
        <v>1706.447</v>
      </c>
      <c r="C11252" s="12">
        <v>0</v>
      </c>
      <c r="D11252" s="13">
        <v>0</v>
      </c>
      <c r="E11252" s="12">
        <v>0</v>
      </c>
      <c r="F11252" s="14">
        <v>0</v>
      </c>
      <c r="G11252" s="13">
        <v>400233.9139</v>
      </c>
      <c r="H11252" s="14">
        <v>682977961.672913</v>
      </c>
      <c r="I11252" s="14" t="e">
        <f>=Round(15384.70130000,0)</f>
        <v>#VALUE!</v>
      </c>
      <c r="J11252" s="14" t="e">
        <f>=Round(0.00000000,0)</f>
        <v>#VALUE!</v>
      </c>
    </row>
    <row r="11253">
      <c r="A11253" s="11" t="s">
        <v>45</v>
      </c>
      <c r="B11253" s="12">
        <v>1706.82</v>
      </c>
      <c r="C11253" s="12">
        <v>0</v>
      </c>
      <c r="D11253" s="13">
        <v>0</v>
      </c>
      <c r="E11253" s="12">
        <v>0</v>
      </c>
      <c r="F11253" s="14">
        <v>0</v>
      </c>
      <c r="G11253" s="13">
        <v>400233.9139</v>
      </c>
      <c r="H11253" s="14">
        <v>683127248.922798</v>
      </c>
      <c r="I11253" s="14" t="e">
        <f>=Round(15394.99500000,0)</f>
        <v>#VALUE!</v>
      </c>
      <c r="J11253" s="14" t="e">
        <f>=Round(0.00000000,0)</f>
        <v>#VALUE!</v>
      </c>
    </row>
    <row r="11254">
      <c r="A11254" s="11" t="s">
        <v>46</v>
      </c>
      <c r="B11254" s="12">
        <v>1707.195</v>
      </c>
      <c r="C11254" s="12">
        <v>0</v>
      </c>
      <c r="D11254" s="13">
        <v>0</v>
      </c>
      <c r="E11254" s="12">
        <v>0</v>
      </c>
      <c r="F11254" s="14">
        <v>0</v>
      </c>
      <c r="G11254" s="13">
        <v>400233.9139</v>
      </c>
      <c r="H11254" s="14">
        <v>683277336.640511</v>
      </c>
      <c r="I11254" s="14" t="e">
        <f>=Round(15398.36010000,0)</f>
        <v>#VALUE!</v>
      </c>
      <c r="J11254" s="14" t="e">
        <f>=Round(0.00000000,0)</f>
        <v>#VALUE!</v>
      </c>
    </row>
    <row r="11255">
      <c r="A11255" s="11" t="s">
        <v>47</v>
      </c>
      <c r="B11255" s="12">
        <v>1707.57</v>
      </c>
      <c r="C11255" s="12">
        <v>0</v>
      </c>
      <c r="D11255" s="13">
        <v>0</v>
      </c>
      <c r="E11255" s="12">
        <v>0</v>
      </c>
      <c r="F11255" s="14">
        <v>0</v>
      </c>
      <c r="G11255" s="13">
        <v>400233.9139</v>
      </c>
      <c r="H11255" s="14">
        <v>683427424.358223</v>
      </c>
      <c r="I11255" s="14" t="e">
        <f>=Round(15401.74320000,0)</f>
        <v>#VALUE!</v>
      </c>
      <c r="J11255" s="14" t="e">
        <f>=Round(0.00000000,0)</f>
        <v>#VALUE!</v>
      </c>
    </row>
    <row r="11256">
      <c r="A11256" s="11" t="s">
        <v>48</v>
      </c>
      <c r="B11256" s="12">
        <v>1707.95</v>
      </c>
      <c r="C11256" s="12">
        <v>0</v>
      </c>
      <c r="D11256" s="13">
        <v>0</v>
      </c>
      <c r="E11256" s="12">
        <v>0</v>
      </c>
      <c r="F11256" s="14">
        <v>0</v>
      </c>
      <c r="G11256" s="13">
        <v>400233.9139</v>
      </c>
      <c r="H11256" s="14">
        <v>683579513.245505</v>
      </c>
      <c r="I11256" s="14" t="e">
        <f>=Round(15405.12640000,0)</f>
        <v>#VALUE!</v>
      </c>
      <c r="J11256" s="14" t="e">
        <f>=Round(0.00000000,0)</f>
        <v>#VALUE!</v>
      </c>
    </row>
    <row r="11257">
      <c r="A11257" s="11" t="s">
        <v>49</v>
      </c>
      <c r="B11257" s="12">
        <v>1707.95</v>
      </c>
      <c r="C11257" s="12">
        <v>0</v>
      </c>
      <c r="D11257" s="13">
        <v>0</v>
      </c>
      <c r="E11257" s="12">
        <v>0</v>
      </c>
      <c r="F11257" s="14">
        <v>0</v>
      </c>
      <c r="G11257" s="13">
        <v>400233.9139</v>
      </c>
      <c r="H11257" s="14">
        <v>683579513.245505</v>
      </c>
      <c r="I11257" s="14" t="e">
        <f>=Round(15408.55460000,0)</f>
        <v>#VALUE!</v>
      </c>
      <c r="J11257" s="14" t="e">
        <f>=Round(0.00000000,0)</f>
        <v>#VALUE!</v>
      </c>
    </row>
    <row r="11258">
      <c r="A11258" s="11" t="s">
        <v>50</v>
      </c>
      <c r="B11258" s="12">
        <v>1707.95</v>
      </c>
      <c r="C11258" s="12">
        <v>0</v>
      </c>
      <c r="D11258" s="13">
        <v>0</v>
      </c>
      <c r="E11258" s="12">
        <v>0</v>
      </c>
      <c r="F11258" s="14">
        <v>0</v>
      </c>
      <c r="G11258" s="13">
        <v>400233.9139</v>
      </c>
      <c r="H11258" s="14">
        <v>683579513.245505</v>
      </c>
      <c r="I11258" s="14" t="e">
        <f>=Round(15408.55460000,0)</f>
        <v>#VALUE!</v>
      </c>
      <c r="J11258" s="14" t="e">
        <f>=Round(0.00000000,0)</f>
        <v>#VALUE!</v>
      </c>
    </row>
    <row r="11259">
      <c r="A11259" s="11" t="s">
        <v>51</v>
      </c>
      <c r="B11259" s="12">
        <v>1709.075</v>
      </c>
      <c r="C11259" s="12">
        <v>0</v>
      </c>
      <c r="D11259" s="13">
        <v>0</v>
      </c>
      <c r="E11259" s="12">
        <v>0</v>
      </c>
      <c r="F11259" s="14">
        <v>0</v>
      </c>
      <c r="G11259" s="13">
        <v>400233.9139</v>
      </c>
      <c r="H11259" s="14">
        <v>684029776.398643</v>
      </c>
      <c r="I11259" s="14" t="e">
        <f>=Round(15408.55460000,0)</f>
        <v>#VALUE!</v>
      </c>
      <c r="J11259" s="14" t="e">
        <f>=Round(0.00000000,0)</f>
        <v>#VALUE!</v>
      </c>
    </row>
    <row r="11260">
      <c r="A11260" s="11" t="s">
        <v>52</v>
      </c>
      <c r="B11260" s="12">
        <v>1709.451</v>
      </c>
      <c r="C11260" s="12">
        <v>0</v>
      </c>
      <c r="D11260" s="13">
        <v>0</v>
      </c>
      <c r="E11260" s="12">
        <v>0</v>
      </c>
      <c r="F11260" s="14">
        <v>0</v>
      </c>
      <c r="G11260" s="13">
        <v>400233.9139</v>
      </c>
      <c r="H11260" s="14">
        <v>684180264.350269</v>
      </c>
      <c r="I11260" s="14" t="e">
        <f>=Round(15418.70400000,0)</f>
        <v>#VALUE!</v>
      </c>
      <c r="J11260" s="14" t="e">
        <f>=Round(0.00000000,0)</f>
        <v>#VALUE!</v>
      </c>
    </row>
    <row r="11261">
      <c r="A11261" s="11" t="s">
        <v>53</v>
      </c>
      <c r="B11261" s="12">
        <v>1709.826</v>
      </c>
      <c r="C11261" s="12">
        <v>0</v>
      </c>
      <c r="D11261" s="13">
        <v>0</v>
      </c>
      <c r="E11261" s="12">
        <v>0</v>
      </c>
      <c r="F11261" s="14">
        <v>0</v>
      </c>
      <c r="G11261" s="13">
        <v>400233.9139</v>
      </c>
      <c r="H11261" s="14">
        <v>684330352.067981</v>
      </c>
      <c r="I11261" s="14" t="e">
        <f>=Round(15422.09610000,0)</f>
        <v>#VALUE!</v>
      </c>
      <c r="J11261" s="14" t="e">
        <f>=Round(0.00000000,0)</f>
        <v>#VALUE!</v>
      </c>
    </row>
    <row r="11262">
      <c r="A11262" s="11" t="s">
        <v>54</v>
      </c>
      <c r="B11262" s="12">
        <v>1710.234</v>
      </c>
      <c r="C11262" s="12">
        <v>0</v>
      </c>
      <c r="D11262" s="13">
        <v>0</v>
      </c>
      <c r="E11262" s="12">
        <v>0</v>
      </c>
      <c r="F11262" s="14">
        <v>0</v>
      </c>
      <c r="G11262" s="13">
        <v>400233.9139</v>
      </c>
      <c r="H11262" s="14">
        <v>684493647.504853</v>
      </c>
      <c r="I11262" s="14" t="e">
        <f>=Round(15425.47920000,0)</f>
        <v>#VALUE!</v>
      </c>
      <c r="J11262" s="14" t="e">
        <f>=Round(0.00000000,0)</f>
        <v>#VALUE!</v>
      </c>
    </row>
    <row r="11263">
      <c r="A11263" s="11" t="s">
        <v>55</v>
      </c>
      <c r="B11263" s="12">
        <v>1710.55</v>
      </c>
      <c r="C11263" s="12">
        <v>0</v>
      </c>
      <c r="D11263" s="13">
        <v>0</v>
      </c>
      <c r="E11263" s="12">
        <v>0</v>
      </c>
      <c r="F11263" s="14">
        <v>0</v>
      </c>
      <c r="G11263" s="13">
        <v>400233.9139</v>
      </c>
      <c r="H11263" s="14">
        <v>684620121.421645</v>
      </c>
      <c r="I11263" s="14" t="e">
        <f>=Round(15429.16010000,0)</f>
        <v>#VALUE!</v>
      </c>
      <c r="J11263" s="14" t="e">
        <f>=Round(0.00000000,0)</f>
        <v>#VALUE!</v>
      </c>
    </row>
    <row r="11264" ht="-1">
      <c r="A11264" s="15"/>
      <c r="B11264" s="16" t="s">
        <v>56</v>
      </c>
      <c r="C11264" s="15"/>
      <c r="D11264" s="15"/>
      <c r="E11264" s="15"/>
      <c r="F11264" s="15"/>
      <c r="G11264" s="15"/>
      <c r="H11264" s="15"/>
      <c r="I11264" s="17" t="e">
        <f>=Round(SUM(I11238:I11263),0)</f>
        <v>#VALUE!</v>
      </c>
      <c r="J11264" s="17" t="e">
        <f>=Round(SUM(J11238:J11263),0)</f>
        <v>#VALUE!</v>
      </c>
    </row>
    <row r="11265">
      <c r="A11265" s="1" t="s">
        <v>0</v>
      </c>
      <c r="B11265" s="1"/>
      <c r="C11265" s="1"/>
      <c r="D11265" s="1"/>
    </row>
    <row r="11266">
      <c r="A11266" s="0" t="s">
        <v>1</v>
      </c>
      <c r="C11266" s="0" t="s">
        <v>388</v>
      </c>
      <c r="H11266" s="2" t="s">
        <v>3</v>
      </c>
    </row>
    <row r="11267">
      <c r="A11267" s="0" t="s">
        <v>4</v>
      </c>
      <c r="C11267" s="0" t="s">
        <v>389</v>
      </c>
      <c r="H11267" s="3" t="s">
        <v>6</v>
      </c>
    </row>
    <row r="11268">
      <c r="A11268" s="0" t="s">
        <v>7</v>
      </c>
      <c r="C11268" s="4" t="s">
        <v>8</v>
      </c>
      <c r="H11268" s="2" t="s">
        <v>9</v>
      </c>
    </row>
    <row r="11269">
      <c r="A11269" s="0" t="s">
        <v>10</v>
      </c>
      <c r="C11269" s="4" t="s">
        <v>11</v>
      </c>
      <c r="H11269" s="2" t="s">
        <v>12</v>
      </c>
    </row>
    <row r="11270">
      <c r="A11270" s="0" t="s">
        <v>13</v>
      </c>
      <c r="C11270" s="0" t="s">
        <v>14</v>
      </c>
    </row>
    <row r="11271">
      <c r="A11271" s="0" t="s">
        <v>15</v>
      </c>
      <c r="C11271" s="0" t="s">
        <v>16</v>
      </c>
    </row>
    <row r="11272">
      <c r="A11272" s="0" t="s">
        <v>17</v>
      </c>
      <c r="C11272" s="0" t="s">
        <v>18</v>
      </c>
    </row>
    <row r="11275">
      <c r="A11275" s="5" t="s">
        <v>19</v>
      </c>
      <c r="B11275" s="5" t="s">
        <v>20</v>
      </c>
      <c r="C11275" s="7" t="s">
        <v>21</v>
      </c>
      <c r="D11275" s="9"/>
      <c r="E11275" s="7" t="s">
        <v>22</v>
      </c>
      <c r="F11275" s="9"/>
      <c r="G11275" s="5" t="s">
        <v>23</v>
      </c>
      <c r="H11275" s="5" t="s">
        <v>24</v>
      </c>
      <c r="I11275" s="5" t="s">
        <v>25</v>
      </c>
      <c r="J11275" s="5" t="s">
        <v>26</v>
      </c>
    </row>
    <row r="11276">
      <c r="A11276" s="6"/>
      <c r="B11276" s="6"/>
      <c r="C11276" s="8" t="s">
        <v>27</v>
      </c>
      <c r="D11276" s="8" t="s">
        <v>28</v>
      </c>
      <c r="E11276" s="8" t="s">
        <v>27</v>
      </c>
      <c r="F11276" s="8" t="s">
        <v>28</v>
      </c>
      <c r="G11276" s="6"/>
      <c r="H11276" s="6"/>
      <c r="I11276" s="10" t="s">
        <v>29</v>
      </c>
      <c r="J11276" s="6"/>
    </row>
    <row r="11277">
      <c r="A11277" s="11" t="s">
        <v>30</v>
      </c>
      <c r="B11277" s="12">
        <v>1701.229</v>
      </c>
      <c r="C11277" s="12">
        <v>0</v>
      </c>
      <c r="D11277" s="13">
        <v>0</v>
      </c>
      <c r="E11277" s="12">
        <v>0</v>
      </c>
      <c r="F11277" s="14">
        <v>0</v>
      </c>
      <c r="G11277" s="13">
        <v>8491789.7513</v>
      </c>
      <c r="H11277" s="14">
        <v>14446478986.814348</v>
      </c>
      <c r="I11277" s="14" t="e">
        <f>=Round(325420.59190000,0)</f>
        <v>#VALUE!</v>
      </c>
      <c r="J11277" s="14" t="e">
        <f>=Round(0.00000000,0)</f>
        <v>#VALUE!</v>
      </c>
    </row>
    <row r="11278">
      <c r="A11278" s="11" t="s">
        <v>31</v>
      </c>
      <c r="B11278" s="12">
        <v>1701.603</v>
      </c>
      <c r="C11278" s="12">
        <v>0</v>
      </c>
      <c r="D11278" s="13">
        <v>0</v>
      </c>
      <c r="E11278" s="12">
        <v>0</v>
      </c>
      <c r="F11278" s="14">
        <v>0</v>
      </c>
      <c r="G11278" s="13">
        <v>8491789.7513</v>
      </c>
      <c r="H11278" s="14">
        <v>14449654916.181334</v>
      </c>
      <c r="I11278" s="14" t="e">
        <f>=Round(325637.84600000,0)</f>
        <v>#VALUE!</v>
      </c>
      <c r="J11278" s="14" t="e">
        <f>=Round(0.00000000,0)</f>
        <v>#VALUE!</v>
      </c>
    </row>
    <row r="11279">
      <c r="A11279" s="11" t="s">
        <v>32</v>
      </c>
      <c r="B11279" s="12">
        <v>1701.949</v>
      </c>
      <c r="C11279" s="12">
        <v>0</v>
      </c>
      <c r="D11279" s="13">
        <v>0</v>
      </c>
      <c r="E11279" s="12">
        <v>0</v>
      </c>
      <c r="F11279" s="14">
        <v>0</v>
      </c>
      <c r="G11279" s="13">
        <v>8491789.7513</v>
      </c>
      <c r="H11279" s="14">
        <v>14452593075.435284</v>
      </c>
      <c r="I11279" s="14" t="e">
        <f>=Round(325709.43460000,0)</f>
        <v>#VALUE!</v>
      </c>
      <c r="J11279" s="14" t="e">
        <f>=Round(0.00000000,0)</f>
        <v>#VALUE!</v>
      </c>
    </row>
    <row r="11280">
      <c r="A11280" s="11" t="s">
        <v>33</v>
      </c>
      <c r="B11280" s="12">
        <v>1702.322</v>
      </c>
      <c r="C11280" s="12">
        <v>0</v>
      </c>
      <c r="D11280" s="13">
        <v>0</v>
      </c>
      <c r="E11280" s="12">
        <v>0</v>
      </c>
      <c r="F11280" s="14">
        <v>0</v>
      </c>
      <c r="G11280" s="13">
        <v>8491789.7513</v>
      </c>
      <c r="H11280" s="14">
        <v>14455760513.01252</v>
      </c>
      <c r="I11280" s="14" t="e">
        <f>=Round(325775.66360000,0)</f>
        <v>#VALUE!</v>
      </c>
      <c r="J11280" s="14" t="e">
        <f>=Round(0.00000000,0)</f>
        <v>#VALUE!</v>
      </c>
    </row>
    <row r="11281">
      <c r="A11281" s="11" t="s">
        <v>34</v>
      </c>
      <c r="B11281" s="12">
        <v>1702.696</v>
      </c>
      <c r="C11281" s="12">
        <v>0</v>
      </c>
      <c r="D11281" s="13">
        <v>0</v>
      </c>
      <c r="E11281" s="12">
        <v>0</v>
      </c>
      <c r="F11281" s="14">
        <v>0</v>
      </c>
      <c r="G11281" s="13">
        <v>8491789.7513</v>
      </c>
      <c r="H11281" s="14">
        <v>14458936442.379503</v>
      </c>
      <c r="I11281" s="14" t="e">
        <f>=Round(325847.06070000,0)</f>
        <v>#VALUE!</v>
      </c>
      <c r="J11281" s="14" t="e">
        <f>=Round(0.00000000,0)</f>
        <v>#VALUE!</v>
      </c>
    </row>
    <row r="11282">
      <c r="A11282" s="11" t="s">
        <v>35</v>
      </c>
      <c r="B11282" s="12">
        <v>1702.696</v>
      </c>
      <c r="C11282" s="12">
        <v>0</v>
      </c>
      <c r="D11282" s="13">
        <v>0</v>
      </c>
      <c r="E11282" s="12">
        <v>0</v>
      </c>
      <c r="F11282" s="14">
        <v>0</v>
      </c>
      <c r="G11282" s="13">
        <v>8491789.7513</v>
      </c>
      <c r="H11282" s="14">
        <v>14458936442.379503</v>
      </c>
      <c r="I11282" s="14" t="e">
        <f>=Round(325918.64930000,0)</f>
        <v>#VALUE!</v>
      </c>
      <c r="J11282" s="14" t="e">
        <f>=Round(0.00000000,0)</f>
        <v>#VALUE!</v>
      </c>
    </row>
    <row r="11283">
      <c r="A11283" s="11" t="s">
        <v>36</v>
      </c>
      <c r="B11283" s="12">
        <v>1702.696</v>
      </c>
      <c r="C11283" s="12">
        <v>0</v>
      </c>
      <c r="D11283" s="13">
        <v>0</v>
      </c>
      <c r="E11283" s="12">
        <v>0</v>
      </c>
      <c r="F11283" s="14">
        <v>0</v>
      </c>
      <c r="G11283" s="13">
        <v>8491789.7513</v>
      </c>
      <c r="H11283" s="14">
        <v>14458936442.379503</v>
      </c>
      <c r="I11283" s="14" t="e">
        <f>=Round(325918.64930000,0)</f>
        <v>#VALUE!</v>
      </c>
      <c r="J11283" s="14" t="e">
        <f>=Round(0.00000000,0)</f>
        <v>#VALUE!</v>
      </c>
    </row>
    <row r="11284">
      <c r="A11284" s="11" t="s">
        <v>37</v>
      </c>
      <c r="B11284" s="12">
        <v>1703.818</v>
      </c>
      <c r="C11284" s="12">
        <v>0</v>
      </c>
      <c r="D11284" s="13">
        <v>0</v>
      </c>
      <c r="E11284" s="12">
        <v>0</v>
      </c>
      <c r="F11284" s="14">
        <v>0</v>
      </c>
      <c r="G11284" s="13">
        <v>8491789.7513</v>
      </c>
      <c r="H11284" s="14">
        <v>14468464230.480465</v>
      </c>
      <c r="I11284" s="14" t="e">
        <f>=Round(325918.64930000,0)</f>
        <v>#VALUE!</v>
      </c>
      <c r="J11284" s="14" t="e">
        <f>=Round(0.00000000,0)</f>
        <v>#VALUE!</v>
      </c>
    </row>
    <row r="11285">
      <c r="A11285" s="11" t="s">
        <v>38</v>
      </c>
      <c r="B11285" s="12">
        <v>1704.192</v>
      </c>
      <c r="C11285" s="12">
        <v>0</v>
      </c>
      <c r="D11285" s="13">
        <v>0</v>
      </c>
      <c r="E11285" s="12">
        <v>0</v>
      </c>
      <c r="F11285" s="14">
        <v>0</v>
      </c>
      <c r="G11285" s="13">
        <v>8491789.7513</v>
      </c>
      <c r="H11285" s="14">
        <v>14471640159.84745</v>
      </c>
      <c r="I11285" s="14" t="e">
        <f>=Round(326133.41500000,0)</f>
        <v>#VALUE!</v>
      </c>
      <c r="J11285" s="14" t="e">
        <f>=Round(0.00000000,0)</f>
        <v>#VALUE!</v>
      </c>
    </row>
    <row r="11286">
      <c r="A11286" s="11" t="s">
        <v>39</v>
      </c>
      <c r="B11286" s="12">
        <v>1704.55</v>
      </c>
      <c r="C11286" s="12">
        <v>0</v>
      </c>
      <c r="D11286" s="13">
        <v>0</v>
      </c>
      <c r="E11286" s="12">
        <v>0</v>
      </c>
      <c r="F11286" s="14">
        <v>0</v>
      </c>
      <c r="G11286" s="13">
        <v>8491789.7513</v>
      </c>
      <c r="H11286" s="14">
        <v>14474680220.578417</v>
      </c>
      <c r="I11286" s="14" t="e">
        <f>=Round(326205.00360000,0)</f>
        <v>#VALUE!</v>
      </c>
      <c r="J11286" s="14" t="e">
        <f>=Round(0.00000000,0)</f>
        <v>#VALUE!</v>
      </c>
    </row>
    <row r="11287">
      <c r="A11287" s="11" t="s">
        <v>40</v>
      </c>
      <c r="B11287" s="12">
        <v>1704.928</v>
      </c>
      <c r="C11287" s="12">
        <v>0</v>
      </c>
      <c r="D11287" s="13">
        <v>0</v>
      </c>
      <c r="E11287" s="12">
        <v>0</v>
      </c>
      <c r="F11287" s="14">
        <v>0</v>
      </c>
      <c r="G11287" s="13">
        <v>8491789.7513</v>
      </c>
      <c r="H11287" s="14">
        <v>14477890117.104406</v>
      </c>
      <c r="I11287" s="14" t="e">
        <f>=Round(326273.52960000,0)</f>
        <v>#VALUE!</v>
      </c>
      <c r="J11287" s="14" t="e">
        <f>=Round(0.00000000,0)</f>
        <v>#VALUE!</v>
      </c>
    </row>
    <row r="11288">
      <c r="A11288" s="11" t="s">
        <v>41</v>
      </c>
      <c r="B11288" s="12">
        <v>1705.306</v>
      </c>
      <c r="C11288" s="12">
        <v>0</v>
      </c>
      <c r="D11288" s="13">
        <v>0</v>
      </c>
      <c r="E11288" s="12">
        <v>0</v>
      </c>
      <c r="F11288" s="14">
        <v>0</v>
      </c>
      <c r="G11288" s="13">
        <v>8491789.7513</v>
      </c>
      <c r="H11288" s="14">
        <v>14481100013.630398</v>
      </c>
      <c r="I11288" s="14" t="e">
        <f>=Round(326345.88380000,0)</f>
        <v>#VALUE!</v>
      </c>
      <c r="J11288" s="14" t="e">
        <f>=Round(0.00000000,0)</f>
        <v>#VALUE!</v>
      </c>
    </row>
    <row r="11289">
      <c r="A11289" s="11" t="s">
        <v>42</v>
      </c>
      <c r="B11289" s="12">
        <v>1705.306</v>
      </c>
      <c r="C11289" s="12">
        <v>0</v>
      </c>
      <c r="D11289" s="13">
        <v>0</v>
      </c>
      <c r="E11289" s="12">
        <v>0</v>
      </c>
      <c r="F11289" s="14">
        <v>0</v>
      </c>
      <c r="G11289" s="13">
        <v>8491789.7513</v>
      </c>
      <c r="H11289" s="14">
        <v>14481100013.630398</v>
      </c>
      <c r="I11289" s="14" t="e">
        <f>=Round(326418.23800000,0)</f>
        <v>#VALUE!</v>
      </c>
      <c r="J11289" s="14" t="e">
        <f>=Round(0.00000000,0)</f>
        <v>#VALUE!</v>
      </c>
    </row>
    <row r="11290">
      <c r="A11290" s="11" t="s">
        <v>43</v>
      </c>
      <c r="B11290" s="12">
        <v>1705.306</v>
      </c>
      <c r="C11290" s="12">
        <v>0</v>
      </c>
      <c r="D11290" s="13">
        <v>0</v>
      </c>
      <c r="E11290" s="12">
        <v>0</v>
      </c>
      <c r="F11290" s="14">
        <v>0</v>
      </c>
      <c r="G11290" s="13">
        <v>8491789.7513</v>
      </c>
      <c r="H11290" s="14">
        <v>14481100013.630398</v>
      </c>
      <c r="I11290" s="14" t="e">
        <f>=Round(326418.23800000,0)</f>
        <v>#VALUE!</v>
      </c>
      <c r="J11290" s="14" t="e">
        <f>=Round(0.00000000,0)</f>
        <v>#VALUE!</v>
      </c>
    </row>
    <row r="11291">
      <c r="A11291" s="11" t="s">
        <v>44</v>
      </c>
      <c r="B11291" s="12">
        <v>1706.447</v>
      </c>
      <c r="C11291" s="12">
        <v>0</v>
      </c>
      <c r="D11291" s="13">
        <v>0</v>
      </c>
      <c r="E11291" s="12">
        <v>0</v>
      </c>
      <c r="F11291" s="14">
        <v>0</v>
      </c>
      <c r="G11291" s="13">
        <v>8491789.7513</v>
      </c>
      <c r="H11291" s="14">
        <v>14490789145.736631</v>
      </c>
      <c r="I11291" s="14" t="e">
        <f>=Round(326418.23800000,0)</f>
        <v>#VALUE!</v>
      </c>
      <c r="J11291" s="14" t="e">
        <f>=Round(0.00000000,0)</f>
        <v>#VALUE!</v>
      </c>
    </row>
    <row r="11292">
      <c r="A11292" s="11" t="s">
        <v>45</v>
      </c>
      <c r="B11292" s="12">
        <v>1706.82</v>
      </c>
      <c r="C11292" s="12">
        <v>0</v>
      </c>
      <c r="D11292" s="13">
        <v>0</v>
      </c>
      <c r="E11292" s="12">
        <v>0</v>
      </c>
      <c r="F11292" s="14">
        <v>0</v>
      </c>
      <c r="G11292" s="13">
        <v>8491789.7513</v>
      </c>
      <c r="H11292" s="14">
        <v>14493956583.313866</v>
      </c>
      <c r="I11292" s="14" t="e">
        <f>=Round(326636.64060000,0)</f>
        <v>#VALUE!</v>
      </c>
      <c r="J11292" s="14" t="e">
        <f>=Round(0.00000000,0)</f>
        <v>#VALUE!</v>
      </c>
    </row>
    <row r="11293">
      <c r="A11293" s="11" t="s">
        <v>46</v>
      </c>
      <c r="B11293" s="12">
        <v>1707.195</v>
      </c>
      <c r="C11293" s="12">
        <v>0</v>
      </c>
      <c r="D11293" s="13">
        <v>0</v>
      </c>
      <c r="E11293" s="12">
        <v>0</v>
      </c>
      <c r="F11293" s="14">
        <v>0</v>
      </c>
      <c r="G11293" s="13">
        <v>8491789.7513</v>
      </c>
      <c r="H11293" s="14">
        <v>14497141004.470604</v>
      </c>
      <c r="I11293" s="14" t="e">
        <f>=Round(326708.03770000,0)</f>
        <v>#VALUE!</v>
      </c>
      <c r="J11293" s="14" t="e">
        <f>=Round(0.00000000,0)</f>
        <v>#VALUE!</v>
      </c>
    </row>
    <row r="11294">
      <c r="A11294" s="11" t="s">
        <v>47</v>
      </c>
      <c r="B11294" s="12">
        <v>1707.57</v>
      </c>
      <c r="C11294" s="12">
        <v>0</v>
      </c>
      <c r="D11294" s="13">
        <v>0</v>
      </c>
      <c r="E11294" s="12">
        <v>0</v>
      </c>
      <c r="F11294" s="14">
        <v>0</v>
      </c>
      <c r="G11294" s="13">
        <v>8491789.7513</v>
      </c>
      <c r="H11294" s="14">
        <v>14500325425.62734</v>
      </c>
      <c r="I11294" s="14" t="e">
        <f>=Round(326779.81770000,0)</f>
        <v>#VALUE!</v>
      </c>
      <c r="J11294" s="14" t="e">
        <f>=Round(0.00000000,0)</f>
        <v>#VALUE!</v>
      </c>
    </row>
    <row r="11295">
      <c r="A11295" s="11" t="s">
        <v>48</v>
      </c>
      <c r="B11295" s="12">
        <v>1707.95</v>
      </c>
      <c r="C11295" s="12">
        <v>0</v>
      </c>
      <c r="D11295" s="13">
        <v>0</v>
      </c>
      <c r="E11295" s="12">
        <v>0</v>
      </c>
      <c r="F11295" s="14">
        <v>0</v>
      </c>
      <c r="G11295" s="13">
        <v>8491789.7513</v>
      </c>
      <c r="H11295" s="14">
        <v>14503552305.732836</v>
      </c>
      <c r="I11295" s="14" t="e">
        <f>=Round(326851.59770000,0)</f>
        <v>#VALUE!</v>
      </c>
      <c r="J11295" s="14" t="e">
        <f>=Round(0.00000000,0)</f>
        <v>#VALUE!</v>
      </c>
    </row>
    <row r="11296">
      <c r="A11296" s="11" t="s">
        <v>49</v>
      </c>
      <c r="B11296" s="12">
        <v>1707.95</v>
      </c>
      <c r="C11296" s="12">
        <v>0</v>
      </c>
      <c r="D11296" s="13">
        <v>0</v>
      </c>
      <c r="E11296" s="12">
        <v>0</v>
      </c>
      <c r="F11296" s="14">
        <v>0</v>
      </c>
      <c r="G11296" s="13">
        <v>8491789.7513</v>
      </c>
      <c r="H11296" s="14">
        <v>14503552305.732836</v>
      </c>
      <c r="I11296" s="14" t="e">
        <f>=Round(326924.33480000,0)</f>
        <v>#VALUE!</v>
      </c>
      <c r="J11296" s="14" t="e">
        <f>=Round(0.00000000,0)</f>
        <v>#VALUE!</v>
      </c>
    </row>
    <row r="11297">
      <c r="A11297" s="11" t="s">
        <v>50</v>
      </c>
      <c r="B11297" s="12">
        <v>1707.95</v>
      </c>
      <c r="C11297" s="12">
        <v>0</v>
      </c>
      <c r="D11297" s="13">
        <v>0</v>
      </c>
      <c r="E11297" s="12">
        <v>0</v>
      </c>
      <c r="F11297" s="14">
        <v>0</v>
      </c>
      <c r="G11297" s="13">
        <v>8491789.7513</v>
      </c>
      <c r="H11297" s="14">
        <v>14503552305.732836</v>
      </c>
      <c r="I11297" s="14" t="e">
        <f>=Round(326924.33480000,0)</f>
        <v>#VALUE!</v>
      </c>
      <c r="J11297" s="14" t="e">
        <f>=Round(0.00000000,0)</f>
        <v>#VALUE!</v>
      </c>
    </row>
    <row r="11298">
      <c r="A11298" s="11" t="s">
        <v>51</v>
      </c>
      <c r="B11298" s="12">
        <v>1709.075</v>
      </c>
      <c r="C11298" s="12">
        <v>0</v>
      </c>
      <c r="D11298" s="13">
        <v>0</v>
      </c>
      <c r="E11298" s="12">
        <v>0</v>
      </c>
      <c r="F11298" s="14">
        <v>0</v>
      </c>
      <c r="G11298" s="13">
        <v>8491789.7513</v>
      </c>
      <c r="H11298" s="14">
        <v>14513105569.203049</v>
      </c>
      <c r="I11298" s="14" t="e">
        <f>=Round(326924.33480000,0)</f>
        <v>#VALUE!</v>
      </c>
      <c r="J11298" s="14" t="e">
        <f>=Round(0.00000000,0)</f>
        <v>#VALUE!</v>
      </c>
    </row>
    <row r="11299">
      <c r="A11299" s="11" t="s">
        <v>52</v>
      </c>
      <c r="B11299" s="12">
        <v>1709.451</v>
      </c>
      <c r="C11299" s="12">
        <v>0</v>
      </c>
      <c r="D11299" s="13">
        <v>0</v>
      </c>
      <c r="E11299" s="12">
        <v>0</v>
      </c>
      <c r="F11299" s="14">
        <v>0</v>
      </c>
      <c r="G11299" s="13">
        <v>8491789.7513</v>
      </c>
      <c r="H11299" s="14">
        <v>14516298482.149536</v>
      </c>
      <c r="I11299" s="14" t="e">
        <f>=Round(327139.67470000,0)</f>
        <v>#VALUE!</v>
      </c>
      <c r="J11299" s="14" t="e">
        <f>=Round(0.00000000,0)</f>
        <v>#VALUE!</v>
      </c>
    </row>
    <row r="11300">
      <c r="A11300" s="11" t="s">
        <v>53</v>
      </c>
      <c r="B11300" s="12">
        <v>1709.826</v>
      </c>
      <c r="C11300" s="12">
        <v>0</v>
      </c>
      <c r="D11300" s="13">
        <v>0</v>
      </c>
      <c r="E11300" s="12">
        <v>0</v>
      </c>
      <c r="F11300" s="14">
        <v>0</v>
      </c>
      <c r="G11300" s="13">
        <v>8491789.7513</v>
      </c>
      <c r="H11300" s="14">
        <v>14519482903.306274</v>
      </c>
      <c r="I11300" s="14" t="e">
        <f>=Round(327211.64610000,0)</f>
        <v>#VALUE!</v>
      </c>
      <c r="J11300" s="14" t="e">
        <f>=Round(0.00000000,0)</f>
        <v>#VALUE!</v>
      </c>
    </row>
    <row r="11301">
      <c r="A11301" s="11" t="s">
        <v>54</v>
      </c>
      <c r="B11301" s="12">
        <v>1710.234</v>
      </c>
      <c r="C11301" s="12">
        <v>0</v>
      </c>
      <c r="D11301" s="13">
        <v>0</v>
      </c>
      <c r="E11301" s="12">
        <v>0</v>
      </c>
      <c r="F11301" s="14">
        <v>0</v>
      </c>
      <c r="G11301" s="13">
        <v>8491789.7513</v>
      </c>
      <c r="H11301" s="14">
        <v>14522947553.524803</v>
      </c>
      <c r="I11301" s="14" t="e">
        <f>=Round(327283.42610000,0)</f>
        <v>#VALUE!</v>
      </c>
      <c r="J11301" s="14" t="e">
        <f>=Round(0.00000000,0)</f>
        <v>#VALUE!</v>
      </c>
    </row>
    <row r="11302">
      <c r="A11302" s="11" t="s">
        <v>55</v>
      </c>
      <c r="B11302" s="12">
        <v>1710.55</v>
      </c>
      <c r="C11302" s="12">
        <v>0</v>
      </c>
      <c r="D11302" s="13">
        <v>0</v>
      </c>
      <c r="E11302" s="12">
        <v>0</v>
      </c>
      <c r="F11302" s="14">
        <v>0</v>
      </c>
      <c r="G11302" s="13">
        <v>8491789.7513</v>
      </c>
      <c r="H11302" s="14">
        <v>14525630959.086216</v>
      </c>
      <c r="I11302" s="14" t="e">
        <f>=Round(327361.52270000,0)</f>
        <v>#VALUE!</v>
      </c>
      <c r="J11302" s="14" t="e">
        <f>=Round(0.00000000,0)</f>
        <v>#VALUE!</v>
      </c>
    </row>
    <row r="11303" ht="-1">
      <c r="A11303" s="15"/>
      <c r="B11303" s="16" t="s">
        <v>56</v>
      </c>
      <c r="C11303" s="15"/>
      <c r="D11303" s="15"/>
      <c r="E11303" s="15"/>
      <c r="F11303" s="15"/>
      <c r="G11303" s="15"/>
      <c r="H11303" s="15"/>
      <c r="I11303" s="17" t="e">
        <f>=Round(SUM(I11277:I11302),0)</f>
        <v>#VALUE!</v>
      </c>
      <c r="J11303" s="17" t="e">
        <f>=Round(SUM(J11277:J11302),0)</f>
        <v>#VALUE!</v>
      </c>
    </row>
    <row r="11304">
      <c r="A11304" s="1" t="s">
        <v>0</v>
      </c>
      <c r="B11304" s="1"/>
      <c r="C11304" s="1"/>
      <c r="D11304" s="1"/>
    </row>
    <row r="11305">
      <c r="A11305" s="0" t="s">
        <v>1</v>
      </c>
      <c r="C11305" s="0" t="s">
        <v>388</v>
      </c>
      <c r="H11305" s="2" t="s">
        <v>3</v>
      </c>
    </row>
    <row r="11306">
      <c r="A11306" s="0" t="s">
        <v>4</v>
      </c>
      <c r="C11306" s="0" t="s">
        <v>390</v>
      </c>
      <c r="H11306" s="3" t="s">
        <v>6</v>
      </c>
    </row>
    <row r="11307">
      <c r="A11307" s="0" t="s">
        <v>7</v>
      </c>
      <c r="C11307" s="4" t="s">
        <v>8</v>
      </c>
      <c r="H11307" s="2" t="s">
        <v>9</v>
      </c>
    </row>
    <row r="11308">
      <c r="A11308" s="0" t="s">
        <v>10</v>
      </c>
      <c r="C11308" s="4" t="s">
        <v>11</v>
      </c>
      <c r="H11308" s="2" t="s">
        <v>12</v>
      </c>
    </row>
    <row r="11309">
      <c r="A11309" s="0" t="s">
        <v>13</v>
      </c>
      <c r="C11309" s="0" t="s">
        <v>14</v>
      </c>
    </row>
    <row r="11310">
      <c r="A11310" s="0" t="s">
        <v>15</v>
      </c>
      <c r="C11310" s="0" t="s">
        <v>16</v>
      </c>
    </row>
    <row r="11311">
      <c r="A11311" s="0" t="s">
        <v>17</v>
      </c>
      <c r="C11311" s="0" t="s">
        <v>18</v>
      </c>
    </row>
    <row r="11314">
      <c r="A11314" s="5" t="s">
        <v>19</v>
      </c>
      <c r="B11314" s="5" t="s">
        <v>20</v>
      </c>
      <c r="C11314" s="7" t="s">
        <v>21</v>
      </c>
      <c r="D11314" s="9"/>
      <c r="E11314" s="7" t="s">
        <v>22</v>
      </c>
      <c r="F11314" s="9"/>
      <c r="G11314" s="5" t="s">
        <v>23</v>
      </c>
      <c r="H11314" s="5" t="s">
        <v>24</v>
      </c>
      <c r="I11314" s="5" t="s">
        <v>25</v>
      </c>
      <c r="J11314" s="5" t="s">
        <v>26</v>
      </c>
    </row>
    <row r="11315">
      <c r="A11315" s="6"/>
      <c r="B11315" s="6"/>
      <c r="C11315" s="8" t="s">
        <v>27</v>
      </c>
      <c r="D11315" s="8" t="s">
        <v>28</v>
      </c>
      <c r="E11315" s="8" t="s">
        <v>27</v>
      </c>
      <c r="F11315" s="8" t="s">
        <v>28</v>
      </c>
      <c r="G11315" s="6"/>
      <c r="H11315" s="6"/>
      <c r="I11315" s="10" t="s">
        <v>29</v>
      </c>
      <c r="J11315" s="6"/>
    </row>
    <row r="11316">
      <c r="A11316" s="11" t="s">
        <v>30</v>
      </c>
      <c r="B11316" s="12">
        <v>1701.229</v>
      </c>
      <c r="C11316" s="12">
        <v>0</v>
      </c>
      <c r="D11316" s="13">
        <v>0</v>
      </c>
      <c r="E11316" s="12">
        <v>0</v>
      </c>
      <c r="F11316" s="14">
        <v>0</v>
      </c>
      <c r="G11316" s="13">
        <v>19603448.721100003</v>
      </c>
      <c r="H11316" s="14">
        <v>33349955464.348232</v>
      </c>
      <c r="I11316" s="14" t="e">
        <f>=Round(751239.26440000,0)</f>
        <v>#VALUE!</v>
      </c>
      <c r="J11316" s="14" t="e">
        <f>=Round(0.00000000,0)</f>
        <v>#VALUE!</v>
      </c>
    </row>
    <row r="11317">
      <c r="A11317" s="11" t="s">
        <v>31</v>
      </c>
      <c r="B11317" s="12">
        <v>1701.603</v>
      </c>
      <c r="C11317" s="12">
        <v>0</v>
      </c>
      <c r="D11317" s="13">
        <v>0</v>
      </c>
      <c r="E11317" s="12">
        <v>0</v>
      </c>
      <c r="F11317" s="14">
        <v>0</v>
      </c>
      <c r="G11317" s="13">
        <v>19603448.721100003</v>
      </c>
      <c r="H11317" s="14">
        <v>33357287154.169926</v>
      </c>
      <c r="I11317" s="14" t="e">
        <f>=Round(751740.79940000,0)</f>
        <v>#VALUE!</v>
      </c>
      <c r="J11317" s="14" t="e">
        <f>=Round(0.00000000,0)</f>
        <v>#VALUE!</v>
      </c>
    </row>
    <row r="11318">
      <c r="A11318" s="11" t="s">
        <v>32</v>
      </c>
      <c r="B11318" s="12">
        <v>1701.949</v>
      </c>
      <c r="C11318" s="12">
        <v>0</v>
      </c>
      <c r="D11318" s="13">
        <v>0</v>
      </c>
      <c r="E11318" s="12">
        <v>0</v>
      </c>
      <c r="F11318" s="14">
        <v>0</v>
      </c>
      <c r="G11318" s="13">
        <v>19603448.721100003</v>
      </c>
      <c r="H11318" s="14">
        <v>33364069947.427425</v>
      </c>
      <c r="I11318" s="14" t="e">
        <f>=Round(751906.06290000,0)</f>
        <v>#VALUE!</v>
      </c>
      <c r="J11318" s="14" t="e">
        <f>=Round(0.00000000,0)</f>
        <v>#VALUE!</v>
      </c>
    </row>
    <row r="11319">
      <c r="A11319" s="11" t="s">
        <v>33</v>
      </c>
      <c r="B11319" s="12">
        <v>1702.322</v>
      </c>
      <c r="C11319" s="12">
        <v>0</v>
      </c>
      <c r="D11319" s="13">
        <v>0</v>
      </c>
      <c r="E11319" s="12">
        <v>0</v>
      </c>
      <c r="F11319" s="14">
        <v>0</v>
      </c>
      <c r="G11319" s="13">
        <v>19603448.721100003</v>
      </c>
      <c r="H11319" s="14">
        <v>33371382033.800392</v>
      </c>
      <c r="I11319" s="14" t="e">
        <f>=Round(752058.95370000,0)</f>
        <v>#VALUE!</v>
      </c>
      <c r="J11319" s="14" t="e">
        <f>=Round(0.00000000,0)</f>
        <v>#VALUE!</v>
      </c>
    </row>
    <row r="11320">
      <c r="A11320" s="11" t="s">
        <v>34</v>
      </c>
      <c r="B11320" s="12">
        <v>1702.696</v>
      </c>
      <c r="C11320" s="12">
        <v>0</v>
      </c>
      <c r="D11320" s="13">
        <v>0</v>
      </c>
      <c r="E11320" s="12">
        <v>0</v>
      </c>
      <c r="F11320" s="14">
        <v>0</v>
      </c>
      <c r="G11320" s="13">
        <v>19603448.721100003</v>
      </c>
      <c r="H11320" s="14">
        <v>33378713723.622089</v>
      </c>
      <c r="I11320" s="14" t="e">
        <f>=Round(752223.77540000,0)</f>
        <v>#VALUE!</v>
      </c>
      <c r="J11320" s="14" t="e">
        <f>=Round(0.00000000,0)</f>
        <v>#VALUE!</v>
      </c>
    </row>
    <row r="11321">
      <c r="A11321" s="11" t="s">
        <v>35</v>
      </c>
      <c r="B11321" s="12">
        <v>1702.696</v>
      </c>
      <c r="C11321" s="12">
        <v>0</v>
      </c>
      <c r="D11321" s="13">
        <v>0</v>
      </c>
      <c r="E11321" s="12">
        <v>0</v>
      </c>
      <c r="F11321" s="14">
        <v>0</v>
      </c>
      <c r="G11321" s="13">
        <v>19603448.721100003</v>
      </c>
      <c r="H11321" s="14">
        <v>33378713723.622089</v>
      </c>
      <c r="I11321" s="14" t="e">
        <f>=Round(752389.03890000,0)</f>
        <v>#VALUE!</v>
      </c>
      <c r="J11321" s="14" t="e">
        <f>=Round(0.00000000,0)</f>
        <v>#VALUE!</v>
      </c>
    </row>
    <row r="11322">
      <c r="A11322" s="11" t="s">
        <v>36</v>
      </c>
      <c r="B11322" s="12">
        <v>1702.696</v>
      </c>
      <c r="C11322" s="12">
        <v>0</v>
      </c>
      <c r="D11322" s="13">
        <v>0</v>
      </c>
      <c r="E11322" s="12">
        <v>0</v>
      </c>
      <c r="F11322" s="14">
        <v>0</v>
      </c>
      <c r="G11322" s="13">
        <v>19603448.721100003</v>
      </c>
      <c r="H11322" s="14">
        <v>33378713723.622089</v>
      </c>
      <c r="I11322" s="14" t="e">
        <f>=Round(752389.03890000,0)</f>
        <v>#VALUE!</v>
      </c>
      <c r="J11322" s="14" t="e">
        <f>=Round(0.00000000,0)</f>
        <v>#VALUE!</v>
      </c>
    </row>
    <row r="11323">
      <c r="A11323" s="11" t="s">
        <v>37</v>
      </c>
      <c r="B11323" s="12">
        <v>1703.818</v>
      </c>
      <c r="C11323" s="12">
        <v>0</v>
      </c>
      <c r="D11323" s="13">
        <v>0</v>
      </c>
      <c r="E11323" s="12">
        <v>0</v>
      </c>
      <c r="F11323" s="14">
        <v>0</v>
      </c>
      <c r="G11323" s="13">
        <v>19603448.721100003</v>
      </c>
      <c r="H11323" s="14">
        <v>33400708793.087158</v>
      </c>
      <c r="I11323" s="14" t="e">
        <f>=Round(752389.03890000,0)</f>
        <v>#VALUE!</v>
      </c>
      <c r="J11323" s="14" t="e">
        <f>=Round(0.00000000,0)</f>
        <v>#VALUE!</v>
      </c>
    </row>
    <row r="11324">
      <c r="A11324" s="11" t="s">
        <v>38</v>
      </c>
      <c r="B11324" s="12">
        <v>1704.192</v>
      </c>
      <c r="C11324" s="12">
        <v>0</v>
      </c>
      <c r="D11324" s="13">
        <v>0</v>
      </c>
      <c r="E11324" s="12">
        <v>0</v>
      </c>
      <c r="F11324" s="14">
        <v>0</v>
      </c>
      <c r="G11324" s="13">
        <v>19603448.721100003</v>
      </c>
      <c r="H11324" s="14">
        <v>33408040482.908852</v>
      </c>
      <c r="I11324" s="14" t="e">
        <f>=Round(752884.82940000,0)</f>
        <v>#VALUE!</v>
      </c>
      <c r="J11324" s="14" t="e">
        <f>=Round(0.00000000,0)</f>
        <v>#VALUE!</v>
      </c>
    </row>
    <row r="11325">
      <c r="A11325" s="11" t="s">
        <v>39</v>
      </c>
      <c r="B11325" s="12">
        <v>1704.55</v>
      </c>
      <c r="C11325" s="12">
        <v>0</v>
      </c>
      <c r="D11325" s="13">
        <v>0</v>
      </c>
      <c r="E11325" s="12">
        <v>0</v>
      </c>
      <c r="F11325" s="14">
        <v>0</v>
      </c>
      <c r="G11325" s="13">
        <v>19603448.721100003</v>
      </c>
      <c r="H11325" s="14">
        <v>33415058517.551003</v>
      </c>
      <c r="I11325" s="14" t="e">
        <f>=Round(753050.09290000,0)</f>
        <v>#VALUE!</v>
      </c>
      <c r="J11325" s="14" t="e">
        <f>=Round(0.00000000,0)</f>
        <v>#VALUE!</v>
      </c>
    </row>
    <row r="11326">
      <c r="A11326" s="11" t="s">
        <v>40</v>
      </c>
      <c r="B11326" s="12">
        <v>1704.928</v>
      </c>
      <c r="C11326" s="12">
        <v>0</v>
      </c>
      <c r="D11326" s="13">
        <v>0</v>
      </c>
      <c r="E11326" s="12">
        <v>0</v>
      </c>
      <c r="F11326" s="14">
        <v>0</v>
      </c>
      <c r="G11326" s="13">
        <v>19603448.721100003</v>
      </c>
      <c r="H11326" s="14">
        <v>33422468621.16758</v>
      </c>
      <c r="I11326" s="14" t="e">
        <f>=Round(753208.28630000,0)</f>
        <v>#VALUE!</v>
      </c>
      <c r="J11326" s="14" t="e">
        <f>=Round(0.00000000,0)</f>
        <v>#VALUE!</v>
      </c>
    </row>
    <row r="11327">
      <c r="A11327" s="11" t="s">
        <v>41</v>
      </c>
      <c r="B11327" s="12">
        <v>1705.306</v>
      </c>
      <c r="C11327" s="12">
        <v>0</v>
      </c>
      <c r="D11327" s="13">
        <v>0</v>
      </c>
      <c r="E11327" s="12">
        <v>0</v>
      </c>
      <c r="F11327" s="14">
        <v>0</v>
      </c>
      <c r="G11327" s="13">
        <v>19603448.721100003</v>
      </c>
      <c r="H11327" s="14">
        <v>33429878724.784157</v>
      </c>
      <c r="I11327" s="14" t="e">
        <f>=Round(753375.31730000,0)</f>
        <v>#VALUE!</v>
      </c>
      <c r="J11327" s="14" t="e">
        <f>=Round(0.00000000,0)</f>
        <v>#VALUE!</v>
      </c>
    </row>
    <row r="11328">
      <c r="A11328" s="11" t="s">
        <v>42</v>
      </c>
      <c r="B11328" s="12">
        <v>1705.306</v>
      </c>
      <c r="C11328" s="12">
        <v>0</v>
      </c>
      <c r="D11328" s="13">
        <v>0</v>
      </c>
      <c r="E11328" s="12">
        <v>0</v>
      </c>
      <c r="F11328" s="14">
        <v>0</v>
      </c>
      <c r="G11328" s="13">
        <v>19603448.721100003</v>
      </c>
      <c r="H11328" s="14">
        <v>33429878724.784157</v>
      </c>
      <c r="I11328" s="14" t="e">
        <f>=Round(753542.34830000,0)</f>
        <v>#VALUE!</v>
      </c>
      <c r="J11328" s="14" t="e">
        <f>=Round(0.00000000,0)</f>
        <v>#VALUE!</v>
      </c>
    </row>
    <row r="11329">
      <c r="A11329" s="11" t="s">
        <v>43</v>
      </c>
      <c r="B11329" s="12">
        <v>1705.306</v>
      </c>
      <c r="C11329" s="12">
        <v>0</v>
      </c>
      <c r="D11329" s="13">
        <v>0</v>
      </c>
      <c r="E11329" s="12">
        <v>0</v>
      </c>
      <c r="F11329" s="14">
        <v>0</v>
      </c>
      <c r="G11329" s="13">
        <v>19603448.721100003</v>
      </c>
      <c r="H11329" s="14">
        <v>33429878724.784157</v>
      </c>
      <c r="I11329" s="14" t="e">
        <f>=Round(753542.34830000,0)</f>
        <v>#VALUE!</v>
      </c>
      <c r="J11329" s="14" t="e">
        <f>=Round(0.00000000,0)</f>
        <v>#VALUE!</v>
      </c>
    </row>
    <row r="11330">
      <c r="A11330" s="11" t="s">
        <v>44</v>
      </c>
      <c r="B11330" s="12">
        <v>1706.447</v>
      </c>
      <c r="C11330" s="12">
        <v>0</v>
      </c>
      <c r="D11330" s="13">
        <v>0</v>
      </c>
      <c r="E11330" s="12">
        <v>0</v>
      </c>
      <c r="F11330" s="14">
        <v>0</v>
      </c>
      <c r="G11330" s="13">
        <v>19603448.721100003</v>
      </c>
      <c r="H11330" s="14">
        <v>33452246259.774933</v>
      </c>
      <c r="I11330" s="14" t="e">
        <f>=Round(753542.34830000,0)</f>
        <v>#VALUE!</v>
      </c>
      <c r="J11330" s="14" t="e">
        <f>=Round(0.00000000,0)</f>
        <v>#VALUE!</v>
      </c>
    </row>
    <row r="11331">
      <c r="A11331" s="11" t="s">
        <v>45</v>
      </c>
      <c r="B11331" s="12">
        <v>1706.82</v>
      </c>
      <c r="C11331" s="12">
        <v>0</v>
      </c>
      <c r="D11331" s="13">
        <v>0</v>
      </c>
      <c r="E11331" s="12">
        <v>0</v>
      </c>
      <c r="F11331" s="14">
        <v>0</v>
      </c>
      <c r="G11331" s="13">
        <v>19603448.721100003</v>
      </c>
      <c r="H11331" s="14">
        <v>33459558346.147903</v>
      </c>
      <c r="I11331" s="14" t="e">
        <f>=Round(754046.53450000,0)</f>
        <v>#VALUE!</v>
      </c>
      <c r="J11331" s="14" t="e">
        <f>=Round(0.00000000,0)</f>
        <v>#VALUE!</v>
      </c>
    </row>
    <row r="11332">
      <c r="A11332" s="11" t="s">
        <v>46</v>
      </c>
      <c r="B11332" s="12">
        <v>1707.195</v>
      </c>
      <c r="C11332" s="12">
        <v>0</v>
      </c>
      <c r="D11332" s="13">
        <v>0</v>
      </c>
      <c r="E11332" s="12">
        <v>0</v>
      </c>
      <c r="F11332" s="14">
        <v>0</v>
      </c>
      <c r="G11332" s="13">
        <v>19603448.721100003</v>
      </c>
      <c r="H11332" s="14">
        <v>33466909639.418316</v>
      </c>
      <c r="I11332" s="14" t="e">
        <f>=Round(754211.35620000,0)</f>
        <v>#VALUE!</v>
      </c>
      <c r="J11332" s="14" t="e">
        <f>=Round(0.00000000,0)</f>
        <v>#VALUE!</v>
      </c>
    </row>
    <row r="11333">
      <c r="A11333" s="11" t="s">
        <v>47</v>
      </c>
      <c r="B11333" s="12">
        <v>1707.57</v>
      </c>
      <c r="C11333" s="12">
        <v>0</v>
      </c>
      <c r="D11333" s="13">
        <v>0</v>
      </c>
      <c r="E11333" s="12">
        <v>0</v>
      </c>
      <c r="F11333" s="14">
        <v>0</v>
      </c>
      <c r="G11333" s="13">
        <v>19603448.721100003</v>
      </c>
      <c r="H11333" s="14">
        <v>33474260932.688728</v>
      </c>
      <c r="I11333" s="14" t="e">
        <f>=Round(754377.06150000,0)</f>
        <v>#VALUE!</v>
      </c>
      <c r="J11333" s="14" t="e">
        <f>=Round(0.00000000,0)</f>
        <v>#VALUE!</v>
      </c>
    </row>
    <row r="11334">
      <c r="A11334" s="11" t="s">
        <v>48</v>
      </c>
      <c r="B11334" s="12">
        <v>1707.95</v>
      </c>
      <c r="C11334" s="12">
        <v>0</v>
      </c>
      <c r="D11334" s="13">
        <v>0</v>
      </c>
      <c r="E11334" s="12">
        <v>0</v>
      </c>
      <c r="F11334" s="14">
        <v>0</v>
      </c>
      <c r="G11334" s="13">
        <v>19603448.721100003</v>
      </c>
      <c r="H11334" s="14">
        <v>33481710243.202744</v>
      </c>
      <c r="I11334" s="14" t="e">
        <f>=Round(754542.76690000,0)</f>
        <v>#VALUE!</v>
      </c>
      <c r="J11334" s="14" t="e">
        <f>=Round(0.00000000,0)</f>
        <v>#VALUE!</v>
      </c>
    </row>
    <row r="11335">
      <c r="A11335" s="11" t="s">
        <v>49</v>
      </c>
      <c r="B11335" s="12">
        <v>1707.95</v>
      </c>
      <c r="C11335" s="12">
        <v>0</v>
      </c>
      <c r="D11335" s="13">
        <v>0</v>
      </c>
      <c r="E11335" s="12">
        <v>0</v>
      </c>
      <c r="F11335" s="14">
        <v>0</v>
      </c>
      <c r="G11335" s="13">
        <v>19603448.721100003</v>
      </c>
      <c r="H11335" s="14">
        <v>33481710243.202744</v>
      </c>
      <c r="I11335" s="14" t="e">
        <f>=Round(754710.68170000,0)</f>
        <v>#VALUE!</v>
      </c>
      <c r="J11335" s="14" t="e">
        <f>=Round(0.00000000,0)</f>
        <v>#VALUE!</v>
      </c>
    </row>
    <row r="11336">
      <c r="A11336" s="11" t="s">
        <v>50</v>
      </c>
      <c r="B11336" s="12">
        <v>1707.95</v>
      </c>
      <c r="C11336" s="12">
        <v>0</v>
      </c>
      <c r="D11336" s="13">
        <v>0</v>
      </c>
      <c r="E11336" s="12">
        <v>0</v>
      </c>
      <c r="F11336" s="14">
        <v>0</v>
      </c>
      <c r="G11336" s="13">
        <v>19603448.721100003</v>
      </c>
      <c r="H11336" s="14">
        <v>33481710243.202744</v>
      </c>
      <c r="I11336" s="14" t="e">
        <f>=Round(754710.68170000,0)</f>
        <v>#VALUE!</v>
      </c>
      <c r="J11336" s="14" t="e">
        <f>=Round(0.00000000,0)</f>
        <v>#VALUE!</v>
      </c>
    </row>
    <row r="11337">
      <c r="A11337" s="11" t="s">
        <v>51</v>
      </c>
      <c r="B11337" s="12">
        <v>1709.075</v>
      </c>
      <c r="C11337" s="12">
        <v>0</v>
      </c>
      <c r="D11337" s="13">
        <v>0</v>
      </c>
      <c r="E11337" s="12">
        <v>0</v>
      </c>
      <c r="F11337" s="14">
        <v>0</v>
      </c>
      <c r="G11337" s="13">
        <v>19603448.721100003</v>
      </c>
      <c r="H11337" s="14">
        <v>33503764123.013985</v>
      </c>
      <c r="I11337" s="14" t="e">
        <f>=Round(754710.68170000,0)</f>
        <v>#VALUE!</v>
      </c>
      <c r="J11337" s="14" t="e">
        <f>=Round(0.00000000,0)</f>
        <v>#VALUE!</v>
      </c>
    </row>
    <row r="11338">
      <c r="A11338" s="11" t="s">
        <v>52</v>
      </c>
      <c r="B11338" s="12">
        <v>1709.451</v>
      </c>
      <c r="C11338" s="12">
        <v>0</v>
      </c>
      <c r="D11338" s="13">
        <v>0</v>
      </c>
      <c r="E11338" s="12">
        <v>0</v>
      </c>
      <c r="F11338" s="14">
        <v>0</v>
      </c>
      <c r="G11338" s="13">
        <v>19603448.721100003</v>
      </c>
      <c r="H11338" s="14">
        <v>33511135019.733116</v>
      </c>
      <c r="I11338" s="14" t="e">
        <f>=Round(755207.79790000,0)</f>
        <v>#VALUE!</v>
      </c>
      <c r="J11338" s="14" t="e">
        <f>=Round(0.00000000,0)</f>
        <v>#VALUE!</v>
      </c>
    </row>
    <row r="11339">
      <c r="A11339" s="11" t="s">
        <v>53</v>
      </c>
      <c r="B11339" s="12">
        <v>1709.826</v>
      </c>
      <c r="C11339" s="12">
        <v>0</v>
      </c>
      <c r="D11339" s="13">
        <v>0</v>
      </c>
      <c r="E11339" s="12">
        <v>0</v>
      </c>
      <c r="F11339" s="14">
        <v>0</v>
      </c>
      <c r="G11339" s="13">
        <v>19603448.721100003</v>
      </c>
      <c r="H11339" s="14">
        <v>33518486313.003529</v>
      </c>
      <c r="I11339" s="14" t="e">
        <f>=Round(755373.94510000,0)</f>
        <v>#VALUE!</v>
      </c>
      <c r="J11339" s="14" t="e">
        <f>=Round(0.00000000,0)</f>
        <v>#VALUE!</v>
      </c>
    </row>
    <row r="11340">
      <c r="A11340" s="11" t="s">
        <v>54</v>
      </c>
      <c r="B11340" s="12">
        <v>1710.234</v>
      </c>
      <c r="C11340" s="12">
        <v>0</v>
      </c>
      <c r="D11340" s="13">
        <v>0</v>
      </c>
      <c r="E11340" s="12">
        <v>0</v>
      </c>
      <c r="F11340" s="14">
        <v>0</v>
      </c>
      <c r="G11340" s="13">
        <v>19603448.721100003</v>
      </c>
      <c r="H11340" s="14">
        <v>33526484520.081738</v>
      </c>
      <c r="I11340" s="14" t="e">
        <f>=Round(755539.65050000,0)</f>
        <v>#VALUE!</v>
      </c>
      <c r="J11340" s="14" t="e">
        <f>=Round(0.00000000,0)</f>
        <v>#VALUE!</v>
      </c>
    </row>
    <row r="11341">
      <c r="A11341" s="11" t="s">
        <v>55</v>
      </c>
      <c r="B11341" s="12">
        <v>1710.55</v>
      </c>
      <c r="C11341" s="12">
        <v>0</v>
      </c>
      <c r="D11341" s="13">
        <v>0</v>
      </c>
      <c r="E11341" s="12">
        <v>0</v>
      </c>
      <c r="F11341" s="14">
        <v>0</v>
      </c>
      <c r="G11341" s="13">
        <v>19603448.721100003</v>
      </c>
      <c r="H11341" s="14">
        <v>33532679209.877605</v>
      </c>
      <c r="I11341" s="14" t="e">
        <f>=Round(755719.93800000,0)</f>
        <v>#VALUE!</v>
      </c>
      <c r="J11341" s="14" t="e">
        <f>=Round(0.00000000,0)</f>
        <v>#VALUE!</v>
      </c>
    </row>
    <row r="11342" ht="-1">
      <c r="A11342" s="15"/>
      <c r="B11342" s="16" t="s">
        <v>56</v>
      </c>
      <c r="C11342" s="15"/>
      <c r="D11342" s="15"/>
      <c r="E11342" s="15"/>
      <c r="F11342" s="15"/>
      <c r="G11342" s="15"/>
      <c r="H11342" s="15"/>
      <c r="I11342" s="17" t="e">
        <f>=Round(SUM(I11316:I11341),0)</f>
        <v>#VALUE!</v>
      </c>
      <c r="J11342" s="17" t="e">
        <f>=Round(SUM(J11316:J11341),0)</f>
        <v>#VALUE!</v>
      </c>
    </row>
    <row r="11343">
      <c r="A11343" s="1" t="s">
        <v>0</v>
      </c>
      <c r="B11343" s="1"/>
      <c r="C11343" s="1"/>
      <c r="D11343" s="1"/>
    </row>
    <row r="11344">
      <c r="A11344" s="0" t="s">
        <v>1</v>
      </c>
      <c r="C11344" s="0" t="s">
        <v>388</v>
      </c>
      <c r="H11344" s="2" t="s">
        <v>3</v>
      </c>
    </row>
    <row r="11345">
      <c r="A11345" s="0" t="s">
        <v>4</v>
      </c>
      <c r="C11345" s="0" t="s">
        <v>391</v>
      </c>
      <c r="H11345" s="3" t="s">
        <v>6</v>
      </c>
    </row>
    <row r="11346">
      <c r="A11346" s="0" t="s">
        <v>7</v>
      </c>
      <c r="C11346" s="4" t="s">
        <v>8</v>
      </c>
      <c r="H11346" s="2" t="s">
        <v>9</v>
      </c>
    </row>
    <row r="11347">
      <c r="A11347" s="0" t="s">
        <v>10</v>
      </c>
      <c r="C11347" s="4" t="s">
        <v>11</v>
      </c>
      <c r="H11347" s="2" t="s">
        <v>12</v>
      </c>
    </row>
    <row r="11348">
      <c r="A11348" s="0" t="s">
        <v>13</v>
      </c>
      <c r="C11348" s="0" t="s">
        <v>14</v>
      </c>
    </row>
    <row r="11349">
      <c r="A11349" s="0" t="s">
        <v>15</v>
      </c>
      <c r="C11349" s="0" t="s">
        <v>16</v>
      </c>
    </row>
    <row r="11350">
      <c r="A11350" s="0" t="s">
        <v>17</v>
      </c>
      <c r="C11350" s="0" t="s">
        <v>18</v>
      </c>
    </row>
    <row r="11353">
      <c r="A11353" s="5" t="s">
        <v>19</v>
      </c>
      <c r="B11353" s="5" t="s">
        <v>20</v>
      </c>
      <c r="C11353" s="7" t="s">
        <v>21</v>
      </c>
      <c r="D11353" s="9"/>
      <c r="E11353" s="7" t="s">
        <v>22</v>
      </c>
      <c r="F11353" s="9"/>
      <c r="G11353" s="5" t="s">
        <v>23</v>
      </c>
      <c r="H11353" s="5" t="s">
        <v>24</v>
      </c>
      <c r="I11353" s="5" t="s">
        <v>25</v>
      </c>
      <c r="J11353" s="5" t="s">
        <v>26</v>
      </c>
    </row>
    <row r="11354">
      <c r="A11354" s="6"/>
      <c r="B11354" s="6"/>
      <c r="C11354" s="8" t="s">
        <v>27</v>
      </c>
      <c r="D11354" s="8" t="s">
        <v>28</v>
      </c>
      <c r="E11354" s="8" t="s">
        <v>27</v>
      </c>
      <c r="F11354" s="8" t="s">
        <v>28</v>
      </c>
      <c r="G11354" s="6"/>
      <c r="H11354" s="6"/>
      <c r="I11354" s="10" t="s">
        <v>29</v>
      </c>
      <c r="J11354" s="6"/>
    </row>
    <row r="11355">
      <c r="A11355" s="11" t="s">
        <v>30</v>
      </c>
      <c r="B11355" s="12">
        <v>1701.229</v>
      </c>
      <c r="C11355" s="12">
        <v>0</v>
      </c>
      <c r="D11355" s="13">
        <v>0</v>
      </c>
      <c r="E11355" s="12">
        <v>0</v>
      </c>
      <c r="F11355" s="14">
        <v>0</v>
      </c>
      <c r="G11355" s="13">
        <v>1255783.1673</v>
      </c>
      <c r="H11355" s="14">
        <v>2136374741.922612</v>
      </c>
      <c r="I11355" s="14" t="e">
        <f>=Round(48123.86010000,0)</f>
        <v>#VALUE!</v>
      </c>
      <c r="J11355" s="14" t="e">
        <f>=Round(0.00000000,0)</f>
        <v>#VALUE!</v>
      </c>
    </row>
    <row r="11356">
      <c r="A11356" s="11" t="s">
        <v>31</v>
      </c>
      <c r="B11356" s="12">
        <v>1701.603</v>
      </c>
      <c r="C11356" s="12">
        <v>0</v>
      </c>
      <c r="D11356" s="13">
        <v>0</v>
      </c>
      <c r="E11356" s="12">
        <v>0</v>
      </c>
      <c r="F11356" s="14">
        <v>0</v>
      </c>
      <c r="G11356" s="13">
        <v>1255783.1673</v>
      </c>
      <c r="H11356" s="14">
        <v>2136844404.8271821</v>
      </c>
      <c r="I11356" s="14" t="e">
        <f>=Round(48155.98800000,0)</f>
        <v>#VALUE!</v>
      </c>
      <c r="J11356" s="14" t="e">
        <f>=Round(0.00000000,0)</f>
        <v>#VALUE!</v>
      </c>
    </row>
    <row r="11357">
      <c r="A11357" s="11" t="s">
        <v>32</v>
      </c>
      <c r="B11357" s="12">
        <v>1701.949</v>
      </c>
      <c r="C11357" s="12">
        <v>0</v>
      </c>
      <c r="D11357" s="13">
        <v>0</v>
      </c>
      <c r="E11357" s="12">
        <v>0</v>
      </c>
      <c r="F11357" s="14">
        <v>0</v>
      </c>
      <c r="G11357" s="13">
        <v>1255783.1673</v>
      </c>
      <c r="H11357" s="14">
        <v>2137278905.8030679</v>
      </c>
      <c r="I11357" s="14" t="e">
        <f>=Round(48166.57470000,0)</f>
        <v>#VALUE!</v>
      </c>
      <c r="J11357" s="14" t="e">
        <f>=Round(0.00000000,0)</f>
        <v>#VALUE!</v>
      </c>
    </row>
    <row r="11358">
      <c r="A11358" s="11" t="s">
        <v>33</v>
      </c>
      <c r="B11358" s="12">
        <v>1702.322</v>
      </c>
      <c r="C11358" s="12">
        <v>0</v>
      </c>
      <c r="D11358" s="13">
        <v>0</v>
      </c>
      <c r="E11358" s="12">
        <v>0</v>
      </c>
      <c r="F11358" s="14">
        <v>0</v>
      </c>
      <c r="G11358" s="13">
        <v>1255783.1673</v>
      </c>
      <c r="H11358" s="14">
        <v>2137747312.9244709</v>
      </c>
      <c r="I11358" s="14" t="e">
        <f>=Round(48176.36880000,0)</f>
        <v>#VALUE!</v>
      </c>
      <c r="J11358" s="14" t="e">
        <f>=Round(0.00000000,0)</f>
        <v>#VALUE!</v>
      </c>
    </row>
    <row r="11359">
      <c r="A11359" s="11" t="s">
        <v>34</v>
      </c>
      <c r="B11359" s="12">
        <v>1702.696</v>
      </c>
      <c r="C11359" s="12">
        <v>0</v>
      </c>
      <c r="D11359" s="13">
        <v>0</v>
      </c>
      <c r="E11359" s="12">
        <v>0</v>
      </c>
      <c r="F11359" s="14">
        <v>0</v>
      </c>
      <c r="G11359" s="13">
        <v>1255783.1673</v>
      </c>
      <c r="H11359" s="14">
        <v>2138216975.829041</v>
      </c>
      <c r="I11359" s="14" t="e">
        <f>=Round(48186.92710000,0)</f>
        <v>#VALUE!</v>
      </c>
      <c r="J11359" s="14" t="e">
        <f>=Round(0.00000000,0)</f>
        <v>#VALUE!</v>
      </c>
    </row>
    <row r="11360">
      <c r="A11360" s="11" t="s">
        <v>35</v>
      </c>
      <c r="B11360" s="12">
        <v>1702.696</v>
      </c>
      <c r="C11360" s="12">
        <v>0</v>
      </c>
      <c r="D11360" s="13">
        <v>0</v>
      </c>
      <c r="E11360" s="12">
        <v>0</v>
      </c>
      <c r="F11360" s="14">
        <v>0</v>
      </c>
      <c r="G11360" s="13">
        <v>1255783.1673</v>
      </c>
      <c r="H11360" s="14">
        <v>2138216975.829041</v>
      </c>
      <c r="I11360" s="14" t="e">
        <f>=Round(48197.51380000,0)</f>
        <v>#VALUE!</v>
      </c>
      <c r="J11360" s="14" t="e">
        <f>=Round(0.00000000,0)</f>
        <v>#VALUE!</v>
      </c>
    </row>
    <row r="11361">
      <c r="A11361" s="11" t="s">
        <v>36</v>
      </c>
      <c r="B11361" s="12">
        <v>1702.696</v>
      </c>
      <c r="C11361" s="12">
        <v>0</v>
      </c>
      <c r="D11361" s="13">
        <v>0</v>
      </c>
      <c r="E11361" s="12">
        <v>0</v>
      </c>
      <c r="F11361" s="14">
        <v>0</v>
      </c>
      <c r="G11361" s="13">
        <v>1255783.1673</v>
      </c>
      <c r="H11361" s="14">
        <v>2138216975.829041</v>
      </c>
      <c r="I11361" s="14" t="e">
        <f>=Round(48197.51380000,0)</f>
        <v>#VALUE!</v>
      </c>
      <c r="J11361" s="14" t="e">
        <f>=Round(0.00000000,0)</f>
        <v>#VALUE!</v>
      </c>
    </row>
    <row r="11362">
      <c r="A11362" s="11" t="s">
        <v>37</v>
      </c>
      <c r="B11362" s="12">
        <v>1703.818</v>
      </c>
      <c r="C11362" s="12">
        <v>0</v>
      </c>
      <c r="D11362" s="13">
        <v>0</v>
      </c>
      <c r="E11362" s="12">
        <v>0</v>
      </c>
      <c r="F11362" s="14">
        <v>0</v>
      </c>
      <c r="G11362" s="13">
        <v>1255783.1673</v>
      </c>
      <c r="H11362" s="14">
        <v>2139625964.5427511</v>
      </c>
      <c r="I11362" s="14" t="e">
        <f>=Round(48197.51380000,0)</f>
        <v>#VALUE!</v>
      </c>
      <c r="J11362" s="14" t="e">
        <f>=Round(0.00000000,0)</f>
        <v>#VALUE!</v>
      </c>
    </row>
    <row r="11363">
      <c r="A11363" s="11" t="s">
        <v>38</v>
      </c>
      <c r="B11363" s="12">
        <v>1704.192</v>
      </c>
      <c r="C11363" s="12">
        <v>0</v>
      </c>
      <c r="D11363" s="13">
        <v>0</v>
      </c>
      <c r="E11363" s="12">
        <v>0</v>
      </c>
      <c r="F11363" s="14">
        <v>0</v>
      </c>
      <c r="G11363" s="13">
        <v>1255783.1673</v>
      </c>
      <c r="H11363" s="14">
        <v>2140095627.4473219</v>
      </c>
      <c r="I11363" s="14" t="e">
        <f>=Round(48229.27380000,0)</f>
        <v>#VALUE!</v>
      </c>
      <c r="J11363" s="14" t="e">
        <f>=Round(0.00000000,0)</f>
        <v>#VALUE!</v>
      </c>
    </row>
    <row r="11364">
      <c r="A11364" s="11" t="s">
        <v>39</v>
      </c>
      <c r="B11364" s="12">
        <v>1704.55</v>
      </c>
      <c r="C11364" s="12">
        <v>0</v>
      </c>
      <c r="D11364" s="13">
        <v>0</v>
      </c>
      <c r="E11364" s="12">
        <v>0</v>
      </c>
      <c r="F11364" s="14">
        <v>0</v>
      </c>
      <c r="G11364" s="13">
        <v>1255783.1673</v>
      </c>
      <c r="H11364" s="14">
        <v>2140545197.8212149</v>
      </c>
      <c r="I11364" s="14" t="e">
        <f>=Round(48239.86050000,0)</f>
        <v>#VALUE!</v>
      </c>
      <c r="J11364" s="14" t="e">
        <f>=Round(0.00000000,0)</f>
        <v>#VALUE!</v>
      </c>
    </row>
    <row r="11365">
      <c r="A11365" s="11" t="s">
        <v>40</v>
      </c>
      <c r="B11365" s="12">
        <v>1704.928</v>
      </c>
      <c r="C11365" s="12">
        <v>0</v>
      </c>
      <c r="D11365" s="13">
        <v>0</v>
      </c>
      <c r="E11365" s="12">
        <v>0</v>
      </c>
      <c r="F11365" s="14">
        <v>0</v>
      </c>
      <c r="G11365" s="13">
        <v>1255783.1673</v>
      </c>
      <c r="H11365" s="14">
        <v>2141019883.858454</v>
      </c>
      <c r="I11365" s="14" t="e">
        <f>=Round(48249.99420000,0)</f>
        <v>#VALUE!</v>
      </c>
      <c r="J11365" s="14" t="e">
        <f>=Round(0.00000000,0)</f>
        <v>#VALUE!</v>
      </c>
    </row>
    <row r="11366">
      <c r="A11366" s="11" t="s">
        <v>41</v>
      </c>
      <c r="B11366" s="12">
        <v>1705.306</v>
      </c>
      <c r="C11366" s="12">
        <v>0</v>
      </c>
      <c r="D11366" s="13">
        <v>0</v>
      </c>
      <c r="E11366" s="12">
        <v>0</v>
      </c>
      <c r="F11366" s="14">
        <v>0</v>
      </c>
      <c r="G11366" s="13">
        <v>1255783.1673</v>
      </c>
      <c r="H11366" s="14">
        <v>2141494569.895694</v>
      </c>
      <c r="I11366" s="14" t="e">
        <f>=Round(48260.69410000,0)</f>
        <v>#VALUE!</v>
      </c>
      <c r="J11366" s="14" t="e">
        <f>=Round(0.00000000,0)</f>
        <v>#VALUE!</v>
      </c>
    </row>
    <row r="11367">
      <c r="A11367" s="11" t="s">
        <v>42</v>
      </c>
      <c r="B11367" s="12">
        <v>1705.306</v>
      </c>
      <c r="C11367" s="12">
        <v>0</v>
      </c>
      <c r="D11367" s="13">
        <v>0</v>
      </c>
      <c r="E11367" s="12">
        <v>0</v>
      </c>
      <c r="F11367" s="14">
        <v>0</v>
      </c>
      <c r="G11367" s="13">
        <v>1255783.1673</v>
      </c>
      <c r="H11367" s="14">
        <v>2141494569.895694</v>
      </c>
      <c r="I11367" s="14" t="e">
        <f>=Round(48271.39400000,0)</f>
        <v>#VALUE!</v>
      </c>
      <c r="J11367" s="14" t="e">
        <f>=Round(0.00000000,0)</f>
        <v>#VALUE!</v>
      </c>
    </row>
    <row r="11368">
      <c r="A11368" s="11" t="s">
        <v>43</v>
      </c>
      <c r="B11368" s="12">
        <v>1705.306</v>
      </c>
      <c r="C11368" s="12">
        <v>0</v>
      </c>
      <c r="D11368" s="13">
        <v>0</v>
      </c>
      <c r="E11368" s="12">
        <v>0</v>
      </c>
      <c r="F11368" s="14">
        <v>0</v>
      </c>
      <c r="G11368" s="13">
        <v>1255783.1673</v>
      </c>
      <c r="H11368" s="14">
        <v>2141494569.895694</v>
      </c>
      <c r="I11368" s="14" t="e">
        <f>=Round(48271.39400000,0)</f>
        <v>#VALUE!</v>
      </c>
      <c r="J11368" s="14" t="e">
        <f>=Round(0.00000000,0)</f>
        <v>#VALUE!</v>
      </c>
    </row>
    <row r="11369">
      <c r="A11369" s="11" t="s">
        <v>44</v>
      </c>
      <c r="B11369" s="12">
        <v>1706.447</v>
      </c>
      <c r="C11369" s="12">
        <v>0</v>
      </c>
      <c r="D11369" s="13">
        <v>0</v>
      </c>
      <c r="E11369" s="12">
        <v>0</v>
      </c>
      <c r="F11369" s="14">
        <v>0</v>
      </c>
      <c r="G11369" s="13">
        <v>1255783.1673</v>
      </c>
      <c r="H11369" s="14">
        <v>2142927418.489583</v>
      </c>
      <c r="I11369" s="14" t="e">
        <f>=Round(48271.39400000,0)</f>
        <v>#VALUE!</v>
      </c>
      <c r="J11369" s="14" t="e">
        <f>=Round(0.00000000,0)</f>
        <v>#VALUE!</v>
      </c>
    </row>
    <row r="11370">
      <c r="A11370" s="11" t="s">
        <v>45</v>
      </c>
      <c r="B11370" s="12">
        <v>1706.82</v>
      </c>
      <c r="C11370" s="12">
        <v>0</v>
      </c>
      <c r="D11370" s="13">
        <v>0</v>
      </c>
      <c r="E11370" s="12">
        <v>0</v>
      </c>
      <c r="F11370" s="14">
        <v>0</v>
      </c>
      <c r="G11370" s="13">
        <v>1255783.1673</v>
      </c>
      <c r="H11370" s="14">
        <v>2143395825.610986</v>
      </c>
      <c r="I11370" s="14" t="e">
        <f>=Round(48303.69180000,0)</f>
        <v>#VALUE!</v>
      </c>
      <c r="J11370" s="14" t="e">
        <f>=Round(0.00000000,0)</f>
        <v>#VALUE!</v>
      </c>
    </row>
    <row r="11371">
      <c r="A11371" s="11" t="s">
        <v>46</v>
      </c>
      <c r="B11371" s="12">
        <v>1707.195</v>
      </c>
      <c r="C11371" s="12">
        <v>0</v>
      </c>
      <c r="D11371" s="13">
        <v>0</v>
      </c>
      <c r="E11371" s="12">
        <v>0</v>
      </c>
      <c r="F11371" s="14">
        <v>0</v>
      </c>
      <c r="G11371" s="13">
        <v>1255783.1673</v>
      </c>
      <c r="H11371" s="14">
        <v>2143866744.2987239</v>
      </c>
      <c r="I11371" s="14" t="e">
        <f>=Round(48314.25020000,0)</f>
        <v>#VALUE!</v>
      </c>
      <c r="J11371" s="14" t="e">
        <f>=Round(0.00000000,0)</f>
        <v>#VALUE!</v>
      </c>
    </row>
    <row r="11372">
      <c r="A11372" s="11" t="s">
        <v>47</v>
      </c>
      <c r="B11372" s="12">
        <v>1707.57</v>
      </c>
      <c r="C11372" s="12">
        <v>0</v>
      </c>
      <c r="D11372" s="13">
        <v>0</v>
      </c>
      <c r="E11372" s="12">
        <v>0</v>
      </c>
      <c r="F11372" s="14">
        <v>0</v>
      </c>
      <c r="G11372" s="13">
        <v>1255783.1673</v>
      </c>
      <c r="H11372" s="14">
        <v>2144337662.9864609</v>
      </c>
      <c r="I11372" s="14" t="e">
        <f>=Round(48324.86510000,0)</f>
        <v>#VALUE!</v>
      </c>
      <c r="J11372" s="14" t="e">
        <f>=Round(0.00000000,0)</f>
        <v>#VALUE!</v>
      </c>
    </row>
    <row r="11373">
      <c r="A11373" s="11" t="s">
        <v>48</v>
      </c>
      <c r="B11373" s="12">
        <v>1707.95</v>
      </c>
      <c r="C11373" s="12">
        <v>0</v>
      </c>
      <c r="D11373" s="13">
        <v>0</v>
      </c>
      <c r="E11373" s="12">
        <v>0</v>
      </c>
      <c r="F11373" s="14">
        <v>0</v>
      </c>
      <c r="G11373" s="13">
        <v>1255783.1673</v>
      </c>
      <c r="H11373" s="14">
        <v>2144814860.590035</v>
      </c>
      <c r="I11373" s="14" t="e">
        <f>=Round(48335.48010000,0)</f>
        <v>#VALUE!</v>
      </c>
      <c r="J11373" s="14" t="e">
        <f>=Round(0.00000000,0)</f>
        <v>#VALUE!</v>
      </c>
    </row>
    <row r="11374">
      <c r="A11374" s="11" t="s">
        <v>49</v>
      </c>
      <c r="B11374" s="12">
        <v>1707.95</v>
      </c>
      <c r="C11374" s="12">
        <v>0</v>
      </c>
      <c r="D11374" s="13">
        <v>0</v>
      </c>
      <c r="E11374" s="12">
        <v>0</v>
      </c>
      <c r="F11374" s="14">
        <v>0</v>
      </c>
      <c r="G11374" s="13">
        <v>1255783.1673</v>
      </c>
      <c r="H11374" s="14">
        <v>2144814860.590035</v>
      </c>
      <c r="I11374" s="14" t="e">
        <f>=Round(48346.23660000,0)</f>
        <v>#VALUE!</v>
      </c>
      <c r="J11374" s="14" t="e">
        <f>=Round(0.00000000,0)</f>
        <v>#VALUE!</v>
      </c>
    </row>
    <row r="11375">
      <c r="A11375" s="11" t="s">
        <v>50</v>
      </c>
      <c r="B11375" s="12">
        <v>1707.95</v>
      </c>
      <c r="C11375" s="12">
        <v>0</v>
      </c>
      <c r="D11375" s="13">
        <v>0</v>
      </c>
      <c r="E11375" s="12">
        <v>0</v>
      </c>
      <c r="F11375" s="14">
        <v>0</v>
      </c>
      <c r="G11375" s="13">
        <v>1255783.1673</v>
      </c>
      <c r="H11375" s="14">
        <v>2144814860.590035</v>
      </c>
      <c r="I11375" s="14" t="e">
        <f>=Round(48346.23660000,0)</f>
        <v>#VALUE!</v>
      </c>
      <c r="J11375" s="14" t="e">
        <f>=Round(0.00000000,0)</f>
        <v>#VALUE!</v>
      </c>
    </row>
    <row r="11376">
      <c r="A11376" s="11" t="s">
        <v>51</v>
      </c>
      <c r="B11376" s="12">
        <v>1709.075</v>
      </c>
      <c r="C11376" s="12">
        <v>0</v>
      </c>
      <c r="D11376" s="13">
        <v>0</v>
      </c>
      <c r="E11376" s="12">
        <v>0</v>
      </c>
      <c r="F11376" s="14">
        <v>0</v>
      </c>
      <c r="G11376" s="13">
        <v>1255783.1673</v>
      </c>
      <c r="H11376" s="14">
        <v>2146227616.6532481</v>
      </c>
      <c r="I11376" s="14" t="e">
        <f>=Round(48346.23660000,0)</f>
        <v>#VALUE!</v>
      </c>
      <c r="J11376" s="14" t="e">
        <f>=Round(0.00000000,0)</f>
        <v>#VALUE!</v>
      </c>
    </row>
    <row r="11377">
      <c r="A11377" s="11" t="s">
        <v>52</v>
      </c>
      <c r="B11377" s="12">
        <v>1709.451</v>
      </c>
      <c r="C11377" s="12">
        <v>0</v>
      </c>
      <c r="D11377" s="13">
        <v>0</v>
      </c>
      <c r="E11377" s="12">
        <v>0</v>
      </c>
      <c r="F11377" s="14">
        <v>0</v>
      </c>
      <c r="G11377" s="13">
        <v>1255783.1673</v>
      </c>
      <c r="H11377" s="14">
        <v>2146699791.124152</v>
      </c>
      <c r="I11377" s="14" t="e">
        <f>=Round(48378.08150000,0)</f>
        <v>#VALUE!</v>
      </c>
      <c r="J11377" s="14" t="e">
        <f>=Round(0.00000000,0)</f>
        <v>#VALUE!</v>
      </c>
    </row>
    <row r="11378">
      <c r="A11378" s="11" t="s">
        <v>53</v>
      </c>
      <c r="B11378" s="12">
        <v>1709.826</v>
      </c>
      <c r="C11378" s="12">
        <v>0</v>
      </c>
      <c r="D11378" s="13">
        <v>0</v>
      </c>
      <c r="E11378" s="12">
        <v>0</v>
      </c>
      <c r="F11378" s="14">
        <v>0</v>
      </c>
      <c r="G11378" s="13">
        <v>1255783.1673</v>
      </c>
      <c r="H11378" s="14">
        <v>2147170709.81189</v>
      </c>
      <c r="I11378" s="14" t="e">
        <f>=Round(48388.72480000,0)</f>
        <v>#VALUE!</v>
      </c>
      <c r="J11378" s="14" t="e">
        <f>=Round(0.00000000,0)</f>
        <v>#VALUE!</v>
      </c>
    </row>
    <row r="11379">
      <c r="A11379" s="11" t="s">
        <v>54</v>
      </c>
      <c r="B11379" s="12">
        <v>1710.234</v>
      </c>
      <c r="C11379" s="12">
        <v>0</v>
      </c>
      <c r="D11379" s="13">
        <v>0</v>
      </c>
      <c r="E11379" s="12">
        <v>0</v>
      </c>
      <c r="F11379" s="14">
        <v>0</v>
      </c>
      <c r="G11379" s="13">
        <v>1255783.1673</v>
      </c>
      <c r="H11379" s="14">
        <v>2147683069.3441482</v>
      </c>
      <c r="I11379" s="14" t="e">
        <f>=Round(48399.33980000,0)</f>
        <v>#VALUE!</v>
      </c>
      <c r="J11379" s="14" t="e">
        <f>=Round(0.00000000,0)</f>
        <v>#VALUE!</v>
      </c>
    </row>
    <row r="11380">
      <c r="A11380" s="11" t="s">
        <v>55</v>
      </c>
      <c r="B11380" s="12">
        <v>1710.55</v>
      </c>
      <c r="C11380" s="12">
        <v>0</v>
      </c>
      <c r="D11380" s="13">
        <v>0</v>
      </c>
      <c r="E11380" s="12">
        <v>0</v>
      </c>
      <c r="F11380" s="14">
        <v>0</v>
      </c>
      <c r="G11380" s="13">
        <v>1255783.1673</v>
      </c>
      <c r="H11380" s="14">
        <v>2148079896.8250151</v>
      </c>
      <c r="I11380" s="14" t="e">
        <f>=Round(48410.88890000,0)</f>
        <v>#VALUE!</v>
      </c>
      <c r="J11380" s="14" t="e">
        <f>=Round(0.00000000,0)</f>
        <v>#VALUE!</v>
      </c>
    </row>
    <row r="11381" ht="-1">
      <c r="A11381" s="15"/>
      <c r="B11381" s="16" t="s">
        <v>56</v>
      </c>
      <c r="C11381" s="15"/>
      <c r="D11381" s="15"/>
      <c r="E11381" s="15"/>
      <c r="F11381" s="15"/>
      <c r="G11381" s="15"/>
      <c r="H11381" s="15"/>
      <c r="I11381" s="17" t="e">
        <f>=Round(SUM(I11355:I11380),0)</f>
        <v>#VALUE!</v>
      </c>
      <c r="J11381" s="17" t="e">
        <f>=Round(SUM(J11355:J11380),0)</f>
        <v>#VALUE!</v>
      </c>
    </row>
    <row r="11382">
      <c r="A11382" s="1" t="s">
        <v>0</v>
      </c>
      <c r="B11382" s="1"/>
      <c r="C11382" s="1"/>
      <c r="D11382" s="1"/>
    </row>
    <row r="11383">
      <c r="A11383" s="0" t="s">
        <v>1</v>
      </c>
      <c r="C11383" s="0" t="s">
        <v>388</v>
      </c>
      <c r="H11383" s="2" t="s">
        <v>3</v>
      </c>
    </row>
    <row r="11384">
      <c r="A11384" s="0" t="s">
        <v>4</v>
      </c>
      <c r="C11384" s="0" t="s">
        <v>118</v>
      </c>
      <c r="H11384" s="3" t="s">
        <v>6</v>
      </c>
    </row>
    <row r="11385">
      <c r="A11385" s="0" t="s">
        <v>7</v>
      </c>
      <c r="C11385" s="4" t="s">
        <v>8</v>
      </c>
      <c r="H11385" s="2" t="s">
        <v>9</v>
      </c>
    </row>
    <row r="11386">
      <c r="A11386" s="0" t="s">
        <v>10</v>
      </c>
      <c r="C11386" s="4" t="s">
        <v>11</v>
      </c>
      <c r="H11386" s="2" t="s">
        <v>12</v>
      </c>
    </row>
    <row r="11387">
      <c r="A11387" s="0" t="s">
        <v>13</v>
      </c>
      <c r="C11387" s="0" t="s">
        <v>14</v>
      </c>
    </row>
    <row r="11388">
      <c r="A11388" s="0" t="s">
        <v>15</v>
      </c>
      <c r="C11388" s="0" t="s">
        <v>16</v>
      </c>
    </row>
    <row r="11389">
      <c r="A11389" s="0" t="s">
        <v>17</v>
      </c>
      <c r="C11389" s="0" t="s">
        <v>18</v>
      </c>
    </row>
    <row r="11392">
      <c r="A11392" s="5" t="s">
        <v>19</v>
      </c>
      <c r="B11392" s="5" t="s">
        <v>20</v>
      </c>
      <c r="C11392" s="7" t="s">
        <v>21</v>
      </c>
      <c r="D11392" s="9"/>
      <c r="E11392" s="7" t="s">
        <v>22</v>
      </c>
      <c r="F11392" s="9"/>
      <c r="G11392" s="5" t="s">
        <v>23</v>
      </c>
      <c r="H11392" s="5" t="s">
        <v>24</v>
      </c>
      <c r="I11392" s="5" t="s">
        <v>25</v>
      </c>
      <c r="J11392" s="5" t="s">
        <v>26</v>
      </c>
    </row>
    <row r="11393">
      <c r="A11393" s="6"/>
      <c r="B11393" s="6"/>
      <c r="C11393" s="8" t="s">
        <v>27</v>
      </c>
      <c r="D11393" s="8" t="s">
        <v>28</v>
      </c>
      <c r="E11393" s="8" t="s">
        <v>27</v>
      </c>
      <c r="F11393" s="8" t="s">
        <v>28</v>
      </c>
      <c r="G11393" s="6"/>
      <c r="H11393" s="6"/>
      <c r="I11393" s="10" t="s">
        <v>29</v>
      </c>
      <c r="J11393" s="6"/>
    </row>
    <row r="11394">
      <c r="A11394" s="11" t="s">
        <v>30</v>
      </c>
      <c r="B11394" s="12">
        <v>1701.229</v>
      </c>
      <c r="C11394" s="12">
        <v>0</v>
      </c>
      <c r="D11394" s="13">
        <v>0</v>
      </c>
      <c r="E11394" s="12">
        <v>0</v>
      </c>
      <c r="F11394" s="14">
        <v>0</v>
      </c>
      <c r="G11394" s="13">
        <v>332703.5245</v>
      </c>
      <c r="H11394" s="14">
        <v>566004884.281611</v>
      </c>
      <c r="I11394" s="14" t="e">
        <f>=Round(12749.79490000,0)</f>
        <v>#VALUE!</v>
      </c>
      <c r="J11394" s="14" t="e">
        <f>=Round(0.00000000,0)</f>
        <v>#VALUE!</v>
      </c>
    </row>
    <row r="11395">
      <c r="A11395" s="11" t="s">
        <v>31</v>
      </c>
      <c r="B11395" s="12">
        <v>1701.603</v>
      </c>
      <c r="C11395" s="12">
        <v>0</v>
      </c>
      <c r="D11395" s="13">
        <v>0</v>
      </c>
      <c r="E11395" s="12">
        <v>0</v>
      </c>
      <c r="F11395" s="14">
        <v>0</v>
      </c>
      <c r="G11395" s="13">
        <v>332703.5245</v>
      </c>
      <c r="H11395" s="14">
        <v>566129315.399774</v>
      </c>
      <c r="I11395" s="14" t="e">
        <f>=Round(12758.30680000,0)</f>
        <v>#VALUE!</v>
      </c>
      <c r="J11395" s="14" t="e">
        <f>=Round(0.00000000,0)</f>
        <v>#VALUE!</v>
      </c>
    </row>
    <row r="11396">
      <c r="A11396" s="11" t="s">
        <v>32</v>
      </c>
      <c r="B11396" s="12">
        <v>1701.949</v>
      </c>
      <c r="C11396" s="12">
        <v>0</v>
      </c>
      <c r="D11396" s="13">
        <v>0</v>
      </c>
      <c r="E11396" s="12">
        <v>0</v>
      </c>
      <c r="F11396" s="14">
        <v>0</v>
      </c>
      <c r="G11396" s="13">
        <v>332703.5245</v>
      </c>
      <c r="H11396" s="14">
        <v>566244430.819251</v>
      </c>
      <c r="I11396" s="14" t="e">
        <f>=Round(12761.11160000,0)</f>
        <v>#VALUE!</v>
      </c>
      <c r="J11396" s="14" t="e">
        <f>=Round(0.00000000,0)</f>
        <v>#VALUE!</v>
      </c>
    </row>
    <row r="11397">
      <c r="A11397" s="11" t="s">
        <v>33</v>
      </c>
      <c r="B11397" s="12">
        <v>1702.322</v>
      </c>
      <c r="C11397" s="12">
        <v>0</v>
      </c>
      <c r="D11397" s="13">
        <v>0</v>
      </c>
      <c r="E11397" s="12">
        <v>0</v>
      </c>
      <c r="F11397" s="14">
        <v>0</v>
      </c>
      <c r="G11397" s="13">
        <v>332703.5245</v>
      </c>
      <c r="H11397" s="14">
        <v>566368529.233889</v>
      </c>
      <c r="I11397" s="14" t="e">
        <f>=Round(12763.70640000,0)</f>
        <v>#VALUE!</v>
      </c>
      <c r="J11397" s="14" t="e">
        <f>=Round(0.00000000,0)</f>
        <v>#VALUE!</v>
      </c>
    </row>
    <row r="11398">
      <c r="A11398" s="11" t="s">
        <v>34</v>
      </c>
      <c r="B11398" s="12">
        <v>1702.696</v>
      </c>
      <c r="C11398" s="12">
        <v>0</v>
      </c>
      <c r="D11398" s="13">
        <v>0</v>
      </c>
      <c r="E11398" s="12">
        <v>0</v>
      </c>
      <c r="F11398" s="14">
        <v>0</v>
      </c>
      <c r="G11398" s="13">
        <v>332703.5245</v>
      </c>
      <c r="H11398" s="14">
        <v>566492960.352052</v>
      </c>
      <c r="I11398" s="14" t="e">
        <f>=Round(12766.50370000,0)</f>
        <v>#VALUE!</v>
      </c>
      <c r="J11398" s="14" t="e">
        <f>=Round(0.00000000,0)</f>
        <v>#VALUE!</v>
      </c>
    </row>
    <row r="11399">
      <c r="A11399" s="11" t="s">
        <v>35</v>
      </c>
      <c r="B11399" s="12">
        <v>1702.696</v>
      </c>
      <c r="C11399" s="12">
        <v>0</v>
      </c>
      <c r="D11399" s="13">
        <v>0</v>
      </c>
      <c r="E11399" s="12">
        <v>0</v>
      </c>
      <c r="F11399" s="14">
        <v>0</v>
      </c>
      <c r="G11399" s="13">
        <v>332703.5245</v>
      </c>
      <c r="H11399" s="14">
        <v>566492960.352052</v>
      </c>
      <c r="I11399" s="14" t="e">
        <f>=Round(12769.30850000,0)</f>
        <v>#VALUE!</v>
      </c>
      <c r="J11399" s="14" t="e">
        <f>=Round(0.00000000,0)</f>
        <v>#VALUE!</v>
      </c>
    </row>
    <row r="11400">
      <c r="A11400" s="11" t="s">
        <v>36</v>
      </c>
      <c r="B11400" s="12">
        <v>1702.696</v>
      </c>
      <c r="C11400" s="12">
        <v>0</v>
      </c>
      <c r="D11400" s="13">
        <v>0</v>
      </c>
      <c r="E11400" s="12">
        <v>0</v>
      </c>
      <c r="F11400" s="14">
        <v>0</v>
      </c>
      <c r="G11400" s="13">
        <v>332703.5245</v>
      </c>
      <c r="H11400" s="14">
        <v>566492960.352052</v>
      </c>
      <c r="I11400" s="14" t="e">
        <f>=Round(12769.30850000,0)</f>
        <v>#VALUE!</v>
      </c>
      <c r="J11400" s="14" t="e">
        <f>=Round(0.00000000,0)</f>
        <v>#VALUE!</v>
      </c>
    </row>
    <row r="11401">
      <c r="A11401" s="11" t="s">
        <v>37</v>
      </c>
      <c r="B11401" s="12">
        <v>1703.818</v>
      </c>
      <c r="C11401" s="12">
        <v>0</v>
      </c>
      <c r="D11401" s="13">
        <v>0</v>
      </c>
      <c r="E11401" s="12">
        <v>0</v>
      </c>
      <c r="F11401" s="14">
        <v>0</v>
      </c>
      <c r="G11401" s="13">
        <v>332703.5245</v>
      </c>
      <c r="H11401" s="14">
        <v>566866253.706541</v>
      </c>
      <c r="I11401" s="14" t="e">
        <f>=Round(12769.30850000,0)</f>
        <v>#VALUE!</v>
      </c>
      <c r="J11401" s="14" t="e">
        <f>=Round(0.00000000,0)</f>
        <v>#VALUE!</v>
      </c>
    </row>
    <row r="11402">
      <c r="A11402" s="11" t="s">
        <v>38</v>
      </c>
      <c r="B11402" s="12">
        <v>1704.192</v>
      </c>
      <c r="C11402" s="12">
        <v>0</v>
      </c>
      <c r="D11402" s="13">
        <v>0</v>
      </c>
      <c r="E11402" s="12">
        <v>0</v>
      </c>
      <c r="F11402" s="14">
        <v>0</v>
      </c>
      <c r="G11402" s="13">
        <v>332703.5245</v>
      </c>
      <c r="H11402" s="14">
        <v>566990684.824704</v>
      </c>
      <c r="I11402" s="14" t="e">
        <f>=Round(12777.72290000,0)</f>
        <v>#VALUE!</v>
      </c>
      <c r="J11402" s="14" t="e">
        <f>=Round(0.00000000,0)</f>
        <v>#VALUE!</v>
      </c>
    </row>
    <row r="11403">
      <c r="A11403" s="11" t="s">
        <v>39</v>
      </c>
      <c r="B11403" s="12">
        <v>1704.55</v>
      </c>
      <c r="C11403" s="12">
        <v>0</v>
      </c>
      <c r="D11403" s="13">
        <v>0</v>
      </c>
      <c r="E11403" s="12">
        <v>0</v>
      </c>
      <c r="F11403" s="14">
        <v>0</v>
      </c>
      <c r="G11403" s="13">
        <v>332703.5245</v>
      </c>
      <c r="H11403" s="14">
        <v>567109792.686475</v>
      </c>
      <c r="I11403" s="14" t="e">
        <f>=Round(12780.52770000,0)</f>
        <v>#VALUE!</v>
      </c>
      <c r="J11403" s="14" t="e">
        <f>=Round(0.00000000,0)</f>
        <v>#VALUE!</v>
      </c>
    </row>
    <row r="11404">
      <c r="A11404" s="11" t="s">
        <v>40</v>
      </c>
      <c r="B11404" s="12">
        <v>1704.928</v>
      </c>
      <c r="C11404" s="12">
        <v>0</v>
      </c>
      <c r="D11404" s="13">
        <v>0</v>
      </c>
      <c r="E11404" s="12">
        <v>0</v>
      </c>
      <c r="F11404" s="14">
        <v>0</v>
      </c>
      <c r="G11404" s="13">
        <v>332703.5245</v>
      </c>
      <c r="H11404" s="14">
        <v>567235554.618736</v>
      </c>
      <c r="I11404" s="14" t="e">
        <f>=Round(12783.21250000,0)</f>
        <v>#VALUE!</v>
      </c>
      <c r="J11404" s="14" t="e">
        <f>=Round(0.00000000,0)</f>
        <v>#VALUE!</v>
      </c>
    </row>
    <row r="11405">
      <c r="A11405" s="11" t="s">
        <v>41</v>
      </c>
      <c r="B11405" s="12">
        <v>1705.306</v>
      </c>
      <c r="C11405" s="12">
        <v>0</v>
      </c>
      <c r="D11405" s="13">
        <v>0</v>
      </c>
      <c r="E11405" s="12">
        <v>0</v>
      </c>
      <c r="F11405" s="14">
        <v>0</v>
      </c>
      <c r="G11405" s="13">
        <v>332703.5245</v>
      </c>
      <c r="H11405" s="14">
        <v>567361316.550997</v>
      </c>
      <c r="I11405" s="14" t="e">
        <f>=Round(12786.04730000,0)</f>
        <v>#VALUE!</v>
      </c>
      <c r="J11405" s="14" t="e">
        <f>=Round(0.00000000,0)</f>
        <v>#VALUE!</v>
      </c>
    </row>
    <row r="11406">
      <c r="A11406" s="11" t="s">
        <v>42</v>
      </c>
      <c r="B11406" s="12">
        <v>1705.306</v>
      </c>
      <c r="C11406" s="12">
        <v>0</v>
      </c>
      <c r="D11406" s="13">
        <v>0</v>
      </c>
      <c r="E11406" s="12">
        <v>0</v>
      </c>
      <c r="F11406" s="14">
        <v>0</v>
      </c>
      <c r="G11406" s="13">
        <v>332703.5245</v>
      </c>
      <c r="H11406" s="14">
        <v>567361316.550997</v>
      </c>
      <c r="I11406" s="14" t="e">
        <f>=Round(12788.88210000,0)</f>
        <v>#VALUE!</v>
      </c>
      <c r="J11406" s="14" t="e">
        <f>=Round(0.00000000,0)</f>
        <v>#VALUE!</v>
      </c>
    </row>
    <row r="11407">
      <c r="A11407" s="11" t="s">
        <v>43</v>
      </c>
      <c r="B11407" s="12">
        <v>1705.306</v>
      </c>
      <c r="C11407" s="12">
        <v>0</v>
      </c>
      <c r="D11407" s="13">
        <v>0</v>
      </c>
      <c r="E11407" s="12">
        <v>0</v>
      </c>
      <c r="F11407" s="14">
        <v>0</v>
      </c>
      <c r="G11407" s="13">
        <v>332703.5245</v>
      </c>
      <c r="H11407" s="14">
        <v>567361316.550997</v>
      </c>
      <c r="I11407" s="14" t="e">
        <f>=Round(12788.88210000,0)</f>
        <v>#VALUE!</v>
      </c>
      <c r="J11407" s="14" t="e">
        <f>=Round(0.00000000,0)</f>
        <v>#VALUE!</v>
      </c>
    </row>
    <row r="11408">
      <c r="A11408" s="11" t="s">
        <v>44</v>
      </c>
      <c r="B11408" s="12">
        <v>1706.447</v>
      </c>
      <c r="C11408" s="12">
        <v>0</v>
      </c>
      <c r="D11408" s="13">
        <v>0</v>
      </c>
      <c r="E11408" s="12">
        <v>0</v>
      </c>
      <c r="F11408" s="14">
        <v>0</v>
      </c>
      <c r="G11408" s="13">
        <v>332703.5245</v>
      </c>
      <c r="H11408" s="14">
        <v>567740931.272452</v>
      </c>
      <c r="I11408" s="14" t="e">
        <f>=Round(12788.88210000,0)</f>
        <v>#VALUE!</v>
      </c>
      <c r="J11408" s="14" t="e">
        <f>=Round(0.00000000,0)</f>
        <v>#VALUE!</v>
      </c>
    </row>
    <row r="11409">
      <c r="A11409" s="11" t="s">
        <v>45</v>
      </c>
      <c r="B11409" s="12">
        <v>1706.82</v>
      </c>
      <c r="C11409" s="12">
        <v>0</v>
      </c>
      <c r="D11409" s="13">
        <v>0</v>
      </c>
      <c r="E11409" s="12">
        <v>0</v>
      </c>
      <c r="F11409" s="14">
        <v>0</v>
      </c>
      <c r="G11409" s="13">
        <v>332703.5245</v>
      </c>
      <c r="H11409" s="14">
        <v>567865029.68709</v>
      </c>
      <c r="I11409" s="14" t="e">
        <f>=Round(12797.43900000,0)</f>
        <v>#VALUE!</v>
      </c>
      <c r="J11409" s="14" t="e">
        <f>=Round(0.00000000,0)</f>
        <v>#VALUE!</v>
      </c>
    </row>
    <row r="11410">
      <c r="A11410" s="11" t="s">
        <v>46</v>
      </c>
      <c r="B11410" s="12">
        <v>1707.195</v>
      </c>
      <c r="C11410" s="12">
        <v>0</v>
      </c>
      <c r="D11410" s="13">
        <v>0</v>
      </c>
      <c r="E11410" s="12">
        <v>0</v>
      </c>
      <c r="F11410" s="14">
        <v>0</v>
      </c>
      <c r="G11410" s="13">
        <v>332703.5245</v>
      </c>
      <c r="H11410" s="14">
        <v>567989793.508778</v>
      </c>
      <c r="I11410" s="14" t="e">
        <f>=Round(12800.23630000,0)</f>
        <v>#VALUE!</v>
      </c>
      <c r="J11410" s="14" t="e">
        <f>=Round(0.00000000,0)</f>
        <v>#VALUE!</v>
      </c>
    </row>
    <row r="11411">
      <c r="A11411" s="11" t="s">
        <v>47</v>
      </c>
      <c r="B11411" s="12">
        <v>1707.57</v>
      </c>
      <c r="C11411" s="12">
        <v>0</v>
      </c>
      <c r="D11411" s="13">
        <v>0</v>
      </c>
      <c r="E11411" s="12">
        <v>0</v>
      </c>
      <c r="F11411" s="14">
        <v>0</v>
      </c>
      <c r="G11411" s="13">
        <v>332703.5245</v>
      </c>
      <c r="H11411" s="14">
        <v>568114557.330465</v>
      </c>
      <c r="I11411" s="14" t="e">
        <f>=Round(12803.04860000,0)</f>
        <v>#VALUE!</v>
      </c>
      <c r="J11411" s="14" t="e">
        <f>=Round(0.00000000,0)</f>
        <v>#VALUE!</v>
      </c>
    </row>
    <row r="11412">
      <c r="A11412" s="11" t="s">
        <v>48</v>
      </c>
      <c r="B11412" s="12">
        <v>1707.95</v>
      </c>
      <c r="C11412" s="12">
        <v>0</v>
      </c>
      <c r="D11412" s="13">
        <v>0</v>
      </c>
      <c r="E11412" s="12">
        <v>0</v>
      </c>
      <c r="F11412" s="14">
        <v>0</v>
      </c>
      <c r="G11412" s="13">
        <v>332703.5245</v>
      </c>
      <c r="H11412" s="14">
        <v>568240984.669775</v>
      </c>
      <c r="I11412" s="14" t="e">
        <f>=Round(12805.86090000,0)</f>
        <v>#VALUE!</v>
      </c>
      <c r="J11412" s="14" t="e">
        <f>=Round(0.00000000,0)</f>
        <v>#VALUE!</v>
      </c>
    </row>
    <row r="11413">
      <c r="A11413" s="11" t="s">
        <v>49</v>
      </c>
      <c r="B11413" s="12">
        <v>1707.95</v>
      </c>
      <c r="C11413" s="12">
        <v>0</v>
      </c>
      <c r="D11413" s="13">
        <v>0</v>
      </c>
      <c r="E11413" s="12">
        <v>0</v>
      </c>
      <c r="F11413" s="14">
        <v>0</v>
      </c>
      <c r="G11413" s="13">
        <v>332703.5245</v>
      </c>
      <c r="H11413" s="14">
        <v>568240984.669775</v>
      </c>
      <c r="I11413" s="14" t="e">
        <f>=Round(12808.71070000,0)</f>
        <v>#VALUE!</v>
      </c>
      <c r="J11413" s="14" t="e">
        <f>=Round(0.00000000,0)</f>
        <v>#VALUE!</v>
      </c>
    </row>
    <row r="11414">
      <c r="A11414" s="11" t="s">
        <v>50</v>
      </c>
      <c r="B11414" s="12">
        <v>1707.95</v>
      </c>
      <c r="C11414" s="12">
        <v>0</v>
      </c>
      <c r="D11414" s="13">
        <v>0</v>
      </c>
      <c r="E11414" s="12">
        <v>0</v>
      </c>
      <c r="F11414" s="14">
        <v>0</v>
      </c>
      <c r="G11414" s="13">
        <v>332703.5245</v>
      </c>
      <c r="H11414" s="14">
        <v>568240984.669775</v>
      </c>
      <c r="I11414" s="14" t="e">
        <f>=Round(12808.71070000,0)</f>
        <v>#VALUE!</v>
      </c>
      <c r="J11414" s="14" t="e">
        <f>=Round(0.00000000,0)</f>
        <v>#VALUE!</v>
      </c>
    </row>
    <row r="11415">
      <c r="A11415" s="11" t="s">
        <v>51</v>
      </c>
      <c r="B11415" s="12">
        <v>1709.075</v>
      </c>
      <c r="C11415" s="12">
        <v>0</v>
      </c>
      <c r="D11415" s="13">
        <v>0</v>
      </c>
      <c r="E11415" s="12">
        <v>0</v>
      </c>
      <c r="F11415" s="14">
        <v>0</v>
      </c>
      <c r="G11415" s="13">
        <v>332703.5245</v>
      </c>
      <c r="H11415" s="14">
        <v>568615276.134838</v>
      </c>
      <c r="I11415" s="14" t="e">
        <f>=Round(12808.71070000,0)</f>
        <v>#VALUE!</v>
      </c>
      <c r="J11415" s="14" t="e">
        <f>=Round(0.00000000,0)</f>
        <v>#VALUE!</v>
      </c>
    </row>
    <row r="11416">
      <c r="A11416" s="11" t="s">
        <v>52</v>
      </c>
      <c r="B11416" s="12">
        <v>1709.451</v>
      </c>
      <c r="C11416" s="12">
        <v>0</v>
      </c>
      <c r="D11416" s="13">
        <v>0</v>
      </c>
      <c r="E11416" s="12">
        <v>0</v>
      </c>
      <c r="F11416" s="14">
        <v>0</v>
      </c>
      <c r="G11416" s="13">
        <v>332703.5245</v>
      </c>
      <c r="H11416" s="14">
        <v>568740372.66005</v>
      </c>
      <c r="I11416" s="14" t="e">
        <f>=Round(12817.14760000,0)</f>
        <v>#VALUE!</v>
      </c>
      <c r="J11416" s="14" t="e">
        <f>=Round(0.00000000,0)</f>
        <v>#VALUE!</v>
      </c>
    </row>
    <row r="11417">
      <c r="A11417" s="11" t="s">
        <v>53</v>
      </c>
      <c r="B11417" s="12">
        <v>1709.826</v>
      </c>
      <c r="C11417" s="12">
        <v>0</v>
      </c>
      <c r="D11417" s="13">
        <v>0</v>
      </c>
      <c r="E11417" s="12">
        <v>0</v>
      </c>
      <c r="F11417" s="14">
        <v>0</v>
      </c>
      <c r="G11417" s="13">
        <v>332703.5245</v>
      </c>
      <c r="H11417" s="14">
        <v>568865136.481737</v>
      </c>
      <c r="I11417" s="14" t="e">
        <f>=Round(12819.96740000,0)</f>
        <v>#VALUE!</v>
      </c>
      <c r="J11417" s="14" t="e">
        <f>=Round(0.00000000,0)</f>
        <v>#VALUE!</v>
      </c>
    </row>
    <row r="11418">
      <c r="A11418" s="11" t="s">
        <v>54</v>
      </c>
      <c r="B11418" s="12">
        <v>1710.234</v>
      </c>
      <c r="C11418" s="12">
        <v>0</v>
      </c>
      <c r="D11418" s="13">
        <v>0</v>
      </c>
      <c r="E11418" s="12">
        <v>0</v>
      </c>
      <c r="F11418" s="14">
        <v>0</v>
      </c>
      <c r="G11418" s="13">
        <v>332703.5245</v>
      </c>
      <c r="H11418" s="14">
        <v>569000879.519733</v>
      </c>
      <c r="I11418" s="14" t="e">
        <f>=Round(12822.77970000,0)</f>
        <v>#VALUE!</v>
      </c>
      <c r="J11418" s="14" t="e">
        <f>=Round(0.00000000,0)</f>
        <v>#VALUE!</v>
      </c>
    </row>
    <row r="11419">
      <c r="A11419" s="11" t="s">
        <v>55</v>
      </c>
      <c r="B11419" s="12">
        <v>1710.55</v>
      </c>
      <c r="C11419" s="12">
        <v>0</v>
      </c>
      <c r="D11419" s="13">
        <v>0</v>
      </c>
      <c r="E11419" s="12">
        <v>0</v>
      </c>
      <c r="F11419" s="14">
        <v>0</v>
      </c>
      <c r="G11419" s="13">
        <v>332703.5245</v>
      </c>
      <c r="H11419" s="14">
        <v>569106013.833475</v>
      </c>
      <c r="I11419" s="14" t="e">
        <f>=Round(12825.83950000,0)</f>
        <v>#VALUE!</v>
      </c>
      <c r="J11419" s="14" t="e">
        <f>=Round(0.00000000,0)</f>
        <v>#VALUE!</v>
      </c>
    </row>
    <row r="11420" ht="-1">
      <c r="A11420" s="15"/>
      <c r="B11420" s="16" t="s">
        <v>56</v>
      </c>
      <c r="C11420" s="15"/>
      <c r="D11420" s="15"/>
      <c r="E11420" s="15"/>
      <c r="F11420" s="15"/>
      <c r="G11420" s="15"/>
      <c r="H11420" s="15"/>
      <c r="I11420" s="17" t="e">
        <f>=Round(SUM(I11394:I11419),0)</f>
        <v>#VALUE!</v>
      </c>
      <c r="J11420" s="17" t="e">
        <f>=Round(SUM(J11394:J11419),0)</f>
        <v>#VALUE!</v>
      </c>
    </row>
    <row r="11421">
      <c r="A11421" s="1" t="s">
        <v>0</v>
      </c>
      <c r="B11421" s="1"/>
      <c r="C11421" s="1"/>
      <c r="D11421" s="1"/>
    </row>
    <row r="11422">
      <c r="A11422" s="0" t="s">
        <v>1</v>
      </c>
      <c r="C11422" s="0" t="s">
        <v>388</v>
      </c>
      <c r="H11422" s="2" t="s">
        <v>3</v>
      </c>
    </row>
    <row r="11423">
      <c r="A11423" s="0" t="s">
        <v>4</v>
      </c>
      <c r="C11423" s="0" t="s">
        <v>126</v>
      </c>
      <c r="H11423" s="3" t="s">
        <v>6</v>
      </c>
    </row>
    <row r="11424">
      <c r="A11424" s="0" t="s">
        <v>7</v>
      </c>
      <c r="C11424" s="4" t="s">
        <v>8</v>
      </c>
      <c r="H11424" s="2" t="s">
        <v>9</v>
      </c>
    </row>
    <row r="11425">
      <c r="A11425" s="0" t="s">
        <v>10</v>
      </c>
      <c r="C11425" s="4" t="s">
        <v>124</v>
      </c>
      <c r="H11425" s="2" t="s">
        <v>12</v>
      </c>
    </row>
    <row r="11426">
      <c r="A11426" s="0" t="s">
        <v>13</v>
      </c>
      <c r="C11426" s="0" t="s">
        <v>14</v>
      </c>
    </row>
    <row r="11427">
      <c r="A11427" s="0" t="s">
        <v>15</v>
      </c>
      <c r="C11427" s="0" t="s">
        <v>16</v>
      </c>
    </row>
    <row r="11428">
      <c r="A11428" s="0" t="s">
        <v>17</v>
      </c>
      <c r="C11428" s="0" t="s">
        <v>18</v>
      </c>
    </row>
    <row r="11431">
      <c r="A11431" s="5" t="s">
        <v>19</v>
      </c>
      <c r="B11431" s="5" t="s">
        <v>20</v>
      </c>
      <c r="C11431" s="7" t="s">
        <v>21</v>
      </c>
      <c r="D11431" s="9"/>
      <c r="E11431" s="7" t="s">
        <v>22</v>
      </c>
      <c r="F11431" s="9"/>
      <c r="G11431" s="5" t="s">
        <v>23</v>
      </c>
      <c r="H11431" s="5" t="s">
        <v>24</v>
      </c>
      <c r="I11431" s="5" t="s">
        <v>25</v>
      </c>
      <c r="J11431" s="5" t="s">
        <v>125</v>
      </c>
    </row>
    <row r="11432">
      <c r="A11432" s="6"/>
      <c r="B11432" s="6"/>
      <c r="C11432" s="8" t="s">
        <v>27</v>
      </c>
      <c r="D11432" s="8" t="s">
        <v>28</v>
      </c>
      <c r="E11432" s="8" t="s">
        <v>27</v>
      </c>
      <c r="F11432" s="8" t="s">
        <v>28</v>
      </c>
      <c r="G11432" s="6"/>
      <c r="H11432" s="6"/>
      <c r="I11432" s="10" t="s">
        <v>29</v>
      </c>
      <c r="J11432" s="6"/>
    </row>
    <row r="11433">
      <c r="A11433" s="11" t="s">
        <v>30</v>
      </c>
      <c r="B11433" s="12">
        <v>1701.229</v>
      </c>
      <c r="C11433" s="12">
        <v>0</v>
      </c>
      <c r="D11433" s="13">
        <v>0</v>
      </c>
      <c r="E11433" s="12">
        <v>0</v>
      </c>
      <c r="F11433" s="14">
        <v>0</v>
      </c>
      <c r="G11433" s="13">
        <v>1018607.642</v>
      </c>
      <c r="H11433" s="14">
        <v>1732884860.192018</v>
      </c>
      <c r="I11433" s="14" t="e">
        <f>=Round(39034.86920000,0)</f>
        <v>#VALUE!</v>
      </c>
      <c r="J11433" s="14" t="e">
        <f>=Round(17743.10460000,0)</f>
        <v>#VALUE!</v>
      </c>
    </row>
    <row r="11434">
      <c r="A11434" s="11" t="s">
        <v>31</v>
      </c>
      <c r="B11434" s="12">
        <v>1701.603</v>
      </c>
      <c r="C11434" s="12">
        <v>0</v>
      </c>
      <c r="D11434" s="13">
        <v>0</v>
      </c>
      <c r="E11434" s="12">
        <v>0</v>
      </c>
      <c r="F11434" s="14">
        <v>0</v>
      </c>
      <c r="G11434" s="13">
        <v>1018607.642</v>
      </c>
      <c r="H11434" s="14">
        <v>1733265819.4501259</v>
      </c>
      <c r="I11434" s="14" t="e">
        <f>=Round(39060.92920000,0)</f>
        <v>#VALUE!</v>
      </c>
      <c r="J11434" s="14" t="e">
        <f>=Round(17754.95010000,0)</f>
        <v>#VALUE!</v>
      </c>
    </row>
    <row r="11435">
      <c r="A11435" s="11" t="s">
        <v>32</v>
      </c>
      <c r="B11435" s="12">
        <v>1701.949</v>
      </c>
      <c r="C11435" s="12">
        <v>0</v>
      </c>
      <c r="D11435" s="13">
        <v>0</v>
      </c>
      <c r="E11435" s="12">
        <v>0</v>
      </c>
      <c r="F11435" s="14">
        <v>0</v>
      </c>
      <c r="G11435" s="13">
        <v>1018607.642</v>
      </c>
      <c r="H11435" s="14">
        <v>1733618257.694258</v>
      </c>
      <c r="I11435" s="14" t="e">
        <f>=Round(39069.51640000,0)</f>
        <v>#VALUE!</v>
      </c>
      <c r="J11435" s="14" t="e">
        <f>=Round(17758.85330000,0)</f>
        <v>#VALUE!</v>
      </c>
    </row>
    <row r="11436">
      <c r="A11436" s="11" t="s">
        <v>33</v>
      </c>
      <c r="B11436" s="12">
        <v>1702.322</v>
      </c>
      <c r="C11436" s="12">
        <v>58.7433</v>
      </c>
      <c r="D11436" s="13">
        <v>100000</v>
      </c>
      <c r="E11436" s="12">
        <v>0</v>
      </c>
      <c r="F11436" s="14">
        <v>0</v>
      </c>
      <c r="G11436" s="13">
        <v>1018607.642</v>
      </c>
      <c r="H11436" s="14">
        <v>1733998198.3447239</v>
      </c>
      <c r="I11436" s="14" t="e">
        <f>=Round(39077.46070000,0)</f>
        <v>#VALUE!</v>
      </c>
      <c r="J11436" s="14" t="e">
        <f>=Round(17762.46440000,0)</f>
        <v>#VALUE!</v>
      </c>
    </row>
    <row r="11437">
      <c r="A11437" s="11" t="s">
        <v>34</v>
      </c>
      <c r="B11437" s="12">
        <v>1702.696</v>
      </c>
      <c r="C11437" s="12">
        <v>0</v>
      </c>
      <c r="D11437" s="13">
        <v>0</v>
      </c>
      <c r="E11437" s="12">
        <v>0</v>
      </c>
      <c r="F11437" s="14">
        <v>0</v>
      </c>
      <c r="G11437" s="13">
        <v>1018666.3853</v>
      </c>
      <c r="H11437" s="14">
        <v>1734479179.584769</v>
      </c>
      <c r="I11437" s="14" t="e">
        <f>=Round(39086.02500000,0)</f>
        <v>#VALUE!</v>
      </c>
      <c r="J11437" s="14" t="e">
        <f>=Round(17766.35720000,0)</f>
        <v>#VALUE!</v>
      </c>
    </row>
    <row r="11438">
      <c r="A11438" s="11" t="s">
        <v>35</v>
      </c>
      <c r="B11438" s="12">
        <v>1702.696</v>
      </c>
      <c r="C11438" s="12">
        <v>0</v>
      </c>
      <c r="D11438" s="13">
        <v>0</v>
      </c>
      <c r="E11438" s="12">
        <v>0</v>
      </c>
      <c r="F11438" s="14">
        <v>0</v>
      </c>
      <c r="G11438" s="13">
        <v>1018666.3853</v>
      </c>
      <c r="H11438" s="14">
        <v>1734479179.584769</v>
      </c>
      <c r="I11438" s="14" t="e">
        <f>=Round(39096.86680000,0)</f>
        <v>#VALUE!</v>
      </c>
      <c r="J11438" s="14" t="e">
        <f>=Round(17771.28530000,0)</f>
        <v>#VALUE!</v>
      </c>
    </row>
    <row r="11439">
      <c r="A11439" s="11" t="s">
        <v>36</v>
      </c>
      <c r="B11439" s="12">
        <v>1702.696</v>
      </c>
      <c r="C11439" s="12">
        <v>0</v>
      </c>
      <c r="D11439" s="13">
        <v>0</v>
      </c>
      <c r="E11439" s="12">
        <v>0</v>
      </c>
      <c r="F11439" s="14">
        <v>0</v>
      </c>
      <c r="G11439" s="13">
        <v>1018666.3853</v>
      </c>
      <c r="H11439" s="14">
        <v>1734479179.584769</v>
      </c>
      <c r="I11439" s="14" t="e">
        <f>=Round(39096.86680000,0)</f>
        <v>#VALUE!</v>
      </c>
      <c r="J11439" s="14" t="e">
        <f>=Round(17771.28530000,0)</f>
        <v>#VALUE!</v>
      </c>
    </row>
    <row r="11440">
      <c r="A11440" s="11" t="s">
        <v>37</v>
      </c>
      <c r="B11440" s="12">
        <v>1703.818</v>
      </c>
      <c r="C11440" s="12">
        <v>58.6917</v>
      </c>
      <c r="D11440" s="13">
        <v>100000</v>
      </c>
      <c r="E11440" s="12">
        <v>0</v>
      </c>
      <c r="F11440" s="14">
        <v>0</v>
      </c>
      <c r="G11440" s="13">
        <v>1018666.3853</v>
      </c>
      <c r="H11440" s="14">
        <v>1735622123.2690749</v>
      </c>
      <c r="I11440" s="14" t="e">
        <f>=Round(39096.86680000,0)</f>
        <v>#VALUE!</v>
      </c>
      <c r="J11440" s="14" t="e">
        <f>=Round(17771.28530000,0)</f>
        <v>#VALUE!</v>
      </c>
    </row>
    <row r="11441">
      <c r="A11441" s="11" t="s">
        <v>38</v>
      </c>
      <c r="B11441" s="12">
        <v>1704.192</v>
      </c>
      <c r="C11441" s="12">
        <v>0</v>
      </c>
      <c r="D11441" s="13">
        <v>0</v>
      </c>
      <c r="E11441" s="12">
        <v>0</v>
      </c>
      <c r="F11441" s="14">
        <v>0</v>
      </c>
      <c r="G11441" s="13">
        <v>1018725.077</v>
      </c>
      <c r="H11441" s="14">
        <v>1736103126.4227841</v>
      </c>
      <c r="I11441" s="14" t="e">
        <f>=Round(39122.62980000,0)</f>
        <v>#VALUE!</v>
      </c>
      <c r="J11441" s="14" t="e">
        <f>=Round(17782.99580000,0)</f>
        <v>#VALUE!</v>
      </c>
    </row>
    <row r="11442">
      <c r="A11442" s="11" t="s">
        <v>39</v>
      </c>
      <c r="B11442" s="12">
        <v>1704.55</v>
      </c>
      <c r="C11442" s="12">
        <v>0</v>
      </c>
      <c r="D11442" s="13">
        <v>0</v>
      </c>
      <c r="E11442" s="12">
        <v>0</v>
      </c>
      <c r="F11442" s="14">
        <v>0</v>
      </c>
      <c r="G11442" s="13">
        <v>1018725.077</v>
      </c>
      <c r="H11442" s="14">
        <v>1736467830.00035</v>
      </c>
      <c r="I11442" s="14" t="e">
        <f>=Round(39133.47210000,0)</f>
        <v>#VALUE!</v>
      </c>
      <c r="J11442" s="14" t="e">
        <f>=Round(17787.92410000,0)</f>
        <v>#VALUE!</v>
      </c>
    </row>
    <row r="11443">
      <c r="A11443" s="11" t="s">
        <v>40</v>
      </c>
      <c r="B11443" s="12">
        <v>1704.928</v>
      </c>
      <c r="C11443" s="12">
        <v>0</v>
      </c>
      <c r="D11443" s="13">
        <v>0</v>
      </c>
      <c r="E11443" s="12">
        <v>0</v>
      </c>
      <c r="F11443" s="14">
        <v>0</v>
      </c>
      <c r="G11443" s="13">
        <v>1018725.077</v>
      </c>
      <c r="H11443" s="14">
        <v>1736852908.0794561</v>
      </c>
      <c r="I11443" s="14" t="e">
        <f>=Round(39141.69290000,0)</f>
        <v>#VALUE!</v>
      </c>
      <c r="J11443" s="14" t="e">
        <f>=Round(17791.66080000,0)</f>
        <v>#VALUE!</v>
      </c>
    </row>
    <row r="11444">
      <c r="A11444" s="11" t="s">
        <v>41</v>
      </c>
      <c r="B11444" s="12">
        <v>1705.306</v>
      </c>
      <c r="C11444" s="12">
        <v>0</v>
      </c>
      <c r="D11444" s="13">
        <v>0</v>
      </c>
      <c r="E11444" s="12">
        <v>0</v>
      </c>
      <c r="F11444" s="14">
        <v>0</v>
      </c>
      <c r="G11444" s="13">
        <v>1018725.077</v>
      </c>
      <c r="H11444" s="14">
        <v>1737237986.1585619</v>
      </c>
      <c r="I11444" s="14" t="e">
        <f>=Round(39150.37290000,0)</f>
        <v>#VALUE!</v>
      </c>
      <c r="J11444" s="14" t="e">
        <f>=Round(17795.60630000,0)</f>
        <v>#VALUE!</v>
      </c>
    </row>
    <row r="11445">
      <c r="A11445" s="11" t="s">
        <v>42</v>
      </c>
      <c r="B11445" s="12">
        <v>1705.306</v>
      </c>
      <c r="C11445" s="12">
        <v>0</v>
      </c>
      <c r="D11445" s="13">
        <v>0</v>
      </c>
      <c r="E11445" s="12">
        <v>0</v>
      </c>
      <c r="F11445" s="14">
        <v>0</v>
      </c>
      <c r="G11445" s="13">
        <v>1018725.077</v>
      </c>
      <c r="H11445" s="14">
        <v>1737237986.1585619</v>
      </c>
      <c r="I11445" s="14" t="e">
        <f>=Round(39159.05300000,0)</f>
        <v>#VALUE!</v>
      </c>
      <c r="J11445" s="14" t="e">
        <f>=Round(17799.55170000,0)</f>
        <v>#VALUE!</v>
      </c>
    </row>
    <row r="11446">
      <c r="A11446" s="11" t="s">
        <v>43</v>
      </c>
      <c r="B11446" s="12">
        <v>1705.306</v>
      </c>
      <c r="C11446" s="12">
        <v>0</v>
      </c>
      <c r="D11446" s="13">
        <v>0</v>
      </c>
      <c r="E11446" s="12">
        <v>0</v>
      </c>
      <c r="F11446" s="14">
        <v>0</v>
      </c>
      <c r="G11446" s="13">
        <v>1018725.077</v>
      </c>
      <c r="H11446" s="14">
        <v>1737237986.1585619</v>
      </c>
      <c r="I11446" s="14" t="e">
        <f>=Round(39159.05300000,0)</f>
        <v>#VALUE!</v>
      </c>
      <c r="J11446" s="14" t="e">
        <f>=Round(17799.55170000,0)</f>
        <v>#VALUE!</v>
      </c>
    </row>
    <row r="11447">
      <c r="A11447" s="11" t="s">
        <v>44</v>
      </c>
      <c r="B11447" s="12">
        <v>1706.447</v>
      </c>
      <c r="C11447" s="12">
        <v>0</v>
      </c>
      <c r="D11447" s="13">
        <v>0</v>
      </c>
      <c r="E11447" s="12">
        <v>0</v>
      </c>
      <c r="F11447" s="14">
        <v>0</v>
      </c>
      <c r="G11447" s="13">
        <v>1018725.077</v>
      </c>
      <c r="H11447" s="14">
        <v>1738400351.4714191</v>
      </c>
      <c r="I11447" s="14" t="e">
        <f>=Round(39159.05300000,0)</f>
        <v>#VALUE!</v>
      </c>
      <c r="J11447" s="14" t="e">
        <f>=Round(17799.55170000,0)</f>
        <v>#VALUE!</v>
      </c>
    </row>
    <row r="11448">
      <c r="A11448" s="11" t="s">
        <v>45</v>
      </c>
      <c r="B11448" s="12">
        <v>1706.82</v>
      </c>
      <c r="C11448" s="12">
        <v>0</v>
      </c>
      <c r="D11448" s="13">
        <v>0</v>
      </c>
      <c r="E11448" s="12">
        <v>0</v>
      </c>
      <c r="F11448" s="14">
        <v>0</v>
      </c>
      <c r="G11448" s="13">
        <v>1018725.077</v>
      </c>
      <c r="H11448" s="14">
        <v>1738780335.92514</v>
      </c>
      <c r="I11448" s="14" t="e">
        <f>=Round(39185.25380000,0)</f>
        <v>#VALUE!</v>
      </c>
      <c r="J11448" s="14" t="e">
        <f>=Round(17811.46120000,0)</f>
        <v>#VALUE!</v>
      </c>
    </row>
    <row r="11449">
      <c r="A11449" s="11" t="s">
        <v>46</v>
      </c>
      <c r="B11449" s="12">
        <v>1707.195</v>
      </c>
      <c r="C11449" s="12">
        <v>0</v>
      </c>
      <c r="D11449" s="13">
        <v>0</v>
      </c>
      <c r="E11449" s="12">
        <v>0</v>
      </c>
      <c r="F11449" s="14">
        <v>0</v>
      </c>
      <c r="G11449" s="13">
        <v>1018725.077</v>
      </c>
      <c r="H11449" s="14">
        <v>1739162357.829015</v>
      </c>
      <c r="I11449" s="14" t="e">
        <f>=Round(39193.81900000,0)</f>
        <v>#VALUE!</v>
      </c>
      <c r="J11449" s="14" t="e">
        <f>=Round(17815.35450000,0)</f>
        <v>#VALUE!</v>
      </c>
    </row>
    <row r="11450">
      <c r="A11450" s="11" t="s">
        <v>47</v>
      </c>
      <c r="B11450" s="12">
        <v>1707.57</v>
      </c>
      <c r="C11450" s="12">
        <v>0</v>
      </c>
      <c r="D11450" s="13">
        <v>0</v>
      </c>
      <c r="E11450" s="12">
        <v>0</v>
      </c>
      <c r="F11450" s="14">
        <v>0</v>
      </c>
      <c r="G11450" s="13">
        <v>1018725.077</v>
      </c>
      <c r="H11450" s="14">
        <v>1739544379.73289</v>
      </c>
      <c r="I11450" s="14" t="e">
        <f>=Round(39202.43020000,0)</f>
        <v>#VALUE!</v>
      </c>
      <c r="J11450" s="14" t="e">
        <f>=Round(17819.26860000,0)</f>
        <v>#VALUE!</v>
      </c>
    </row>
    <row r="11451">
      <c r="A11451" s="11" t="s">
        <v>48</v>
      </c>
      <c r="B11451" s="12">
        <v>1707.95</v>
      </c>
      <c r="C11451" s="12">
        <v>0</v>
      </c>
      <c r="D11451" s="13">
        <v>0</v>
      </c>
      <c r="E11451" s="12">
        <v>0</v>
      </c>
      <c r="F11451" s="14">
        <v>0</v>
      </c>
      <c r="G11451" s="13">
        <v>1018725.077</v>
      </c>
      <c r="H11451" s="14">
        <v>1739931495.26215</v>
      </c>
      <c r="I11451" s="14" t="e">
        <f>=Round(39211.04130000,0)</f>
        <v>#VALUE!</v>
      </c>
      <c r="J11451" s="14" t="e">
        <f>=Round(17823.18280000,0)</f>
        <v>#VALUE!</v>
      </c>
    </row>
    <row r="11452">
      <c r="A11452" s="11" t="s">
        <v>49</v>
      </c>
      <c r="B11452" s="12">
        <v>1707.95</v>
      </c>
      <c r="C11452" s="12">
        <v>0</v>
      </c>
      <c r="D11452" s="13">
        <v>0</v>
      </c>
      <c r="E11452" s="12">
        <v>0</v>
      </c>
      <c r="F11452" s="14">
        <v>0</v>
      </c>
      <c r="G11452" s="13">
        <v>1018725.077</v>
      </c>
      <c r="H11452" s="14">
        <v>1739931495.26215</v>
      </c>
      <c r="I11452" s="14" t="e">
        <f>=Round(39219.76730000,0)</f>
        <v>#VALUE!</v>
      </c>
      <c r="J11452" s="14" t="e">
        <f>=Round(17827.14910000,0)</f>
        <v>#VALUE!</v>
      </c>
    </row>
    <row r="11453">
      <c r="A11453" s="11" t="s">
        <v>50</v>
      </c>
      <c r="B11453" s="12">
        <v>1707.95</v>
      </c>
      <c r="C11453" s="12">
        <v>0</v>
      </c>
      <c r="D11453" s="13">
        <v>0</v>
      </c>
      <c r="E11453" s="12">
        <v>0</v>
      </c>
      <c r="F11453" s="14">
        <v>0</v>
      </c>
      <c r="G11453" s="13">
        <v>1018725.077</v>
      </c>
      <c r="H11453" s="14">
        <v>1739931495.26215</v>
      </c>
      <c r="I11453" s="14" t="e">
        <f>=Round(39219.76730000,0)</f>
        <v>#VALUE!</v>
      </c>
      <c r="J11453" s="14" t="e">
        <f>=Round(17827.14910000,0)</f>
        <v>#VALUE!</v>
      </c>
    </row>
    <row r="11454">
      <c r="A11454" s="11" t="s">
        <v>51</v>
      </c>
      <c r="B11454" s="12">
        <v>1709.075</v>
      </c>
      <c r="C11454" s="12">
        <v>0</v>
      </c>
      <c r="D11454" s="13">
        <v>0</v>
      </c>
      <c r="E11454" s="12">
        <v>0</v>
      </c>
      <c r="F11454" s="14">
        <v>0</v>
      </c>
      <c r="G11454" s="13">
        <v>1018725.077</v>
      </c>
      <c r="H11454" s="14">
        <v>1741077560.9737749</v>
      </c>
      <c r="I11454" s="14" t="e">
        <f>=Round(39219.76730000,0)</f>
        <v>#VALUE!</v>
      </c>
      <c r="J11454" s="14" t="e">
        <f>=Round(17827.14910000,0)</f>
        <v>#VALUE!</v>
      </c>
    </row>
    <row r="11455">
      <c r="A11455" s="11" t="s">
        <v>52</v>
      </c>
      <c r="B11455" s="12">
        <v>1709.451</v>
      </c>
      <c r="C11455" s="12">
        <v>0</v>
      </c>
      <c r="D11455" s="13">
        <v>0</v>
      </c>
      <c r="E11455" s="12">
        <v>0</v>
      </c>
      <c r="F11455" s="14">
        <v>0</v>
      </c>
      <c r="G11455" s="13">
        <v>1018725.077</v>
      </c>
      <c r="H11455" s="14">
        <v>1741460601.6027269</v>
      </c>
      <c r="I11455" s="14" t="e">
        <f>=Round(39245.60080000,0)</f>
        <v>#VALUE!</v>
      </c>
      <c r="J11455" s="14" t="e">
        <f>=Round(17838.89160000,0)</f>
        <v>#VALUE!</v>
      </c>
    </row>
    <row r="11456">
      <c r="A11456" s="11" t="s">
        <v>53</v>
      </c>
      <c r="B11456" s="12">
        <v>1709.826</v>
      </c>
      <c r="C11456" s="12">
        <v>584.8548</v>
      </c>
      <c r="D11456" s="13">
        <v>1000000</v>
      </c>
      <c r="E11456" s="12">
        <v>638898.8451</v>
      </c>
      <c r="F11456" s="14">
        <v>1092405856.72</v>
      </c>
      <c r="G11456" s="13">
        <v>1018725.077</v>
      </c>
      <c r="H11456" s="14">
        <v>1741842623.5066021</v>
      </c>
      <c r="I11456" s="14" t="e">
        <f>=Round(39254.23490000,0)</f>
        <v>#VALUE!</v>
      </c>
      <c r="J11456" s="14" t="e">
        <f>=Round(17842.81620000,0)</f>
        <v>#VALUE!</v>
      </c>
    </row>
    <row r="11457">
      <c r="A11457" s="11" t="s">
        <v>54</v>
      </c>
      <c r="B11457" s="12">
        <v>1710.234</v>
      </c>
      <c r="C11457" s="12">
        <v>0</v>
      </c>
      <c r="D11457" s="13">
        <v>0</v>
      </c>
      <c r="E11457" s="12">
        <v>0</v>
      </c>
      <c r="F11457" s="14">
        <v>0</v>
      </c>
      <c r="G11457" s="13">
        <v>380411.0867</v>
      </c>
      <c r="H11457" s="14">
        <v>650591974.451288</v>
      </c>
      <c r="I11457" s="14" t="e">
        <f>=Round(39262.84600000,0)</f>
        <v>#VALUE!</v>
      </c>
      <c r="J11457" s="14" t="e">
        <f>=Round(17846.73030000,0)</f>
        <v>#VALUE!</v>
      </c>
    </row>
    <row r="11458">
      <c r="A11458" s="11" t="s">
        <v>55</v>
      </c>
      <c r="B11458" s="12">
        <v>1710.55</v>
      </c>
      <c r="C11458" s="12">
        <v>0</v>
      </c>
      <c r="D11458" s="13">
        <v>0</v>
      </c>
      <c r="E11458" s="12">
        <v>0</v>
      </c>
      <c r="F11458" s="14">
        <v>0</v>
      </c>
      <c r="G11458" s="13">
        <v>380411.0867</v>
      </c>
      <c r="H11458" s="14">
        <v>650712184.354685</v>
      </c>
      <c r="I11458" s="14" t="e">
        <f>=Round(14664.98300000,0)</f>
        <v>#VALUE!</v>
      </c>
      <c r="J11458" s="14" t="e">
        <f>=Round(6665.89470000,0)</f>
        <v>#VALUE!</v>
      </c>
    </row>
    <row r="11459" ht="-1">
      <c r="A11459" s="15"/>
      <c r="B11459" s="16" t="s">
        <v>56</v>
      </c>
      <c r="C11459" s="15"/>
      <c r="D11459" s="15"/>
      <c r="E11459" s="15"/>
      <c r="F11459" s="15"/>
      <c r="G11459" s="15"/>
      <c r="H11459" s="15"/>
      <c r="I11459" s="17" t="e">
        <f>=Round(SUM(I11433:I11458),0)</f>
        <v>#VALUE!</v>
      </c>
      <c r="J11459" s="17" t="e">
        <f>=Round(SUM(J11433:J11458),0)</f>
        <v>#VALUE!</v>
      </c>
    </row>
    <row r="11460">
      <c r="A11460" s="1" t="s">
        <v>0</v>
      </c>
      <c r="B11460" s="1"/>
      <c r="C11460" s="1"/>
      <c r="D11460" s="1"/>
    </row>
    <row r="11461">
      <c r="A11461" s="0" t="s">
        <v>1</v>
      </c>
      <c r="C11461" s="0" t="s">
        <v>388</v>
      </c>
      <c r="H11461" s="2" t="s">
        <v>3</v>
      </c>
    </row>
    <row r="11462">
      <c r="A11462" s="0" t="s">
        <v>4</v>
      </c>
      <c r="C11462" s="0" t="s">
        <v>127</v>
      </c>
      <c r="H11462" s="3" t="s">
        <v>6</v>
      </c>
    </row>
    <row r="11463">
      <c r="A11463" s="0" t="s">
        <v>7</v>
      </c>
      <c r="C11463" s="4" t="s">
        <v>8</v>
      </c>
      <c r="H11463" s="2" t="s">
        <v>9</v>
      </c>
    </row>
    <row r="11464">
      <c r="A11464" s="0" t="s">
        <v>10</v>
      </c>
      <c r="C11464" s="4" t="s">
        <v>124</v>
      </c>
      <c r="H11464" s="2" t="s">
        <v>12</v>
      </c>
    </row>
    <row r="11465">
      <c r="A11465" s="0" t="s">
        <v>13</v>
      </c>
      <c r="C11465" s="0" t="s">
        <v>14</v>
      </c>
    </row>
    <row r="11466">
      <c r="A11466" s="0" t="s">
        <v>15</v>
      </c>
      <c r="C11466" s="0" t="s">
        <v>16</v>
      </c>
    </row>
    <row r="11467">
      <c r="A11467" s="0" t="s">
        <v>17</v>
      </c>
      <c r="C11467" s="0" t="s">
        <v>18</v>
      </c>
    </row>
    <row r="11470">
      <c r="A11470" s="5" t="s">
        <v>19</v>
      </c>
      <c r="B11470" s="5" t="s">
        <v>20</v>
      </c>
      <c r="C11470" s="7" t="s">
        <v>21</v>
      </c>
      <c r="D11470" s="9"/>
      <c r="E11470" s="7" t="s">
        <v>22</v>
      </c>
      <c r="F11470" s="9"/>
      <c r="G11470" s="5" t="s">
        <v>23</v>
      </c>
      <c r="H11470" s="5" t="s">
        <v>24</v>
      </c>
      <c r="I11470" s="5" t="s">
        <v>25</v>
      </c>
      <c r="J11470" s="5" t="s">
        <v>125</v>
      </c>
    </row>
    <row r="11471">
      <c r="A11471" s="6"/>
      <c r="B11471" s="6"/>
      <c r="C11471" s="8" t="s">
        <v>27</v>
      </c>
      <c r="D11471" s="8" t="s">
        <v>28</v>
      </c>
      <c r="E11471" s="8" t="s">
        <v>27</v>
      </c>
      <c r="F11471" s="8" t="s">
        <v>28</v>
      </c>
      <c r="G11471" s="6"/>
      <c r="H11471" s="6"/>
      <c r="I11471" s="10" t="s">
        <v>29</v>
      </c>
      <c r="J11471" s="6"/>
    </row>
    <row r="11472">
      <c r="A11472" s="11" t="s">
        <v>30</v>
      </c>
      <c r="B11472" s="12">
        <v>1701.229</v>
      </c>
      <c r="C11472" s="12">
        <v>39327.4668</v>
      </c>
      <c r="D11472" s="13">
        <v>66905027</v>
      </c>
      <c r="E11472" s="12">
        <v>1291.9751</v>
      </c>
      <c r="F11472" s="14">
        <v>2197945.17</v>
      </c>
      <c r="G11472" s="13">
        <v>1439474.7744</v>
      </c>
      <c r="H11472" s="14">
        <v>2448876230.9777379</v>
      </c>
      <c r="I11472" s="14" t="e">
        <f>=Round(55160.99730000,0)</f>
        <v>#VALUE!</v>
      </c>
      <c r="J11472" s="14" t="e">
        <f>=Round(25073.15550000,0)</f>
        <v>#VALUE!</v>
      </c>
    </row>
    <row r="11473">
      <c r="A11473" s="11" t="s">
        <v>31</v>
      </c>
      <c r="B11473" s="12">
        <v>1701.603</v>
      </c>
      <c r="C11473" s="12">
        <v>31558.4775</v>
      </c>
      <c r="D11473" s="13">
        <v>53700000</v>
      </c>
      <c r="E11473" s="12">
        <v>120.1016</v>
      </c>
      <c r="F11473" s="14">
        <v>204365.07</v>
      </c>
      <c r="G11473" s="13">
        <v>1477510.2661</v>
      </c>
      <c r="H11473" s="14">
        <v>2514135901.3265581</v>
      </c>
      <c r="I11473" s="14" t="e">
        <f>=Round(55200.07900000,0)</f>
        <v>#VALUE!</v>
      </c>
      <c r="J11473" s="14" t="e">
        <f>=Round(25090.91990000,0)</f>
        <v>#VALUE!</v>
      </c>
    </row>
    <row r="11474">
      <c r="A11474" s="11" t="s">
        <v>32</v>
      </c>
      <c r="B11474" s="12">
        <v>1701.949</v>
      </c>
      <c r="C11474" s="12">
        <v>64749.583</v>
      </c>
      <c r="D11474" s="13">
        <v>110200488</v>
      </c>
      <c r="E11474" s="12">
        <v>293.9965</v>
      </c>
      <c r="F11474" s="14">
        <v>500367.05</v>
      </c>
      <c r="G11474" s="13">
        <v>1508948.642</v>
      </c>
      <c r="H11474" s="14">
        <v>2568153632.3032579</v>
      </c>
      <c r="I11474" s="14" t="e">
        <f>=Round(56671.09610000,0)</f>
        <v>#VALUE!</v>
      </c>
      <c r="J11474" s="14" t="e">
        <f>=Round(25759.56340000,0)</f>
        <v>#VALUE!</v>
      </c>
    </row>
    <row r="11475">
      <c r="A11475" s="11" t="s">
        <v>33</v>
      </c>
      <c r="B11475" s="12">
        <v>1702.322</v>
      </c>
      <c r="C11475" s="12">
        <v>30899.5596</v>
      </c>
      <c r="D11475" s="13">
        <v>52601000</v>
      </c>
      <c r="E11475" s="12">
        <v>1364.7151</v>
      </c>
      <c r="F11475" s="14">
        <v>2323184.54</v>
      </c>
      <c r="G11475" s="13">
        <v>1573404.2285</v>
      </c>
      <c r="H11475" s="14">
        <v>2678440633.0685768</v>
      </c>
      <c r="I11475" s="14" t="e">
        <f>=Round(57888.70890000,0)</f>
        <v>#VALUE!</v>
      </c>
      <c r="J11475" s="14" t="e">
        <f>=Round(26313.02320000,0)</f>
        <v>#VALUE!</v>
      </c>
    </row>
    <row r="11476">
      <c r="A11476" s="11" t="s">
        <v>34</v>
      </c>
      <c r="B11476" s="12">
        <v>1702.696</v>
      </c>
      <c r="C11476" s="12">
        <v>671.3789</v>
      </c>
      <c r="D11476" s="13">
        <v>1143154</v>
      </c>
      <c r="E11476" s="12">
        <v>604.5671</v>
      </c>
      <c r="F11476" s="14">
        <v>1029393.98</v>
      </c>
      <c r="G11476" s="13">
        <v>1602939.073</v>
      </c>
      <c r="H11476" s="14">
        <v>2729317947.8408079</v>
      </c>
      <c r="I11476" s="14" t="e">
        <f>=Round(60374.68640000,0)</f>
        <v>#VALUE!</v>
      </c>
      <c r="J11476" s="14" t="e">
        <f>=Round(27443.01180000,0)</f>
        <v>#VALUE!</v>
      </c>
    </row>
    <row r="11477">
      <c r="A11477" s="11" t="s">
        <v>35</v>
      </c>
      <c r="B11477" s="12">
        <v>1702.696</v>
      </c>
      <c r="C11477" s="12">
        <v>0</v>
      </c>
      <c r="D11477" s="13">
        <v>0</v>
      </c>
      <c r="E11477" s="12">
        <v>0</v>
      </c>
      <c r="F11477" s="14">
        <v>0</v>
      </c>
      <c r="G11477" s="13">
        <v>1602939.073</v>
      </c>
      <c r="H11477" s="14">
        <v>2729317947.8408079</v>
      </c>
      <c r="I11477" s="14" t="e">
        <f>=Round(61521.51110000,0)</f>
        <v>#VALUE!</v>
      </c>
      <c r="J11477" s="14" t="e">
        <f>=Round(27964.29530000,0)</f>
        <v>#VALUE!</v>
      </c>
    </row>
    <row r="11478">
      <c r="A11478" s="11" t="s">
        <v>36</v>
      </c>
      <c r="B11478" s="12">
        <v>1702.696</v>
      </c>
      <c r="C11478" s="12">
        <v>0</v>
      </c>
      <c r="D11478" s="13">
        <v>0</v>
      </c>
      <c r="E11478" s="12">
        <v>0</v>
      </c>
      <c r="F11478" s="14">
        <v>0</v>
      </c>
      <c r="G11478" s="13">
        <v>1602939.073</v>
      </c>
      <c r="H11478" s="14">
        <v>2729317947.8408079</v>
      </c>
      <c r="I11478" s="14" t="e">
        <f>=Round(61521.51110000,0)</f>
        <v>#VALUE!</v>
      </c>
      <c r="J11478" s="14" t="e">
        <f>=Round(27964.29530000,0)</f>
        <v>#VALUE!</v>
      </c>
    </row>
    <row r="11479">
      <c r="A11479" s="11" t="s">
        <v>37</v>
      </c>
      <c r="B11479" s="12">
        <v>1703.818</v>
      </c>
      <c r="C11479" s="12">
        <v>146.7293</v>
      </c>
      <c r="D11479" s="13">
        <v>250000</v>
      </c>
      <c r="E11479" s="12">
        <v>76748.8404</v>
      </c>
      <c r="F11479" s="14">
        <v>130766055.75</v>
      </c>
      <c r="G11479" s="13">
        <v>1603005.8848</v>
      </c>
      <c r="H11479" s="14">
        <v>2731230280.6281662</v>
      </c>
      <c r="I11479" s="14" t="e">
        <f>=Round(61521.51110000,0)</f>
        <v>#VALUE!</v>
      </c>
      <c r="J11479" s="14" t="e">
        <f>=Round(27964.29530000,0)</f>
        <v>#VALUE!</v>
      </c>
    </row>
    <row r="11480">
      <c r="A11480" s="11" t="s">
        <v>38</v>
      </c>
      <c r="B11480" s="12">
        <v>1704.192</v>
      </c>
      <c r="C11480" s="12">
        <v>0</v>
      </c>
      <c r="D11480" s="13">
        <v>0</v>
      </c>
      <c r="E11480" s="12">
        <v>0</v>
      </c>
      <c r="F11480" s="14">
        <v>0</v>
      </c>
      <c r="G11480" s="13">
        <v>1526403.7737</v>
      </c>
      <c r="H11480" s="14">
        <v>2601285099.90935</v>
      </c>
      <c r="I11480" s="14" t="e">
        <f>=Round(61564.61700000,0)</f>
        <v>#VALUE!</v>
      </c>
      <c r="J11480" s="14" t="e">
        <f>=Round(27983.88880000,0)</f>
        <v>#VALUE!</v>
      </c>
    </row>
    <row r="11481">
      <c r="A11481" s="11" t="s">
        <v>39</v>
      </c>
      <c r="B11481" s="12">
        <v>1704.55</v>
      </c>
      <c r="C11481" s="12">
        <v>2992.0835</v>
      </c>
      <c r="D11481" s="13">
        <v>5100156</v>
      </c>
      <c r="E11481" s="12">
        <v>0</v>
      </c>
      <c r="F11481" s="14">
        <v>0</v>
      </c>
      <c r="G11481" s="13">
        <v>1526403.7737</v>
      </c>
      <c r="H11481" s="14">
        <v>2601831552.4603348</v>
      </c>
      <c r="I11481" s="14" t="e">
        <f>=Round(58635.52480000,0)</f>
        <v>#VALUE!</v>
      </c>
      <c r="J11481" s="14" t="e">
        <f>=Round(26652.48460000,0)</f>
        <v>#VALUE!</v>
      </c>
    </row>
    <row r="11482">
      <c r="A11482" s="11" t="s">
        <v>40</v>
      </c>
      <c r="B11482" s="12">
        <v>1704.928</v>
      </c>
      <c r="C11482" s="12">
        <v>0</v>
      </c>
      <c r="D11482" s="13">
        <v>0</v>
      </c>
      <c r="E11482" s="12">
        <v>0</v>
      </c>
      <c r="F11482" s="14">
        <v>0</v>
      </c>
      <c r="G11482" s="13">
        <v>1529395.8572</v>
      </c>
      <c r="H11482" s="14">
        <v>2607509820.024282</v>
      </c>
      <c r="I11482" s="14" t="e">
        <f>=Round(58647.84240000,0)</f>
        <v>#VALUE!</v>
      </c>
      <c r="J11482" s="14" t="e">
        <f>=Round(26658.08350000,0)</f>
        <v>#VALUE!</v>
      </c>
    </row>
    <row r="11483">
      <c r="A11483" s="11" t="s">
        <v>41</v>
      </c>
      <c r="B11483" s="12">
        <v>1705.306</v>
      </c>
      <c r="C11483" s="12">
        <v>58.6405</v>
      </c>
      <c r="D11483" s="13">
        <v>100000</v>
      </c>
      <c r="E11483" s="12">
        <v>147176.1946</v>
      </c>
      <c r="F11483" s="14">
        <v>250980447.71</v>
      </c>
      <c r="G11483" s="13">
        <v>1529395.8572</v>
      </c>
      <c r="H11483" s="14">
        <v>2608087931.6583028</v>
      </c>
      <c r="I11483" s="14" t="e">
        <f>=Round(58775.83610000,0)</f>
        <v>#VALUE!</v>
      </c>
      <c r="J11483" s="14" t="e">
        <f>=Round(26716.26240000,0)</f>
        <v>#VALUE!</v>
      </c>
    </row>
    <row r="11484">
      <c r="A11484" s="11" t="s">
        <v>42</v>
      </c>
      <c r="B11484" s="12">
        <v>1705.306</v>
      </c>
      <c r="C11484" s="12">
        <v>0</v>
      </c>
      <c r="D11484" s="13">
        <v>0</v>
      </c>
      <c r="E11484" s="12">
        <v>0</v>
      </c>
      <c r="F11484" s="14">
        <v>0</v>
      </c>
      <c r="G11484" s="13">
        <v>1529395.8572</v>
      </c>
      <c r="H11484" s="14">
        <v>2608087931.6583028</v>
      </c>
      <c r="I11484" s="14" t="e">
        <f>=Round(58788.86730000,0)</f>
        <v>#VALUE!</v>
      </c>
      <c r="J11484" s="14" t="e">
        <f>=Round(26722.18570000,0)</f>
        <v>#VALUE!</v>
      </c>
    </row>
    <row r="11485">
      <c r="A11485" s="11" t="s">
        <v>43</v>
      </c>
      <c r="B11485" s="12">
        <v>1705.306</v>
      </c>
      <c r="C11485" s="12">
        <v>0</v>
      </c>
      <c r="D11485" s="13">
        <v>0</v>
      </c>
      <c r="E11485" s="12">
        <v>0</v>
      </c>
      <c r="F11485" s="14">
        <v>0</v>
      </c>
      <c r="G11485" s="13">
        <v>1529395.8572</v>
      </c>
      <c r="H11485" s="14">
        <v>2608087931.6583028</v>
      </c>
      <c r="I11485" s="14" t="e">
        <f>=Round(58788.86730000,0)</f>
        <v>#VALUE!</v>
      </c>
      <c r="J11485" s="14" t="e">
        <f>=Round(26722.18570000,0)</f>
        <v>#VALUE!</v>
      </c>
    </row>
    <row r="11486">
      <c r="A11486" s="11" t="s">
        <v>44</v>
      </c>
      <c r="B11486" s="12">
        <v>1706.447</v>
      </c>
      <c r="C11486" s="12">
        <v>11427.3588</v>
      </c>
      <c r="D11486" s="13">
        <v>19500182</v>
      </c>
      <c r="E11486" s="12">
        <v>0</v>
      </c>
      <c r="F11486" s="14">
        <v>0</v>
      </c>
      <c r="G11486" s="13">
        <v>1382278.3031</v>
      </c>
      <c r="H11486" s="14">
        <v>2358784663.4900861</v>
      </c>
      <c r="I11486" s="14" t="e">
        <f>=Round(58788.86730000,0)</f>
        <v>#VALUE!</v>
      </c>
      <c r="J11486" s="14" t="e">
        <f>=Round(26722.18570000,0)</f>
        <v>#VALUE!</v>
      </c>
    </row>
    <row r="11487">
      <c r="A11487" s="11" t="s">
        <v>45</v>
      </c>
      <c r="B11487" s="12">
        <v>1706.82</v>
      </c>
      <c r="C11487" s="12">
        <v>0</v>
      </c>
      <c r="D11487" s="13">
        <v>0</v>
      </c>
      <c r="E11487" s="12">
        <v>236.6024</v>
      </c>
      <c r="F11487" s="14">
        <v>403837.71</v>
      </c>
      <c r="G11487" s="13">
        <v>1393705.6619</v>
      </c>
      <c r="H11487" s="14">
        <v>2378804697.8441582</v>
      </c>
      <c r="I11487" s="14" t="e">
        <f>=Round(53169.32640000,0)</f>
        <v>#VALUE!</v>
      </c>
      <c r="J11487" s="14" t="e">
        <f>=Round(24167.85150000,0)</f>
        <v>#VALUE!</v>
      </c>
    </row>
    <row r="11488">
      <c r="A11488" s="11" t="s">
        <v>46</v>
      </c>
      <c r="B11488" s="12">
        <v>1707.195</v>
      </c>
      <c r="C11488" s="12">
        <v>2928.7808</v>
      </c>
      <c r="D11488" s="13">
        <v>5000000</v>
      </c>
      <c r="E11488" s="12">
        <v>0</v>
      </c>
      <c r="F11488" s="14">
        <v>0</v>
      </c>
      <c r="G11488" s="13">
        <v>1393469.0595</v>
      </c>
      <c r="H11488" s="14">
        <v>2378923411.033103</v>
      </c>
      <c r="I11488" s="14" t="e">
        <f>=Round(53620.59770000,0)</f>
        <v>#VALUE!</v>
      </c>
      <c r="J11488" s="14" t="e">
        <f>=Round(24372.97460000,0)</f>
        <v>#VALUE!</v>
      </c>
    </row>
    <row r="11489">
      <c r="A11489" s="11" t="s">
        <v>47</v>
      </c>
      <c r="B11489" s="12">
        <v>1707.57</v>
      </c>
      <c r="C11489" s="12">
        <v>0</v>
      </c>
      <c r="D11489" s="13">
        <v>0</v>
      </c>
      <c r="E11489" s="12">
        <v>0</v>
      </c>
      <c r="F11489" s="14">
        <v>0</v>
      </c>
      <c r="G11489" s="13">
        <v>1396397.8403</v>
      </c>
      <c r="H11489" s="14">
        <v>2384447060.1610708</v>
      </c>
      <c r="I11489" s="14" t="e">
        <f>=Round(53623.27360000,0)</f>
        <v>#VALUE!</v>
      </c>
      <c r="J11489" s="14" t="e">
        <f>=Round(24374.19090000,0)</f>
        <v>#VALUE!</v>
      </c>
    </row>
    <row r="11490">
      <c r="A11490" s="11" t="s">
        <v>48</v>
      </c>
      <c r="B11490" s="12">
        <v>1707.95</v>
      </c>
      <c r="C11490" s="12">
        <v>35129.8832</v>
      </c>
      <c r="D11490" s="13">
        <v>60000084</v>
      </c>
      <c r="E11490" s="12">
        <v>0</v>
      </c>
      <c r="F11490" s="14">
        <v>0</v>
      </c>
      <c r="G11490" s="13">
        <v>1396397.8403</v>
      </c>
      <c r="H11490" s="14">
        <v>2384977691.340385</v>
      </c>
      <c r="I11490" s="14" t="e">
        <f>=Round(53747.78210000,0)</f>
        <v>#VALUE!</v>
      </c>
      <c r="J11490" s="14" t="e">
        <f>=Round(24430.78560000,0)</f>
        <v>#VALUE!</v>
      </c>
    </row>
    <row r="11491">
      <c r="A11491" s="11" t="s">
        <v>49</v>
      </c>
      <c r="B11491" s="12">
        <v>1707.95</v>
      </c>
      <c r="C11491" s="12">
        <v>0</v>
      </c>
      <c r="D11491" s="13">
        <v>0</v>
      </c>
      <c r="E11491" s="12">
        <v>0</v>
      </c>
      <c r="F11491" s="14">
        <v>0</v>
      </c>
      <c r="G11491" s="13">
        <v>1396397.8403</v>
      </c>
      <c r="H11491" s="14">
        <v>2384977691.340385</v>
      </c>
      <c r="I11491" s="14" t="e">
        <f>=Round(53759.74300000,0)</f>
        <v>#VALUE!</v>
      </c>
      <c r="J11491" s="14" t="e">
        <f>=Round(24436.22240000,0)</f>
        <v>#VALUE!</v>
      </c>
    </row>
    <row r="11492">
      <c r="A11492" s="11" t="s">
        <v>50</v>
      </c>
      <c r="B11492" s="12">
        <v>1707.95</v>
      </c>
      <c r="C11492" s="12">
        <v>0</v>
      </c>
      <c r="D11492" s="13">
        <v>0</v>
      </c>
      <c r="E11492" s="12">
        <v>0</v>
      </c>
      <c r="F11492" s="14">
        <v>0</v>
      </c>
      <c r="G11492" s="13">
        <v>1396397.8403</v>
      </c>
      <c r="H11492" s="14">
        <v>2384977691.340385</v>
      </c>
      <c r="I11492" s="14" t="e">
        <f>=Round(53759.74300000,0)</f>
        <v>#VALUE!</v>
      </c>
      <c r="J11492" s="14" t="e">
        <f>=Round(24436.22240000,0)</f>
        <v>#VALUE!</v>
      </c>
    </row>
    <row r="11493">
      <c r="A11493" s="11" t="s">
        <v>51</v>
      </c>
      <c r="B11493" s="12">
        <v>1709.075</v>
      </c>
      <c r="C11493" s="12">
        <v>0</v>
      </c>
      <c r="D11493" s="13">
        <v>0</v>
      </c>
      <c r="E11493" s="12">
        <v>0</v>
      </c>
      <c r="F11493" s="14">
        <v>0</v>
      </c>
      <c r="G11493" s="13">
        <v>1431527.7235</v>
      </c>
      <c r="H11493" s="14">
        <v>2446588244.0407629</v>
      </c>
      <c r="I11493" s="14" t="e">
        <f>=Round(53759.74300000,0)</f>
        <v>#VALUE!</v>
      </c>
      <c r="J11493" s="14" t="e">
        <f>=Round(24436.22240000,0)</f>
        <v>#VALUE!</v>
      </c>
    </row>
    <row r="11494">
      <c r="A11494" s="11" t="s">
        <v>52</v>
      </c>
      <c r="B11494" s="12">
        <v>1709.451</v>
      </c>
      <c r="C11494" s="12">
        <v>614.2323</v>
      </c>
      <c r="D11494" s="13">
        <v>1050000</v>
      </c>
      <c r="E11494" s="12">
        <v>0.0001</v>
      </c>
      <c r="F11494" s="14">
        <v>0</v>
      </c>
      <c r="G11494" s="13">
        <v>1431527.7235</v>
      </c>
      <c r="H11494" s="14">
        <v>2447126498.4647989</v>
      </c>
      <c r="I11494" s="14" t="e">
        <f>=Round(55148.50550000,0)</f>
        <v>#VALUE!</v>
      </c>
      <c r="J11494" s="14" t="e">
        <f>=Round(25067.47740000,0)</f>
        <v>#VALUE!</v>
      </c>
    </row>
    <row r="11495">
      <c r="A11495" s="11" t="s">
        <v>53</v>
      </c>
      <c r="B11495" s="12">
        <v>1709.826</v>
      </c>
      <c r="C11495" s="12">
        <v>1959.4397</v>
      </c>
      <c r="D11495" s="13">
        <v>3350301</v>
      </c>
      <c r="E11495" s="12">
        <v>5733.6572</v>
      </c>
      <c r="F11495" s="14">
        <v>9803556.16</v>
      </c>
      <c r="G11495" s="13">
        <v>1432141.9557</v>
      </c>
      <c r="H11495" s="14">
        <v>2448713551.5467081</v>
      </c>
      <c r="I11495" s="14" t="e">
        <f>=Round(55160.63830000,0)</f>
        <v>#VALUE!</v>
      </c>
      <c r="J11495" s="14" t="e">
        <f>=Round(25072.99230000,0)</f>
        <v>#VALUE!</v>
      </c>
    </row>
    <row r="11496">
      <c r="A11496" s="11" t="s">
        <v>54</v>
      </c>
      <c r="B11496" s="12">
        <v>1710.234</v>
      </c>
      <c r="C11496" s="12">
        <v>175.4146</v>
      </c>
      <c r="D11496" s="13">
        <v>300000</v>
      </c>
      <c r="E11496" s="12">
        <v>0</v>
      </c>
      <c r="F11496" s="14">
        <v>0</v>
      </c>
      <c r="G11496" s="13">
        <v>1428367.7382</v>
      </c>
      <c r="H11496" s="14">
        <v>2442843070.3727388</v>
      </c>
      <c r="I11496" s="14" t="e">
        <f>=Round(55196.41200000,0)</f>
        <v>#VALUE!</v>
      </c>
      <c r="J11496" s="14" t="e">
        <f>=Round(25089.25310000,0)</f>
        <v>#VALUE!</v>
      </c>
    </row>
    <row r="11497">
      <c r="A11497" s="11" t="s">
        <v>55</v>
      </c>
      <c r="B11497" s="12">
        <v>1710.55</v>
      </c>
      <c r="C11497" s="12">
        <v>0</v>
      </c>
      <c r="D11497" s="13">
        <v>0</v>
      </c>
      <c r="E11497" s="12">
        <v>292.4274</v>
      </c>
      <c r="F11497" s="14">
        <v>500211.69</v>
      </c>
      <c r="G11497" s="13">
        <v>1428543.1528</v>
      </c>
      <c r="H11497" s="14">
        <v>2443594490.02204</v>
      </c>
      <c r="I11497" s="14" t="e">
        <f>=Round(55064.08560000,0)</f>
        <v>#VALUE!</v>
      </c>
      <c r="J11497" s="14" t="e">
        <f>=Round(25029.10480000,0)</f>
        <v>#VALUE!</v>
      </c>
    </row>
    <row r="11498" ht="-1">
      <c r="A11498" s="15"/>
      <c r="B11498" s="16" t="s">
        <v>56</v>
      </c>
      <c r="C11498" s="15"/>
      <c r="D11498" s="15"/>
      <c r="E11498" s="15"/>
      <c r="F11498" s="15"/>
      <c r="G11498" s="15"/>
      <c r="H11498" s="15"/>
      <c r="I11498" s="17" t="e">
        <f>=Round(SUM(I11472:I11497),0)</f>
        <v>#VALUE!</v>
      </c>
      <c r="J11498" s="17" t="e">
        <f>=Round(SUM(J11472:J11497),0)</f>
        <v>#VALUE!</v>
      </c>
    </row>
    <row r="11499">
      <c r="A11499" s="1" t="s">
        <v>0</v>
      </c>
      <c r="B11499" s="1"/>
      <c r="C11499" s="1"/>
      <c r="D11499" s="1"/>
    </row>
    <row r="11500">
      <c r="A11500" s="0" t="s">
        <v>1</v>
      </c>
      <c r="C11500" s="0" t="s">
        <v>388</v>
      </c>
      <c r="H11500" s="2" t="s">
        <v>3</v>
      </c>
    </row>
    <row r="11501">
      <c r="A11501" s="0" t="s">
        <v>4</v>
      </c>
      <c r="C11501" s="0" t="s">
        <v>129</v>
      </c>
      <c r="H11501" s="3" t="s">
        <v>6</v>
      </c>
    </row>
    <row r="11502">
      <c r="A11502" s="0" t="s">
        <v>7</v>
      </c>
      <c r="C11502" s="4" t="s">
        <v>8</v>
      </c>
      <c r="H11502" s="2" t="s">
        <v>9</v>
      </c>
    </row>
    <row r="11503">
      <c r="A11503" s="0" t="s">
        <v>10</v>
      </c>
      <c r="C11503" s="4" t="s">
        <v>124</v>
      </c>
      <c r="H11503" s="2" t="s">
        <v>12</v>
      </c>
    </row>
    <row r="11504">
      <c r="A11504" s="0" t="s">
        <v>13</v>
      </c>
      <c r="C11504" s="0" t="s">
        <v>14</v>
      </c>
    </row>
    <row r="11505">
      <c r="A11505" s="0" t="s">
        <v>15</v>
      </c>
      <c r="C11505" s="0" t="s">
        <v>16</v>
      </c>
    </row>
    <row r="11506">
      <c r="A11506" s="0" t="s">
        <v>17</v>
      </c>
      <c r="C11506" s="0" t="s">
        <v>18</v>
      </c>
    </row>
    <row r="11509">
      <c r="A11509" s="5" t="s">
        <v>19</v>
      </c>
      <c r="B11509" s="5" t="s">
        <v>20</v>
      </c>
      <c r="C11509" s="7" t="s">
        <v>21</v>
      </c>
      <c r="D11509" s="9"/>
      <c r="E11509" s="7" t="s">
        <v>22</v>
      </c>
      <c r="F11509" s="9"/>
      <c r="G11509" s="5" t="s">
        <v>23</v>
      </c>
      <c r="H11509" s="5" t="s">
        <v>24</v>
      </c>
      <c r="I11509" s="5" t="s">
        <v>25</v>
      </c>
      <c r="J11509" s="5" t="s">
        <v>125</v>
      </c>
    </row>
    <row r="11510">
      <c r="A11510" s="6"/>
      <c r="B11510" s="6"/>
      <c r="C11510" s="8" t="s">
        <v>27</v>
      </c>
      <c r="D11510" s="8" t="s">
        <v>28</v>
      </c>
      <c r="E11510" s="8" t="s">
        <v>27</v>
      </c>
      <c r="F11510" s="8" t="s">
        <v>28</v>
      </c>
      <c r="G11510" s="6"/>
      <c r="H11510" s="6"/>
      <c r="I11510" s="10" t="s">
        <v>29</v>
      </c>
      <c r="J11510" s="6"/>
    </row>
    <row r="11511">
      <c r="A11511" s="11" t="s">
        <v>30</v>
      </c>
      <c r="B11511" s="12">
        <v>1701.229</v>
      </c>
      <c r="C11511" s="12">
        <v>0</v>
      </c>
      <c r="D11511" s="13">
        <v>0</v>
      </c>
      <c r="E11511" s="12">
        <v>0</v>
      </c>
      <c r="F11511" s="14">
        <v>0</v>
      </c>
      <c r="G11511" s="13">
        <v>1157835.1967</v>
      </c>
      <c r="H11511" s="14">
        <v>1969742813.8467441</v>
      </c>
      <c r="I11511" s="14" t="e">
        <f>=Round(44359.04790000,0)</f>
        <v>#VALUE!</v>
      </c>
      <c r="J11511" s="14" t="e">
        <f>=Round(20163.18340000,0)</f>
        <v>#VALUE!</v>
      </c>
    </row>
    <row r="11512">
      <c r="A11512" s="11" t="s">
        <v>31</v>
      </c>
      <c r="B11512" s="12">
        <v>1701.603</v>
      </c>
      <c r="C11512" s="12">
        <v>293.8406</v>
      </c>
      <c r="D11512" s="13">
        <v>500000</v>
      </c>
      <c r="E11512" s="12">
        <v>11756.2068</v>
      </c>
      <c r="F11512" s="14">
        <v>20004396.76</v>
      </c>
      <c r="G11512" s="13">
        <v>1157835.1967</v>
      </c>
      <c r="H11512" s="14">
        <v>1970175844.21031</v>
      </c>
      <c r="I11512" s="14" t="e">
        <f>=Round(44399.94050000,0)</f>
        <v>#VALUE!</v>
      </c>
      <c r="J11512" s="14" t="e">
        <f>=Round(20181.77090000,0)</f>
        <v>#VALUE!</v>
      </c>
    </row>
    <row r="11513">
      <c r="A11513" s="11" t="s">
        <v>32</v>
      </c>
      <c r="B11513" s="12">
        <v>1701.949</v>
      </c>
      <c r="C11513" s="12">
        <v>293.7808</v>
      </c>
      <c r="D11513" s="13">
        <v>500000</v>
      </c>
      <c r="E11513" s="12">
        <v>0</v>
      </c>
      <c r="F11513" s="14">
        <v>0</v>
      </c>
      <c r="G11513" s="13">
        <v>1146372.8305</v>
      </c>
      <c r="H11513" s="14">
        <v>1951068092.496645</v>
      </c>
      <c r="I11513" s="14" t="e">
        <f>=Round(44409.70140000,0)</f>
        <v>#VALUE!</v>
      </c>
      <c r="J11513" s="14" t="e">
        <f>=Round(20186.20770000,0)</f>
        <v>#VALUE!</v>
      </c>
    </row>
    <row r="11514">
      <c r="A11514" s="11" t="s">
        <v>33</v>
      </c>
      <c r="B11514" s="12">
        <v>1702.322</v>
      </c>
      <c r="C11514" s="12">
        <v>0</v>
      </c>
      <c r="D11514" s="13">
        <v>0</v>
      </c>
      <c r="E11514" s="12">
        <v>2937.8084</v>
      </c>
      <c r="F11514" s="14">
        <v>5001095.87</v>
      </c>
      <c r="G11514" s="13">
        <v>1146666.6113</v>
      </c>
      <c r="H11514" s="14">
        <v>1951995799.081439</v>
      </c>
      <c r="I11514" s="14" t="e">
        <f>=Round(43978.99390000,0)</f>
        <v>#VALUE!</v>
      </c>
      <c r="J11514" s="14" t="e">
        <f>=Round(19990.43180000,0)</f>
        <v>#VALUE!</v>
      </c>
    </row>
    <row r="11515">
      <c r="A11515" s="11" t="s">
        <v>34</v>
      </c>
      <c r="B11515" s="12">
        <v>1702.696</v>
      </c>
      <c r="C11515" s="12">
        <v>0</v>
      </c>
      <c r="D11515" s="13">
        <v>0</v>
      </c>
      <c r="E11515" s="12">
        <v>0</v>
      </c>
      <c r="F11515" s="14">
        <v>0</v>
      </c>
      <c r="G11515" s="13">
        <v>1143728.8029</v>
      </c>
      <c r="H11515" s="14">
        <v>1947422457.7826181</v>
      </c>
      <c r="I11515" s="14" t="e">
        <f>=Round(43999.90530000,0)</f>
        <v>#VALUE!</v>
      </c>
      <c r="J11515" s="14" t="e">
        <f>=Round(19999.93700000,0)</f>
        <v>#VALUE!</v>
      </c>
    </row>
    <row r="11516">
      <c r="A11516" s="11" t="s">
        <v>35</v>
      </c>
      <c r="B11516" s="12">
        <v>1702.696</v>
      </c>
      <c r="C11516" s="12">
        <v>0</v>
      </c>
      <c r="D11516" s="13">
        <v>0</v>
      </c>
      <c r="E11516" s="12">
        <v>0</v>
      </c>
      <c r="F11516" s="14">
        <v>0</v>
      </c>
      <c r="G11516" s="13">
        <v>1143728.8029</v>
      </c>
      <c r="H11516" s="14">
        <v>1947422457.7826181</v>
      </c>
      <c r="I11516" s="14" t="e">
        <f>=Round(43896.81770000,0)</f>
        <v>#VALUE!</v>
      </c>
      <c r="J11516" s="14" t="e">
        <f>=Round(19953.07900000,0)</f>
        <v>#VALUE!</v>
      </c>
    </row>
    <row r="11517">
      <c r="A11517" s="11" t="s">
        <v>36</v>
      </c>
      <c r="B11517" s="12">
        <v>1702.696</v>
      </c>
      <c r="C11517" s="12">
        <v>0</v>
      </c>
      <c r="D11517" s="13">
        <v>0</v>
      </c>
      <c r="E11517" s="12">
        <v>0</v>
      </c>
      <c r="F11517" s="14">
        <v>0</v>
      </c>
      <c r="G11517" s="13">
        <v>1143728.8029</v>
      </c>
      <c r="H11517" s="14">
        <v>1947422457.7826181</v>
      </c>
      <c r="I11517" s="14" t="e">
        <f>=Round(43896.81770000,0)</f>
        <v>#VALUE!</v>
      </c>
      <c r="J11517" s="14" t="e">
        <f>=Round(19953.07900000,0)</f>
        <v>#VALUE!</v>
      </c>
    </row>
    <row r="11518">
      <c r="A11518" s="11" t="s">
        <v>37</v>
      </c>
      <c r="B11518" s="12">
        <v>1703.818</v>
      </c>
      <c r="C11518" s="12">
        <v>440.1879</v>
      </c>
      <c r="D11518" s="13">
        <v>750000</v>
      </c>
      <c r="E11518" s="12">
        <v>146.826</v>
      </c>
      <c r="F11518" s="14">
        <v>250164.78</v>
      </c>
      <c r="G11518" s="13">
        <v>1143728.8029</v>
      </c>
      <c r="H11518" s="14">
        <v>1948705721.4994719</v>
      </c>
      <c r="I11518" s="14" t="e">
        <f>=Round(43896.81770000,0)</f>
        <v>#VALUE!</v>
      </c>
      <c r="J11518" s="14" t="e">
        <f>=Round(19953.07900000,0)</f>
        <v>#VALUE!</v>
      </c>
    </row>
    <row r="11519">
      <c r="A11519" s="11" t="s">
        <v>38</v>
      </c>
      <c r="B11519" s="12">
        <v>1704.192</v>
      </c>
      <c r="C11519" s="12">
        <v>0</v>
      </c>
      <c r="D11519" s="13">
        <v>0</v>
      </c>
      <c r="E11519" s="12">
        <v>6030.8681</v>
      </c>
      <c r="F11519" s="14">
        <v>10277757.17</v>
      </c>
      <c r="G11519" s="13">
        <v>1144022.1648</v>
      </c>
      <c r="H11519" s="14">
        <v>1949633421.074842</v>
      </c>
      <c r="I11519" s="14" t="e">
        <f>=Round(43925.74370000,0)</f>
        <v>#VALUE!</v>
      </c>
      <c r="J11519" s="14" t="e">
        <f>=Round(19966.22720000,0)</f>
        <v>#VALUE!</v>
      </c>
    </row>
    <row r="11520">
      <c r="A11520" s="11" t="s">
        <v>39</v>
      </c>
      <c r="B11520" s="12">
        <v>1704.55</v>
      </c>
      <c r="C11520" s="12">
        <v>0</v>
      </c>
      <c r="D11520" s="13">
        <v>0</v>
      </c>
      <c r="E11520" s="12">
        <v>70.4301</v>
      </c>
      <c r="F11520" s="14">
        <v>120051.63</v>
      </c>
      <c r="G11520" s="13">
        <v>1137991.2967</v>
      </c>
      <c r="H11520" s="14">
        <v>1939763064.7899849</v>
      </c>
      <c r="I11520" s="14" t="e">
        <f>=Round(43946.65500000,0)</f>
        <v>#VALUE!</v>
      </c>
      <c r="J11520" s="14" t="e">
        <f>=Round(19975.73230000,0)</f>
        <v>#VALUE!</v>
      </c>
    </row>
    <row r="11521">
      <c r="A11521" s="11" t="s">
        <v>40</v>
      </c>
      <c r="B11521" s="12">
        <v>1704.928</v>
      </c>
      <c r="C11521" s="12">
        <v>0</v>
      </c>
      <c r="D11521" s="13">
        <v>0</v>
      </c>
      <c r="E11521" s="12">
        <v>0</v>
      </c>
      <c r="F11521" s="14">
        <v>0</v>
      </c>
      <c r="G11521" s="13">
        <v>1137920.8666</v>
      </c>
      <c r="H11521" s="14">
        <v>1940073147.2506051</v>
      </c>
      <c r="I11521" s="14" t="e">
        <f>=Round(43724.16740000,0)</f>
        <v>#VALUE!</v>
      </c>
      <c r="J11521" s="14" t="e">
        <f>=Round(19874.60170000,0)</f>
        <v>#VALUE!</v>
      </c>
    </row>
    <row r="11522">
      <c r="A11522" s="11" t="s">
        <v>41</v>
      </c>
      <c r="B11522" s="12">
        <v>1705.306</v>
      </c>
      <c r="C11522" s="12">
        <v>0</v>
      </c>
      <c r="D11522" s="13">
        <v>0</v>
      </c>
      <c r="E11522" s="12">
        <v>0</v>
      </c>
      <c r="F11522" s="14">
        <v>0</v>
      </c>
      <c r="G11522" s="13">
        <v>1137920.8666</v>
      </c>
      <c r="H11522" s="14">
        <v>1940503281.33818</v>
      </c>
      <c r="I11522" s="14" t="e">
        <f>=Round(43731.15700000,0)</f>
        <v>#VALUE!</v>
      </c>
      <c r="J11522" s="14" t="e">
        <f>=Round(19877.77880000,0)</f>
        <v>#VALUE!</v>
      </c>
    </row>
    <row r="11523">
      <c r="A11523" s="11" t="s">
        <v>42</v>
      </c>
      <c r="B11523" s="12">
        <v>1705.306</v>
      </c>
      <c r="C11523" s="12">
        <v>0</v>
      </c>
      <c r="D11523" s="13">
        <v>0</v>
      </c>
      <c r="E11523" s="12">
        <v>0</v>
      </c>
      <c r="F11523" s="14">
        <v>0</v>
      </c>
      <c r="G11523" s="13">
        <v>1137920.8666</v>
      </c>
      <c r="H11523" s="14">
        <v>1940503281.33818</v>
      </c>
      <c r="I11523" s="14" t="e">
        <f>=Round(43740.85270000,0)</f>
        <v>#VALUE!</v>
      </c>
      <c r="J11523" s="14" t="e">
        <f>=Round(19882.18590000,0)</f>
        <v>#VALUE!</v>
      </c>
    </row>
    <row r="11524">
      <c r="A11524" s="11" t="s">
        <v>43</v>
      </c>
      <c r="B11524" s="12">
        <v>1705.306</v>
      </c>
      <c r="C11524" s="12">
        <v>0</v>
      </c>
      <c r="D11524" s="13">
        <v>0</v>
      </c>
      <c r="E11524" s="12">
        <v>0</v>
      </c>
      <c r="F11524" s="14">
        <v>0</v>
      </c>
      <c r="G11524" s="13">
        <v>1137920.8666</v>
      </c>
      <c r="H11524" s="14">
        <v>1940503281.33818</v>
      </c>
      <c r="I11524" s="14" t="e">
        <f>=Round(43740.85270000,0)</f>
        <v>#VALUE!</v>
      </c>
      <c r="J11524" s="14" t="e">
        <f>=Round(19882.18590000,0)</f>
        <v>#VALUE!</v>
      </c>
    </row>
    <row r="11525">
      <c r="A11525" s="11" t="s">
        <v>44</v>
      </c>
      <c r="B11525" s="12">
        <v>1706.447</v>
      </c>
      <c r="C11525" s="12">
        <v>146.5032</v>
      </c>
      <c r="D11525" s="13">
        <v>250000</v>
      </c>
      <c r="E11525" s="12">
        <v>0</v>
      </c>
      <c r="F11525" s="14">
        <v>0</v>
      </c>
      <c r="G11525" s="13">
        <v>1137920.8666</v>
      </c>
      <c r="H11525" s="14">
        <v>1941801649.04697</v>
      </c>
      <c r="I11525" s="14" t="e">
        <f>=Round(43740.85270000,0)</f>
        <v>#VALUE!</v>
      </c>
      <c r="J11525" s="14" t="e">
        <f>=Round(19882.18590000,0)</f>
        <v>#VALUE!</v>
      </c>
    </row>
    <row r="11526">
      <c r="A11526" s="11" t="s">
        <v>45</v>
      </c>
      <c r="B11526" s="12">
        <v>1706.82</v>
      </c>
      <c r="C11526" s="12">
        <v>0</v>
      </c>
      <c r="D11526" s="13">
        <v>0</v>
      </c>
      <c r="E11526" s="12">
        <v>17607.5144</v>
      </c>
      <c r="F11526" s="14">
        <v>30052857.73</v>
      </c>
      <c r="G11526" s="13">
        <v>1138067.3698</v>
      </c>
      <c r="H11526" s="14">
        <v>1942476148.122036</v>
      </c>
      <c r="I11526" s="14" t="e">
        <f>=Round(43770.11910000,0)</f>
        <v>#VALUE!</v>
      </c>
      <c r="J11526" s="14" t="e">
        <f>=Round(19895.48880000,0)</f>
        <v>#VALUE!</v>
      </c>
    </row>
    <row r="11527">
      <c r="A11527" s="11" t="s">
        <v>46</v>
      </c>
      <c r="B11527" s="12">
        <v>1707.195</v>
      </c>
      <c r="C11527" s="12">
        <v>0</v>
      </c>
      <c r="D11527" s="13">
        <v>0</v>
      </c>
      <c r="E11527" s="12">
        <v>0</v>
      </c>
      <c r="F11527" s="14">
        <v>0</v>
      </c>
      <c r="G11527" s="13">
        <v>1120459.8554</v>
      </c>
      <c r="H11527" s="14">
        <v>1912843462.839603</v>
      </c>
      <c r="I11527" s="14" t="e">
        <f>=Round(43785.32300000,0)</f>
        <v>#VALUE!</v>
      </c>
      <c r="J11527" s="14" t="e">
        <f>=Round(19902.39960000,0)</f>
        <v>#VALUE!</v>
      </c>
    </row>
    <row r="11528">
      <c r="A11528" s="11" t="s">
        <v>47</v>
      </c>
      <c r="B11528" s="12">
        <v>1707.57</v>
      </c>
      <c r="C11528" s="12">
        <v>0</v>
      </c>
      <c r="D11528" s="13">
        <v>0</v>
      </c>
      <c r="E11528" s="12">
        <v>0</v>
      </c>
      <c r="F11528" s="14">
        <v>0</v>
      </c>
      <c r="G11528" s="13">
        <v>1120459.8554</v>
      </c>
      <c r="H11528" s="14">
        <v>1913263635.285378</v>
      </c>
      <c r="I11528" s="14" t="e">
        <f>=Round(43117.37310000,0)</f>
        <v>#VALUE!</v>
      </c>
      <c r="J11528" s="14" t="e">
        <f>=Round(19598.78640000,0)</f>
        <v>#VALUE!</v>
      </c>
    </row>
    <row r="11529">
      <c r="A11529" s="11" t="s">
        <v>48</v>
      </c>
      <c r="B11529" s="12">
        <v>1707.95</v>
      </c>
      <c r="C11529" s="12">
        <v>146.3743</v>
      </c>
      <c r="D11529" s="13">
        <v>250000</v>
      </c>
      <c r="E11529" s="12">
        <v>0</v>
      </c>
      <c r="F11529" s="14">
        <v>0</v>
      </c>
      <c r="G11529" s="13">
        <v>1120459.8554</v>
      </c>
      <c r="H11529" s="14">
        <v>1913689410.03043</v>
      </c>
      <c r="I11529" s="14" t="e">
        <f>=Round(43126.84420000,0)</f>
        <v>#VALUE!</v>
      </c>
      <c r="J11529" s="14" t="e">
        <f>=Round(19603.09140000,0)</f>
        <v>#VALUE!</v>
      </c>
    </row>
    <row r="11530">
      <c r="A11530" s="11" t="s">
        <v>49</v>
      </c>
      <c r="B11530" s="12">
        <v>1707.95</v>
      </c>
      <c r="C11530" s="12">
        <v>0</v>
      </c>
      <c r="D11530" s="13">
        <v>0</v>
      </c>
      <c r="E11530" s="12">
        <v>0</v>
      </c>
      <c r="F11530" s="14">
        <v>0</v>
      </c>
      <c r="G11530" s="13">
        <v>1120459.8554</v>
      </c>
      <c r="H11530" s="14">
        <v>1913689410.03043</v>
      </c>
      <c r="I11530" s="14" t="e">
        <f>=Round(43136.44160000,0)</f>
        <v>#VALUE!</v>
      </c>
      <c r="J11530" s="14" t="e">
        <f>=Round(19607.45390000,0)</f>
        <v>#VALUE!</v>
      </c>
    </row>
    <row r="11531">
      <c r="A11531" s="11" t="s">
        <v>50</v>
      </c>
      <c r="B11531" s="12">
        <v>1707.95</v>
      </c>
      <c r="C11531" s="12">
        <v>0</v>
      </c>
      <c r="D11531" s="13">
        <v>0</v>
      </c>
      <c r="E11531" s="12">
        <v>0</v>
      </c>
      <c r="F11531" s="14">
        <v>0</v>
      </c>
      <c r="G11531" s="13">
        <v>1120459.8554</v>
      </c>
      <c r="H11531" s="14">
        <v>1913689410.03043</v>
      </c>
      <c r="I11531" s="14" t="e">
        <f>=Round(43136.44160000,0)</f>
        <v>#VALUE!</v>
      </c>
      <c r="J11531" s="14" t="e">
        <f>=Round(19607.45390000,0)</f>
        <v>#VALUE!</v>
      </c>
    </row>
    <row r="11532">
      <c r="A11532" s="11" t="s">
        <v>51</v>
      </c>
      <c r="B11532" s="12">
        <v>1709.075</v>
      </c>
      <c r="C11532" s="12">
        <v>0</v>
      </c>
      <c r="D11532" s="13">
        <v>0</v>
      </c>
      <c r="E11532" s="12">
        <v>0</v>
      </c>
      <c r="F11532" s="14">
        <v>0</v>
      </c>
      <c r="G11532" s="13">
        <v>1120606.2297</v>
      </c>
      <c r="H11532" s="14">
        <v>1915200092.024528</v>
      </c>
      <c r="I11532" s="14" t="e">
        <f>=Round(43136.44160000,0)</f>
        <v>#VALUE!</v>
      </c>
      <c r="J11532" s="14" t="e">
        <f>=Round(19607.45390000,0)</f>
        <v>#VALUE!</v>
      </c>
    </row>
    <row r="11533">
      <c r="A11533" s="11" t="s">
        <v>52</v>
      </c>
      <c r="B11533" s="12">
        <v>1709.451</v>
      </c>
      <c r="C11533" s="12">
        <v>584.9831</v>
      </c>
      <c r="D11533" s="13">
        <v>1000000</v>
      </c>
      <c r="E11533" s="12">
        <v>0</v>
      </c>
      <c r="F11533" s="14">
        <v>0</v>
      </c>
      <c r="G11533" s="13">
        <v>1120606.2297</v>
      </c>
      <c r="H11533" s="14">
        <v>1915621439.9668951</v>
      </c>
      <c r="I11533" s="14" t="e">
        <f>=Round(43170.49390000,0)</f>
        <v>#VALUE!</v>
      </c>
      <c r="J11533" s="14" t="e">
        <f>=Round(19622.93210000,0)</f>
        <v>#VALUE!</v>
      </c>
    </row>
    <row r="11534">
      <c r="A11534" s="11" t="s">
        <v>53</v>
      </c>
      <c r="B11534" s="12">
        <v>1709.826</v>
      </c>
      <c r="C11534" s="12">
        <v>29310</v>
      </c>
      <c r="D11534" s="13">
        <v>50115000</v>
      </c>
      <c r="E11534" s="12">
        <v>0</v>
      </c>
      <c r="F11534" s="14">
        <v>0</v>
      </c>
      <c r="G11534" s="13">
        <v>1121191.2128</v>
      </c>
      <c r="H11534" s="14">
        <v>1917041886.6169729</v>
      </c>
      <c r="I11534" s="14" t="e">
        <f>=Round(43179.99150000,0)</f>
        <v>#VALUE!</v>
      </c>
      <c r="J11534" s="14" t="e">
        <f>=Round(19627.24920000,0)</f>
        <v>#VALUE!</v>
      </c>
    </row>
    <row r="11535">
      <c r="A11535" s="11" t="s">
        <v>54</v>
      </c>
      <c r="B11535" s="12">
        <v>1710.234</v>
      </c>
      <c r="C11535" s="12">
        <v>352.5833</v>
      </c>
      <c r="D11535" s="13">
        <v>603000</v>
      </c>
      <c r="E11535" s="12">
        <v>0</v>
      </c>
      <c r="F11535" s="14">
        <v>0</v>
      </c>
      <c r="G11535" s="13">
        <v>1150501.2128</v>
      </c>
      <c r="H11535" s="14">
        <v>1967626291.1717949</v>
      </c>
      <c r="I11535" s="14" t="e">
        <f>=Round(43212.00970000,0)</f>
        <v>#VALUE!</v>
      </c>
      <c r="J11535" s="14" t="e">
        <f>=Round(19641.80300000,0)</f>
        <v>#VALUE!</v>
      </c>
    </row>
    <row r="11536">
      <c r="A11536" s="11" t="s">
        <v>55</v>
      </c>
      <c r="B11536" s="12">
        <v>1710.55</v>
      </c>
      <c r="C11536" s="12">
        <v>0.0001</v>
      </c>
      <c r="D11536" s="13">
        <v>0</v>
      </c>
      <c r="E11536" s="12">
        <v>0</v>
      </c>
      <c r="F11536" s="14">
        <v>0</v>
      </c>
      <c r="G11536" s="13">
        <v>1150853.7961</v>
      </c>
      <c r="H11536" s="14">
        <v>1968592960.918855</v>
      </c>
      <c r="I11536" s="14" t="e">
        <f>=Round(44352.23200000,0)</f>
        <v>#VALUE!</v>
      </c>
      <c r="J11536" s="14" t="e">
        <f>=Round(20160.08530000,0)</f>
        <v>#VALUE!</v>
      </c>
    </row>
    <row r="11537" ht="-1">
      <c r="A11537" s="15"/>
      <c r="B11537" s="16" t="s">
        <v>56</v>
      </c>
      <c r="C11537" s="15"/>
      <c r="D11537" s="15"/>
      <c r="E11537" s="15"/>
      <c r="F11537" s="15"/>
      <c r="G11537" s="15"/>
      <c r="H11537" s="15"/>
      <c r="I11537" s="17" t="e">
        <f>=Round(SUM(I11511:I11536),0)</f>
        <v>#VALUE!</v>
      </c>
      <c r="J11537" s="17" t="e">
        <f>=Round(SUM(J11511:J11536),0)</f>
        <v>#VALUE!</v>
      </c>
    </row>
    <row r="11538">
      <c r="A11538" s="1" t="s">
        <v>0</v>
      </c>
      <c r="B11538" s="1"/>
      <c r="C11538" s="1"/>
      <c r="D11538" s="1"/>
    </row>
    <row r="11539">
      <c r="A11539" s="0" t="s">
        <v>1</v>
      </c>
      <c r="C11539" s="0" t="s">
        <v>388</v>
      </c>
      <c r="H11539" s="2" t="s">
        <v>3</v>
      </c>
    </row>
    <row r="11540">
      <c r="A11540" s="0" t="s">
        <v>4</v>
      </c>
      <c r="C11540" s="0" t="s">
        <v>132</v>
      </c>
      <c r="H11540" s="3" t="s">
        <v>6</v>
      </c>
    </row>
    <row r="11541">
      <c r="A11541" s="0" t="s">
        <v>7</v>
      </c>
      <c r="C11541" s="4" t="s">
        <v>8</v>
      </c>
      <c r="H11541" s="2" t="s">
        <v>9</v>
      </c>
    </row>
    <row r="11542">
      <c r="A11542" s="0" t="s">
        <v>10</v>
      </c>
      <c r="C11542" s="4" t="s">
        <v>124</v>
      </c>
      <c r="H11542" s="2" t="s">
        <v>12</v>
      </c>
    </row>
    <row r="11543">
      <c r="A11543" s="0" t="s">
        <v>13</v>
      </c>
      <c r="C11543" s="0" t="s">
        <v>14</v>
      </c>
    </row>
    <row r="11544">
      <c r="A11544" s="0" t="s">
        <v>15</v>
      </c>
      <c r="C11544" s="0" t="s">
        <v>16</v>
      </c>
    </row>
    <row r="11545">
      <c r="A11545" s="0" t="s">
        <v>17</v>
      </c>
      <c r="C11545" s="0" t="s">
        <v>18</v>
      </c>
    </row>
    <row r="11548">
      <c r="A11548" s="5" t="s">
        <v>19</v>
      </c>
      <c r="B11548" s="5" t="s">
        <v>20</v>
      </c>
      <c r="C11548" s="7" t="s">
        <v>21</v>
      </c>
      <c r="D11548" s="9"/>
      <c r="E11548" s="7" t="s">
        <v>22</v>
      </c>
      <c r="F11548" s="9"/>
      <c r="G11548" s="5" t="s">
        <v>23</v>
      </c>
      <c r="H11548" s="5" t="s">
        <v>24</v>
      </c>
      <c r="I11548" s="5" t="s">
        <v>25</v>
      </c>
      <c r="J11548" s="5" t="s">
        <v>125</v>
      </c>
    </row>
    <row r="11549">
      <c r="A11549" s="6"/>
      <c r="B11549" s="6"/>
      <c r="C11549" s="8" t="s">
        <v>27</v>
      </c>
      <c r="D11549" s="8" t="s">
        <v>28</v>
      </c>
      <c r="E11549" s="8" t="s">
        <v>27</v>
      </c>
      <c r="F11549" s="8" t="s">
        <v>28</v>
      </c>
      <c r="G11549" s="6"/>
      <c r="H11549" s="6"/>
      <c r="I11549" s="10" t="s">
        <v>29</v>
      </c>
      <c r="J11549" s="6"/>
    </row>
    <row r="11550">
      <c r="A11550" s="11" t="s">
        <v>30</v>
      </c>
      <c r="B11550" s="12">
        <v>1701.229</v>
      </c>
      <c r="C11550" s="12">
        <v>0</v>
      </c>
      <c r="D11550" s="13">
        <v>0</v>
      </c>
      <c r="E11550" s="12">
        <v>2216.8243</v>
      </c>
      <c r="F11550" s="14">
        <v>3771325.79</v>
      </c>
      <c r="G11550" s="13">
        <v>104034.6636</v>
      </c>
      <c r="H11550" s="14">
        <v>176986786.721564</v>
      </c>
      <c r="I11550" s="14" t="e">
        <f>=Round(3986.79460000,0)</f>
        <v>#VALUE!</v>
      </c>
      <c r="J11550" s="14" t="e">
        <f>=Round(1812.17760000,0)</f>
        <v>#VALUE!</v>
      </c>
    </row>
    <row r="11551">
      <c r="A11551" s="11" t="s">
        <v>31</v>
      </c>
      <c r="B11551" s="12">
        <v>1701.603</v>
      </c>
      <c r="C11551" s="12">
        <v>0</v>
      </c>
      <c r="D11551" s="13">
        <v>0</v>
      </c>
      <c r="E11551" s="12">
        <v>0</v>
      </c>
      <c r="F11551" s="14">
        <v>0</v>
      </c>
      <c r="G11551" s="13">
        <v>101817.8393</v>
      </c>
      <c r="H11551" s="14">
        <v>173253540.806398</v>
      </c>
      <c r="I11551" s="14" t="e">
        <f>=Round(3989.45630000,0)</f>
        <v>#VALUE!</v>
      </c>
      <c r="J11551" s="14" t="e">
        <f>=Round(1813.38740000,0)</f>
        <v>#VALUE!</v>
      </c>
    </row>
    <row r="11552">
      <c r="A11552" s="11" t="s">
        <v>32</v>
      </c>
      <c r="B11552" s="12">
        <v>1701.949</v>
      </c>
      <c r="C11552" s="12">
        <v>0</v>
      </c>
      <c r="D11552" s="13">
        <v>0</v>
      </c>
      <c r="E11552" s="12">
        <v>0</v>
      </c>
      <c r="F11552" s="14">
        <v>0</v>
      </c>
      <c r="G11552" s="13">
        <v>101817.8393</v>
      </c>
      <c r="H11552" s="14">
        <v>173288769.778796</v>
      </c>
      <c r="I11552" s="14" t="e">
        <f>=Round(3905.30520000,0)</f>
        <v>#VALUE!</v>
      </c>
      <c r="J11552" s="14" t="e">
        <f>=Round(1775.13700000,0)</f>
        <v>#VALUE!</v>
      </c>
    </row>
    <row r="11553">
      <c r="A11553" s="11" t="s">
        <v>33</v>
      </c>
      <c r="B11553" s="12">
        <v>1702.322</v>
      </c>
      <c r="C11553" s="12">
        <v>0</v>
      </c>
      <c r="D11553" s="13">
        <v>0</v>
      </c>
      <c r="E11553" s="12">
        <v>0</v>
      </c>
      <c r="F11553" s="14">
        <v>0</v>
      </c>
      <c r="G11553" s="13">
        <v>101817.8393</v>
      </c>
      <c r="H11553" s="14">
        <v>173326747.832855</v>
      </c>
      <c r="I11553" s="14" t="e">
        <f>=Round(3906.09930000,0)</f>
        <v>#VALUE!</v>
      </c>
      <c r="J11553" s="14" t="e">
        <f>=Round(1775.49790000,0)</f>
        <v>#VALUE!</v>
      </c>
    </row>
    <row r="11554">
      <c r="A11554" s="11" t="s">
        <v>34</v>
      </c>
      <c r="B11554" s="12">
        <v>1702.696</v>
      </c>
      <c r="C11554" s="12">
        <v>0</v>
      </c>
      <c r="D11554" s="13">
        <v>0</v>
      </c>
      <c r="E11554" s="12">
        <v>0</v>
      </c>
      <c r="F11554" s="14">
        <v>0</v>
      </c>
      <c r="G11554" s="13">
        <v>101817.8393</v>
      </c>
      <c r="H11554" s="14">
        <v>173364827.704753</v>
      </c>
      <c r="I11554" s="14" t="e">
        <f>=Round(3906.95540000,0)</f>
        <v>#VALUE!</v>
      </c>
      <c r="J11554" s="14" t="e">
        <f>=Round(1775.88700000,0)</f>
        <v>#VALUE!</v>
      </c>
    </row>
    <row r="11555">
      <c r="A11555" s="11" t="s">
        <v>35</v>
      </c>
      <c r="B11555" s="12">
        <v>1702.696</v>
      </c>
      <c r="C11555" s="12">
        <v>0</v>
      </c>
      <c r="D11555" s="13">
        <v>0</v>
      </c>
      <c r="E11555" s="12">
        <v>0</v>
      </c>
      <c r="F11555" s="14">
        <v>0</v>
      </c>
      <c r="G11555" s="13">
        <v>101817.8393</v>
      </c>
      <c r="H11555" s="14">
        <v>173364827.704753</v>
      </c>
      <c r="I11555" s="14" t="e">
        <f>=Round(3907.81370000,0)</f>
        <v>#VALUE!</v>
      </c>
      <c r="J11555" s="14" t="e">
        <f>=Round(1776.27720000,0)</f>
        <v>#VALUE!</v>
      </c>
    </row>
    <row r="11556">
      <c r="A11556" s="11" t="s">
        <v>36</v>
      </c>
      <c r="B11556" s="12">
        <v>1702.696</v>
      </c>
      <c r="C11556" s="12">
        <v>0</v>
      </c>
      <c r="D11556" s="13">
        <v>0</v>
      </c>
      <c r="E11556" s="12">
        <v>0</v>
      </c>
      <c r="F11556" s="14">
        <v>0</v>
      </c>
      <c r="G11556" s="13">
        <v>101817.8393</v>
      </c>
      <c r="H11556" s="14">
        <v>173364827.704753</v>
      </c>
      <c r="I11556" s="14" t="e">
        <f>=Round(3907.81370000,0)</f>
        <v>#VALUE!</v>
      </c>
      <c r="J11556" s="14" t="e">
        <f>=Round(1776.27720000,0)</f>
        <v>#VALUE!</v>
      </c>
    </row>
    <row r="11557">
      <c r="A11557" s="11" t="s">
        <v>37</v>
      </c>
      <c r="B11557" s="12">
        <v>1703.818</v>
      </c>
      <c r="C11557" s="12">
        <v>58.6917</v>
      </c>
      <c r="D11557" s="13">
        <v>100000</v>
      </c>
      <c r="E11557" s="12">
        <v>0</v>
      </c>
      <c r="F11557" s="14">
        <v>0</v>
      </c>
      <c r="G11557" s="13">
        <v>101817.8393</v>
      </c>
      <c r="H11557" s="14">
        <v>173479067.320447</v>
      </c>
      <c r="I11557" s="14" t="e">
        <f>=Round(3907.81370000,0)</f>
        <v>#VALUE!</v>
      </c>
      <c r="J11557" s="14" t="e">
        <f>=Round(1776.27720000,0)</f>
        <v>#VALUE!</v>
      </c>
    </row>
    <row r="11558">
      <c r="A11558" s="11" t="s">
        <v>38</v>
      </c>
      <c r="B11558" s="12">
        <v>1704.192</v>
      </c>
      <c r="C11558" s="12">
        <v>58.6788</v>
      </c>
      <c r="D11558" s="13">
        <v>100000</v>
      </c>
      <c r="E11558" s="12">
        <v>0</v>
      </c>
      <c r="F11558" s="14">
        <v>0</v>
      </c>
      <c r="G11558" s="13">
        <v>101876.531</v>
      </c>
      <c r="H11558" s="14">
        <v>173617169.117952</v>
      </c>
      <c r="I11558" s="14" t="e">
        <f>=Round(3910.38880000,0)</f>
        <v>#VALUE!</v>
      </c>
      <c r="J11558" s="14" t="e">
        <f>=Round(1777.44770000,0)</f>
        <v>#VALUE!</v>
      </c>
    </row>
    <row r="11559">
      <c r="A11559" s="11" t="s">
        <v>39</v>
      </c>
      <c r="B11559" s="12">
        <v>1704.55</v>
      </c>
      <c r="C11559" s="12">
        <v>0</v>
      </c>
      <c r="D11559" s="13">
        <v>0</v>
      </c>
      <c r="E11559" s="12">
        <v>0</v>
      </c>
      <c r="F11559" s="14">
        <v>0</v>
      </c>
      <c r="G11559" s="13">
        <v>101935.2098</v>
      </c>
      <c r="H11559" s="14">
        <v>173753661.86459</v>
      </c>
      <c r="I11559" s="14" t="e">
        <f>=Round(3913.50180000,0)</f>
        <v>#VALUE!</v>
      </c>
      <c r="J11559" s="14" t="e">
        <f>=Round(1778.86270000,0)</f>
        <v>#VALUE!</v>
      </c>
    </row>
    <row r="11560">
      <c r="A11560" s="11" t="s">
        <v>40</v>
      </c>
      <c r="B11560" s="12">
        <v>1704.928</v>
      </c>
      <c r="C11560" s="12">
        <v>0</v>
      </c>
      <c r="D11560" s="13">
        <v>0</v>
      </c>
      <c r="E11560" s="12">
        <v>0</v>
      </c>
      <c r="F11560" s="14">
        <v>0</v>
      </c>
      <c r="G11560" s="13">
        <v>101935.2098</v>
      </c>
      <c r="H11560" s="14">
        <v>173792193.373894</v>
      </c>
      <c r="I11560" s="14" t="e">
        <f>=Round(3916.57840000,0)</f>
        <v>#VALUE!</v>
      </c>
      <c r="J11560" s="14" t="e">
        <f>=Round(1780.26110000,0)</f>
        <v>#VALUE!</v>
      </c>
    </row>
    <row r="11561">
      <c r="A11561" s="11" t="s">
        <v>41</v>
      </c>
      <c r="B11561" s="12">
        <v>1705.306</v>
      </c>
      <c r="C11561" s="12">
        <v>0</v>
      </c>
      <c r="D11561" s="13">
        <v>0</v>
      </c>
      <c r="E11561" s="12">
        <v>0</v>
      </c>
      <c r="F11561" s="14">
        <v>0</v>
      </c>
      <c r="G11561" s="13">
        <v>101935.2098</v>
      </c>
      <c r="H11561" s="14">
        <v>173830724.883199</v>
      </c>
      <c r="I11561" s="14" t="e">
        <f>=Round(3917.44700000,0)</f>
        <v>#VALUE!</v>
      </c>
      <c r="J11561" s="14" t="e">
        <f>=Round(1780.65590000,0)</f>
        <v>#VALUE!</v>
      </c>
    </row>
    <row r="11562">
      <c r="A11562" s="11" t="s">
        <v>42</v>
      </c>
      <c r="B11562" s="12">
        <v>1705.306</v>
      </c>
      <c r="C11562" s="12">
        <v>0</v>
      </c>
      <c r="D11562" s="13">
        <v>0</v>
      </c>
      <c r="E11562" s="12">
        <v>0</v>
      </c>
      <c r="F11562" s="14">
        <v>0</v>
      </c>
      <c r="G11562" s="13">
        <v>101935.2098</v>
      </c>
      <c r="H11562" s="14">
        <v>173830724.883199</v>
      </c>
      <c r="I11562" s="14" t="e">
        <f>=Round(3918.31550000,0)</f>
        <v>#VALUE!</v>
      </c>
      <c r="J11562" s="14" t="e">
        <f>=Round(1781.05070000,0)</f>
        <v>#VALUE!</v>
      </c>
    </row>
    <row r="11563">
      <c r="A11563" s="11" t="s">
        <v>43</v>
      </c>
      <c r="B11563" s="12">
        <v>1705.306</v>
      </c>
      <c r="C11563" s="12">
        <v>0</v>
      </c>
      <c r="D11563" s="13">
        <v>0</v>
      </c>
      <c r="E11563" s="12">
        <v>0</v>
      </c>
      <c r="F11563" s="14">
        <v>0</v>
      </c>
      <c r="G11563" s="13">
        <v>101935.2098</v>
      </c>
      <c r="H11563" s="14">
        <v>173830724.883199</v>
      </c>
      <c r="I11563" s="14" t="e">
        <f>=Round(3918.31550000,0)</f>
        <v>#VALUE!</v>
      </c>
      <c r="J11563" s="14" t="e">
        <f>=Round(1781.05070000,0)</f>
        <v>#VALUE!</v>
      </c>
    </row>
    <row r="11564">
      <c r="A11564" s="11" t="s">
        <v>44</v>
      </c>
      <c r="B11564" s="12">
        <v>1706.447</v>
      </c>
      <c r="C11564" s="12">
        <v>175.8039</v>
      </c>
      <c r="D11564" s="13">
        <v>300000</v>
      </c>
      <c r="E11564" s="12">
        <v>12431.4823</v>
      </c>
      <c r="F11564" s="14">
        <v>21213665.68</v>
      </c>
      <c r="G11564" s="13">
        <v>101935.2098</v>
      </c>
      <c r="H11564" s="14">
        <v>173947032.957581</v>
      </c>
      <c r="I11564" s="14" t="e">
        <f>=Round(3918.31550000,0)</f>
        <v>#VALUE!</v>
      </c>
      <c r="J11564" s="14" t="e">
        <f>=Round(1781.05070000,0)</f>
        <v>#VALUE!</v>
      </c>
    </row>
    <row r="11565">
      <c r="A11565" s="11" t="s">
        <v>45</v>
      </c>
      <c r="B11565" s="12">
        <v>1706.82</v>
      </c>
      <c r="C11565" s="12">
        <v>0</v>
      </c>
      <c r="D11565" s="13">
        <v>0</v>
      </c>
      <c r="E11565" s="12">
        <v>0</v>
      </c>
      <c r="F11565" s="14">
        <v>0</v>
      </c>
      <c r="G11565" s="13">
        <v>89679.5314</v>
      </c>
      <c r="H11565" s="14">
        <v>153066817.784148</v>
      </c>
      <c r="I11565" s="14" t="e">
        <f>=Round(3920.93720000,0)</f>
        <v>#VALUE!</v>
      </c>
      <c r="J11565" s="14" t="e">
        <f>=Round(1782.24240000,0)</f>
        <v>#VALUE!</v>
      </c>
    </row>
    <row r="11566">
      <c r="A11566" s="11" t="s">
        <v>46</v>
      </c>
      <c r="B11566" s="12">
        <v>1707.195</v>
      </c>
      <c r="C11566" s="12">
        <v>0</v>
      </c>
      <c r="D11566" s="13">
        <v>0</v>
      </c>
      <c r="E11566" s="12">
        <v>0</v>
      </c>
      <c r="F11566" s="14">
        <v>0</v>
      </c>
      <c r="G11566" s="13">
        <v>89679.5314</v>
      </c>
      <c r="H11566" s="14">
        <v>153100447.608423</v>
      </c>
      <c r="I11566" s="14" t="e">
        <f>=Round(3450.27660000,0)</f>
        <v>#VALUE!</v>
      </c>
      <c r="J11566" s="14" t="e">
        <f>=Round(1568.30600000,0)</f>
        <v>#VALUE!</v>
      </c>
    </row>
    <row r="11567">
      <c r="A11567" s="11" t="s">
        <v>47</v>
      </c>
      <c r="B11567" s="12">
        <v>1707.57</v>
      </c>
      <c r="C11567" s="12">
        <v>0</v>
      </c>
      <c r="D11567" s="13">
        <v>0</v>
      </c>
      <c r="E11567" s="12">
        <v>0</v>
      </c>
      <c r="F11567" s="14">
        <v>0</v>
      </c>
      <c r="G11567" s="13">
        <v>89679.5314</v>
      </c>
      <c r="H11567" s="14">
        <v>153134077.432698</v>
      </c>
      <c r="I11567" s="14" t="e">
        <f>=Round(3451.03470000,0)</f>
        <v>#VALUE!</v>
      </c>
      <c r="J11567" s="14" t="e">
        <f>=Round(1568.65060000,0)</f>
        <v>#VALUE!</v>
      </c>
    </row>
    <row r="11568">
      <c r="A11568" s="11" t="s">
        <v>48</v>
      </c>
      <c r="B11568" s="12">
        <v>1707.95</v>
      </c>
      <c r="C11568" s="12">
        <v>0</v>
      </c>
      <c r="D11568" s="13">
        <v>0</v>
      </c>
      <c r="E11568" s="12">
        <v>0</v>
      </c>
      <c r="F11568" s="14">
        <v>0</v>
      </c>
      <c r="G11568" s="13">
        <v>89679.5314</v>
      </c>
      <c r="H11568" s="14">
        <v>153168155.65463</v>
      </c>
      <c r="I11568" s="14" t="e">
        <f>=Round(3451.79270000,0)</f>
        <v>#VALUE!</v>
      </c>
      <c r="J11568" s="14" t="e">
        <f>=Round(1568.99510000,0)</f>
        <v>#VALUE!</v>
      </c>
    </row>
    <row r="11569">
      <c r="A11569" s="11" t="s">
        <v>49</v>
      </c>
      <c r="B11569" s="12">
        <v>1707.95</v>
      </c>
      <c r="C11569" s="12">
        <v>0</v>
      </c>
      <c r="D11569" s="13">
        <v>0</v>
      </c>
      <c r="E11569" s="12">
        <v>0</v>
      </c>
      <c r="F11569" s="14">
        <v>0</v>
      </c>
      <c r="G11569" s="13">
        <v>89679.5314</v>
      </c>
      <c r="H11569" s="14">
        <v>153168155.65463</v>
      </c>
      <c r="I11569" s="14" t="e">
        <f>=Round(3452.56090000,0)</f>
        <v>#VALUE!</v>
      </c>
      <c r="J11569" s="14" t="e">
        <f>=Round(1569.34430000,0)</f>
        <v>#VALUE!</v>
      </c>
    </row>
    <row r="11570">
      <c r="A11570" s="11" t="s">
        <v>50</v>
      </c>
      <c r="B11570" s="12">
        <v>1707.95</v>
      </c>
      <c r="C11570" s="12">
        <v>0</v>
      </c>
      <c r="D11570" s="13">
        <v>0</v>
      </c>
      <c r="E11570" s="12">
        <v>0</v>
      </c>
      <c r="F11570" s="14">
        <v>0</v>
      </c>
      <c r="G11570" s="13">
        <v>89679.5314</v>
      </c>
      <c r="H11570" s="14">
        <v>153168155.65463</v>
      </c>
      <c r="I11570" s="14" t="e">
        <f>=Round(3452.56090000,0)</f>
        <v>#VALUE!</v>
      </c>
      <c r="J11570" s="14" t="e">
        <f>=Round(1569.34430000,0)</f>
        <v>#VALUE!</v>
      </c>
    </row>
    <row r="11571">
      <c r="A11571" s="11" t="s">
        <v>51</v>
      </c>
      <c r="B11571" s="12">
        <v>1709.075</v>
      </c>
      <c r="C11571" s="12">
        <v>0</v>
      </c>
      <c r="D11571" s="13">
        <v>0</v>
      </c>
      <c r="E11571" s="12">
        <v>0</v>
      </c>
      <c r="F11571" s="14">
        <v>0</v>
      </c>
      <c r="G11571" s="13">
        <v>89679.5314</v>
      </c>
      <c r="H11571" s="14">
        <v>153269045.127455</v>
      </c>
      <c r="I11571" s="14" t="e">
        <f>=Round(3452.56090000,0)</f>
        <v>#VALUE!</v>
      </c>
      <c r="J11571" s="14" t="e">
        <f>=Round(1569.34430000,0)</f>
        <v>#VALUE!</v>
      </c>
    </row>
    <row r="11572">
      <c r="A11572" s="11" t="s">
        <v>52</v>
      </c>
      <c r="B11572" s="12">
        <v>1709.451</v>
      </c>
      <c r="C11572" s="12">
        <v>0</v>
      </c>
      <c r="D11572" s="13">
        <v>0</v>
      </c>
      <c r="E11572" s="12">
        <v>0</v>
      </c>
      <c r="F11572" s="14">
        <v>0</v>
      </c>
      <c r="G11572" s="13">
        <v>89679.5314</v>
      </c>
      <c r="H11572" s="14">
        <v>153302764.631261</v>
      </c>
      <c r="I11572" s="14" t="e">
        <f>=Round(3454.83500000,0)</f>
        <v>#VALUE!</v>
      </c>
      <c r="J11572" s="14" t="e">
        <f>=Round(1570.37800000,0)</f>
        <v>#VALUE!</v>
      </c>
    </row>
    <row r="11573">
      <c r="A11573" s="11" t="s">
        <v>53</v>
      </c>
      <c r="B11573" s="12">
        <v>1709.826</v>
      </c>
      <c r="C11573" s="12">
        <v>0</v>
      </c>
      <c r="D11573" s="13">
        <v>0</v>
      </c>
      <c r="E11573" s="12">
        <v>0</v>
      </c>
      <c r="F11573" s="14">
        <v>0</v>
      </c>
      <c r="G11573" s="13">
        <v>89679.5314</v>
      </c>
      <c r="H11573" s="14">
        <v>153336394.455536</v>
      </c>
      <c r="I11573" s="14" t="e">
        <f>=Round(3455.59510000,0)</f>
        <v>#VALUE!</v>
      </c>
      <c r="J11573" s="14" t="e">
        <f>=Round(1570.72350000,0)</f>
        <v>#VALUE!</v>
      </c>
    </row>
    <row r="11574">
      <c r="A11574" s="11" t="s">
        <v>54</v>
      </c>
      <c r="B11574" s="12">
        <v>1710.234</v>
      </c>
      <c r="C11574" s="12">
        <v>0</v>
      </c>
      <c r="D11574" s="13">
        <v>0</v>
      </c>
      <c r="E11574" s="12">
        <v>0</v>
      </c>
      <c r="F11574" s="14">
        <v>0</v>
      </c>
      <c r="G11574" s="13">
        <v>89679.5314</v>
      </c>
      <c r="H11574" s="14">
        <v>153372983.704348</v>
      </c>
      <c r="I11574" s="14" t="e">
        <f>=Round(3456.35320000,0)</f>
        <v>#VALUE!</v>
      </c>
      <c r="J11574" s="14" t="e">
        <f>=Round(1571.06800000,0)</f>
        <v>#VALUE!</v>
      </c>
    </row>
    <row r="11575">
      <c r="A11575" s="11" t="s">
        <v>55</v>
      </c>
      <c r="B11575" s="12">
        <v>1710.55</v>
      </c>
      <c r="C11575" s="12">
        <v>12861.3604</v>
      </c>
      <c r="D11575" s="13">
        <v>22000000</v>
      </c>
      <c r="E11575" s="12">
        <v>0</v>
      </c>
      <c r="F11575" s="14">
        <v>0</v>
      </c>
      <c r="G11575" s="13">
        <v>89679.5314</v>
      </c>
      <c r="H11575" s="14">
        <v>153401322.43627</v>
      </c>
      <c r="I11575" s="14" t="e">
        <f>=Round(3457.17790000,0)</f>
        <v>#VALUE!</v>
      </c>
      <c r="J11575" s="14" t="e">
        <f>=Round(1571.44290000,0)</f>
        <v>#VALUE!</v>
      </c>
    </row>
    <row r="11576" ht="-1">
      <c r="A11576" s="15"/>
      <c r="B11576" s="16" t="s">
        <v>56</v>
      </c>
      <c r="C11576" s="15"/>
      <c r="D11576" s="15"/>
      <c r="E11576" s="15"/>
      <c r="F11576" s="15"/>
      <c r="G11576" s="15"/>
      <c r="H11576" s="15"/>
      <c r="I11576" s="17" t="e">
        <f>=Round(SUM(I11550:I11575),0)</f>
        <v>#VALUE!</v>
      </c>
      <c r="J11576" s="17" t="e">
        <f>=Round(SUM(J11550:J11575),0)</f>
        <v>#VALUE!</v>
      </c>
    </row>
    <row r="11577">
      <c r="A11577" s="1" t="s">
        <v>0</v>
      </c>
      <c r="B11577" s="1"/>
      <c r="C11577" s="1"/>
      <c r="D11577" s="1"/>
    </row>
    <row r="11578">
      <c r="A11578" s="0" t="s">
        <v>1</v>
      </c>
      <c r="C11578" s="0" t="s">
        <v>388</v>
      </c>
      <c r="H11578" s="2" t="s">
        <v>3</v>
      </c>
    </row>
    <row r="11579">
      <c r="A11579" s="0" t="s">
        <v>4</v>
      </c>
      <c r="C11579" s="0" t="s">
        <v>253</v>
      </c>
      <c r="H11579" s="3" t="s">
        <v>6</v>
      </c>
    </row>
    <row r="11580">
      <c r="A11580" s="0" t="s">
        <v>7</v>
      </c>
      <c r="C11580" s="4" t="s">
        <v>8</v>
      </c>
      <c r="H11580" s="2" t="s">
        <v>9</v>
      </c>
    </row>
    <row r="11581">
      <c r="A11581" s="0" t="s">
        <v>10</v>
      </c>
      <c r="C11581" s="4" t="s">
        <v>124</v>
      </c>
      <c r="H11581" s="2" t="s">
        <v>12</v>
      </c>
    </row>
    <row r="11582">
      <c r="A11582" s="0" t="s">
        <v>13</v>
      </c>
      <c r="C11582" s="0" t="s">
        <v>14</v>
      </c>
    </row>
    <row r="11583">
      <c r="A11583" s="0" t="s">
        <v>15</v>
      </c>
      <c r="C11583" s="0" t="s">
        <v>16</v>
      </c>
    </row>
    <row r="11584">
      <c r="A11584" s="0" t="s">
        <v>17</v>
      </c>
      <c r="C11584" s="0" t="s">
        <v>18</v>
      </c>
    </row>
    <row r="11587">
      <c r="A11587" s="5" t="s">
        <v>19</v>
      </c>
      <c r="B11587" s="5" t="s">
        <v>20</v>
      </c>
      <c r="C11587" s="7" t="s">
        <v>21</v>
      </c>
      <c r="D11587" s="9"/>
      <c r="E11587" s="7" t="s">
        <v>22</v>
      </c>
      <c r="F11587" s="9"/>
      <c r="G11587" s="5" t="s">
        <v>23</v>
      </c>
      <c r="H11587" s="5" t="s">
        <v>24</v>
      </c>
      <c r="I11587" s="5" t="s">
        <v>25</v>
      </c>
      <c r="J11587" s="5" t="s">
        <v>125</v>
      </c>
    </row>
    <row r="11588">
      <c r="A11588" s="6"/>
      <c r="B11588" s="6"/>
      <c r="C11588" s="8" t="s">
        <v>27</v>
      </c>
      <c r="D11588" s="8" t="s">
        <v>28</v>
      </c>
      <c r="E11588" s="8" t="s">
        <v>27</v>
      </c>
      <c r="F11588" s="8" t="s">
        <v>28</v>
      </c>
      <c r="G11588" s="6"/>
      <c r="H11588" s="6"/>
      <c r="I11588" s="10" t="s">
        <v>29</v>
      </c>
      <c r="J11588" s="6"/>
    </row>
    <row r="11589">
      <c r="A11589" s="11" t="s">
        <v>30</v>
      </c>
      <c r="B11589" s="12">
        <v>1701.229</v>
      </c>
      <c r="C11589" s="12">
        <v>0</v>
      </c>
      <c r="D11589" s="13">
        <v>0</v>
      </c>
      <c r="E11589" s="12">
        <v>0</v>
      </c>
      <c r="F11589" s="14">
        <v>0</v>
      </c>
      <c r="G11589" s="13">
        <v>272.5687</v>
      </c>
      <c r="H11589" s="14">
        <v>463701.776932</v>
      </c>
      <c r="I11589" s="14" t="e">
        <f>=Round(10.44530000,0)</f>
        <v>#VALUE!</v>
      </c>
      <c r="J11589" s="14" t="e">
        <f>=Round(4.74790000,0)</f>
        <v>#VALUE!</v>
      </c>
    </row>
    <row r="11590">
      <c r="A11590" s="11" t="s">
        <v>31</v>
      </c>
      <c r="B11590" s="12">
        <v>1701.603</v>
      </c>
      <c r="C11590" s="12">
        <v>0</v>
      </c>
      <c r="D11590" s="13">
        <v>0</v>
      </c>
      <c r="E11590" s="12">
        <v>0</v>
      </c>
      <c r="F11590" s="14">
        <v>0</v>
      </c>
      <c r="G11590" s="13">
        <v>272.5687</v>
      </c>
      <c r="H11590" s="14">
        <v>463803.717626</v>
      </c>
      <c r="I11590" s="14" t="e">
        <f>=Round(10.45230000,0)</f>
        <v>#VALUE!</v>
      </c>
      <c r="J11590" s="14" t="e">
        <f>=Round(4.75100000,0)</f>
        <v>#VALUE!</v>
      </c>
    </row>
    <row r="11591">
      <c r="A11591" s="11" t="s">
        <v>32</v>
      </c>
      <c r="B11591" s="12">
        <v>1701.949</v>
      </c>
      <c r="C11591" s="12">
        <v>0</v>
      </c>
      <c r="D11591" s="13">
        <v>0</v>
      </c>
      <c r="E11591" s="12">
        <v>0</v>
      </c>
      <c r="F11591" s="14">
        <v>0</v>
      </c>
      <c r="G11591" s="13">
        <v>272.5687</v>
      </c>
      <c r="H11591" s="14">
        <v>463898.026396</v>
      </c>
      <c r="I11591" s="14" t="e">
        <f>=Round(10.45460000,0)</f>
        <v>#VALUE!</v>
      </c>
      <c r="J11591" s="14" t="e">
        <f>=Round(4.75210000,0)</f>
        <v>#VALUE!</v>
      </c>
    </row>
    <row r="11592">
      <c r="A11592" s="11" t="s">
        <v>33</v>
      </c>
      <c r="B11592" s="12">
        <v>1702.322</v>
      </c>
      <c r="C11592" s="12">
        <v>0</v>
      </c>
      <c r="D11592" s="13">
        <v>0</v>
      </c>
      <c r="E11592" s="12">
        <v>0</v>
      </c>
      <c r="F11592" s="14">
        <v>0</v>
      </c>
      <c r="G11592" s="13">
        <v>272.5687</v>
      </c>
      <c r="H11592" s="14">
        <v>463999.694521</v>
      </c>
      <c r="I11592" s="14" t="e">
        <f>=Round(10.45670000,0)</f>
        <v>#VALUE!</v>
      </c>
      <c r="J11592" s="14" t="e">
        <f>=Round(4.75300000,0)</f>
        <v>#VALUE!</v>
      </c>
    </row>
    <row r="11593">
      <c r="A11593" s="11" t="s">
        <v>34</v>
      </c>
      <c r="B11593" s="12">
        <v>1702.696</v>
      </c>
      <c r="C11593" s="12">
        <v>0</v>
      </c>
      <c r="D11593" s="13">
        <v>0</v>
      </c>
      <c r="E11593" s="12">
        <v>0</v>
      </c>
      <c r="F11593" s="14">
        <v>0</v>
      </c>
      <c r="G11593" s="13">
        <v>272.5687</v>
      </c>
      <c r="H11593" s="14">
        <v>464101.635215</v>
      </c>
      <c r="I11593" s="14" t="e">
        <f>=Round(10.45900000,0)</f>
        <v>#VALUE!</v>
      </c>
      <c r="J11593" s="14" t="e">
        <f>=Round(4.75410000,0)</f>
        <v>#VALUE!</v>
      </c>
    </row>
    <row r="11594">
      <c r="A11594" s="11" t="s">
        <v>35</v>
      </c>
      <c r="B11594" s="12">
        <v>1702.696</v>
      </c>
      <c r="C11594" s="12">
        <v>0</v>
      </c>
      <c r="D11594" s="13">
        <v>0</v>
      </c>
      <c r="E11594" s="12">
        <v>0</v>
      </c>
      <c r="F11594" s="14">
        <v>0</v>
      </c>
      <c r="G11594" s="13">
        <v>272.5687</v>
      </c>
      <c r="H11594" s="14">
        <v>464101.635215</v>
      </c>
      <c r="I11594" s="14" t="e">
        <f>=Round(10.46130000,0)</f>
        <v>#VALUE!</v>
      </c>
      <c r="J11594" s="14" t="e">
        <f>=Round(4.75510000,0)</f>
        <v>#VALUE!</v>
      </c>
    </row>
    <row r="11595">
      <c r="A11595" s="11" t="s">
        <v>36</v>
      </c>
      <c r="B11595" s="12">
        <v>1702.696</v>
      </c>
      <c r="C11595" s="12">
        <v>0</v>
      </c>
      <c r="D11595" s="13">
        <v>0</v>
      </c>
      <c r="E11595" s="12">
        <v>0</v>
      </c>
      <c r="F11595" s="14">
        <v>0</v>
      </c>
      <c r="G11595" s="13">
        <v>272.5687</v>
      </c>
      <c r="H11595" s="14">
        <v>464101.635215</v>
      </c>
      <c r="I11595" s="14" t="e">
        <f>=Round(10.46130000,0)</f>
        <v>#VALUE!</v>
      </c>
      <c r="J11595" s="14" t="e">
        <f>=Round(4.75510000,0)</f>
        <v>#VALUE!</v>
      </c>
    </row>
    <row r="11596">
      <c r="A11596" s="11" t="s">
        <v>37</v>
      </c>
      <c r="B11596" s="12">
        <v>1703.818</v>
      </c>
      <c r="C11596" s="12">
        <v>0</v>
      </c>
      <c r="D11596" s="13">
        <v>0</v>
      </c>
      <c r="E11596" s="12">
        <v>0</v>
      </c>
      <c r="F11596" s="14">
        <v>0</v>
      </c>
      <c r="G11596" s="13">
        <v>272.5687</v>
      </c>
      <c r="H11596" s="14">
        <v>464407.457297</v>
      </c>
      <c r="I11596" s="14" t="e">
        <f>=Round(10.46130000,0)</f>
        <v>#VALUE!</v>
      </c>
      <c r="J11596" s="14" t="e">
        <f>=Round(4.75510000,0)</f>
        <v>#VALUE!</v>
      </c>
    </row>
    <row r="11597">
      <c r="A11597" s="11" t="s">
        <v>38</v>
      </c>
      <c r="B11597" s="12">
        <v>1704.192</v>
      </c>
      <c r="C11597" s="12">
        <v>0</v>
      </c>
      <c r="D11597" s="13">
        <v>0</v>
      </c>
      <c r="E11597" s="12">
        <v>0</v>
      </c>
      <c r="F11597" s="14">
        <v>0</v>
      </c>
      <c r="G11597" s="13">
        <v>272.5687</v>
      </c>
      <c r="H11597" s="14">
        <v>464509.39799</v>
      </c>
      <c r="I11597" s="14" t="e">
        <f>=Round(10.46820000,0)</f>
        <v>#VALUE!</v>
      </c>
      <c r="J11597" s="14" t="e">
        <f>=Round(4.75830000,0)</f>
        <v>#VALUE!</v>
      </c>
    </row>
    <row r="11598">
      <c r="A11598" s="11" t="s">
        <v>39</v>
      </c>
      <c r="B11598" s="12">
        <v>1704.55</v>
      </c>
      <c r="C11598" s="12">
        <v>0</v>
      </c>
      <c r="D11598" s="13">
        <v>0</v>
      </c>
      <c r="E11598" s="12">
        <v>0</v>
      </c>
      <c r="F11598" s="14">
        <v>0</v>
      </c>
      <c r="G11598" s="13">
        <v>272.5687</v>
      </c>
      <c r="H11598" s="14">
        <v>464606.977585</v>
      </c>
      <c r="I11598" s="14" t="e">
        <f>=Round(10.47050000,0)</f>
        <v>#VALUE!</v>
      </c>
      <c r="J11598" s="14" t="e">
        <f>=Round(4.75930000,0)</f>
        <v>#VALUE!</v>
      </c>
    </row>
    <row r="11599">
      <c r="A11599" s="11" t="s">
        <v>40</v>
      </c>
      <c r="B11599" s="12">
        <v>1704.928</v>
      </c>
      <c r="C11599" s="12">
        <v>0</v>
      </c>
      <c r="D11599" s="13">
        <v>0</v>
      </c>
      <c r="E11599" s="12">
        <v>0</v>
      </c>
      <c r="F11599" s="14">
        <v>0</v>
      </c>
      <c r="G11599" s="13">
        <v>272.5687</v>
      </c>
      <c r="H11599" s="14">
        <v>464710.008554</v>
      </c>
      <c r="I11599" s="14" t="e">
        <f>=Round(10.47270000,0)</f>
        <v>#VALUE!</v>
      </c>
      <c r="J11599" s="14" t="e">
        <f>=Round(4.76030000,0)</f>
        <v>#VALUE!</v>
      </c>
    </row>
    <row r="11600">
      <c r="A11600" s="11" t="s">
        <v>41</v>
      </c>
      <c r="B11600" s="12">
        <v>1705.306</v>
      </c>
      <c r="C11600" s="12">
        <v>0</v>
      </c>
      <c r="D11600" s="13">
        <v>0</v>
      </c>
      <c r="E11600" s="12">
        <v>0</v>
      </c>
      <c r="F11600" s="14">
        <v>0</v>
      </c>
      <c r="G11600" s="13">
        <v>272.5687</v>
      </c>
      <c r="H11600" s="14">
        <v>464813.039522</v>
      </c>
      <c r="I11600" s="14" t="e">
        <f>=Round(10.47500000,0)</f>
        <v>#VALUE!</v>
      </c>
      <c r="J11600" s="14" t="e">
        <f>=Round(4.76140000,0)</f>
        <v>#VALUE!</v>
      </c>
    </row>
    <row r="11601">
      <c r="A11601" s="11" t="s">
        <v>42</v>
      </c>
      <c r="B11601" s="12">
        <v>1705.306</v>
      </c>
      <c r="C11601" s="12">
        <v>0</v>
      </c>
      <c r="D11601" s="13">
        <v>0</v>
      </c>
      <c r="E11601" s="12">
        <v>0</v>
      </c>
      <c r="F11601" s="14">
        <v>0</v>
      </c>
      <c r="G11601" s="13">
        <v>272.5687</v>
      </c>
      <c r="H11601" s="14">
        <v>464813.039522</v>
      </c>
      <c r="I11601" s="14" t="e">
        <f>=Round(10.47730000,0)</f>
        <v>#VALUE!</v>
      </c>
      <c r="J11601" s="14" t="e">
        <f>=Round(4.76240000,0)</f>
        <v>#VALUE!</v>
      </c>
    </row>
    <row r="11602">
      <c r="A11602" s="11" t="s">
        <v>43</v>
      </c>
      <c r="B11602" s="12">
        <v>1705.306</v>
      </c>
      <c r="C11602" s="12">
        <v>0</v>
      </c>
      <c r="D11602" s="13">
        <v>0</v>
      </c>
      <c r="E11602" s="12">
        <v>0</v>
      </c>
      <c r="F11602" s="14">
        <v>0</v>
      </c>
      <c r="G11602" s="13">
        <v>272.5687</v>
      </c>
      <c r="H11602" s="14">
        <v>464813.039522</v>
      </c>
      <c r="I11602" s="14" t="e">
        <f>=Round(10.47730000,0)</f>
        <v>#VALUE!</v>
      </c>
      <c r="J11602" s="14" t="e">
        <f>=Round(4.76240000,0)</f>
        <v>#VALUE!</v>
      </c>
    </row>
    <row r="11603">
      <c r="A11603" s="11" t="s">
        <v>44</v>
      </c>
      <c r="B11603" s="12">
        <v>1706.447</v>
      </c>
      <c r="C11603" s="12">
        <v>0</v>
      </c>
      <c r="D11603" s="13">
        <v>0</v>
      </c>
      <c r="E11603" s="12">
        <v>0</v>
      </c>
      <c r="F11603" s="14">
        <v>0</v>
      </c>
      <c r="G11603" s="13">
        <v>272.5687</v>
      </c>
      <c r="H11603" s="14">
        <v>465124.040409</v>
      </c>
      <c r="I11603" s="14" t="e">
        <f>=Round(10.47730000,0)</f>
        <v>#VALUE!</v>
      </c>
      <c r="J11603" s="14" t="e">
        <f>=Round(4.76240000,0)</f>
        <v>#VALUE!</v>
      </c>
    </row>
    <row r="11604">
      <c r="A11604" s="11" t="s">
        <v>45</v>
      </c>
      <c r="B11604" s="12">
        <v>1706.82</v>
      </c>
      <c r="C11604" s="12">
        <v>0</v>
      </c>
      <c r="D11604" s="13">
        <v>0</v>
      </c>
      <c r="E11604" s="12">
        <v>0</v>
      </c>
      <c r="F11604" s="14">
        <v>0</v>
      </c>
      <c r="G11604" s="13">
        <v>272.5687</v>
      </c>
      <c r="H11604" s="14">
        <v>465225.708534</v>
      </c>
      <c r="I11604" s="14" t="e">
        <f>=Round(10.48440000,0)</f>
        <v>#VALUE!</v>
      </c>
      <c r="J11604" s="14" t="e">
        <f>=Round(4.76560000,0)</f>
        <v>#VALUE!</v>
      </c>
    </row>
    <row r="11605">
      <c r="A11605" s="11" t="s">
        <v>46</v>
      </c>
      <c r="B11605" s="12">
        <v>1707.195</v>
      </c>
      <c r="C11605" s="12">
        <v>0</v>
      </c>
      <c r="D11605" s="13">
        <v>0</v>
      </c>
      <c r="E11605" s="12">
        <v>0</v>
      </c>
      <c r="F11605" s="14">
        <v>0</v>
      </c>
      <c r="G11605" s="13">
        <v>272.5687</v>
      </c>
      <c r="H11605" s="14">
        <v>465327.921797</v>
      </c>
      <c r="I11605" s="14" t="e">
        <f>=Round(10.48660000,0)</f>
        <v>#VALUE!</v>
      </c>
      <c r="J11605" s="14" t="e">
        <f>=Round(4.76670000,0)</f>
        <v>#VALUE!</v>
      </c>
    </row>
    <row r="11606">
      <c r="A11606" s="11" t="s">
        <v>47</v>
      </c>
      <c r="B11606" s="12">
        <v>1707.57</v>
      </c>
      <c r="C11606" s="12">
        <v>0</v>
      </c>
      <c r="D11606" s="13">
        <v>0</v>
      </c>
      <c r="E11606" s="12">
        <v>0</v>
      </c>
      <c r="F11606" s="14">
        <v>0</v>
      </c>
      <c r="G11606" s="13">
        <v>272.5687</v>
      </c>
      <c r="H11606" s="14">
        <v>465430.135059</v>
      </c>
      <c r="I11606" s="14" t="e">
        <f>=Round(10.48890000,0)</f>
        <v>#VALUE!</v>
      </c>
      <c r="J11606" s="14" t="e">
        <f>=Round(4.76770000,0)</f>
        <v>#VALUE!</v>
      </c>
    </row>
    <row r="11607">
      <c r="A11607" s="11" t="s">
        <v>48</v>
      </c>
      <c r="B11607" s="12">
        <v>1707.95</v>
      </c>
      <c r="C11607" s="12">
        <v>0</v>
      </c>
      <c r="D11607" s="13">
        <v>0</v>
      </c>
      <c r="E11607" s="12">
        <v>0</v>
      </c>
      <c r="F11607" s="14">
        <v>0</v>
      </c>
      <c r="G11607" s="13">
        <v>272.5687</v>
      </c>
      <c r="H11607" s="14">
        <v>465533.711165</v>
      </c>
      <c r="I11607" s="14" t="e">
        <f>=Round(10.49130000,0)</f>
        <v>#VALUE!</v>
      </c>
      <c r="J11607" s="14" t="e">
        <f>=Round(4.76870000,0)</f>
        <v>#VALUE!</v>
      </c>
    </row>
    <row r="11608">
      <c r="A11608" s="11" t="s">
        <v>49</v>
      </c>
      <c r="B11608" s="12">
        <v>1707.95</v>
      </c>
      <c r="C11608" s="12">
        <v>0</v>
      </c>
      <c r="D11608" s="13">
        <v>0</v>
      </c>
      <c r="E11608" s="12">
        <v>0</v>
      </c>
      <c r="F11608" s="14">
        <v>0</v>
      </c>
      <c r="G11608" s="13">
        <v>272.5687</v>
      </c>
      <c r="H11608" s="14">
        <v>465533.711165</v>
      </c>
      <c r="I11608" s="14" t="e">
        <f>=Round(10.49360000,0)</f>
        <v>#VALUE!</v>
      </c>
      <c r="J11608" s="14" t="e">
        <f>=Round(4.76980000,0)</f>
        <v>#VALUE!</v>
      </c>
    </row>
    <row r="11609">
      <c r="A11609" s="11" t="s">
        <v>50</v>
      </c>
      <c r="B11609" s="12">
        <v>1707.95</v>
      </c>
      <c r="C11609" s="12">
        <v>0</v>
      </c>
      <c r="D11609" s="13">
        <v>0</v>
      </c>
      <c r="E11609" s="12">
        <v>0</v>
      </c>
      <c r="F11609" s="14">
        <v>0</v>
      </c>
      <c r="G11609" s="13">
        <v>272.5687</v>
      </c>
      <c r="H11609" s="14">
        <v>465533.711165</v>
      </c>
      <c r="I11609" s="14" t="e">
        <f>=Round(10.49360000,0)</f>
        <v>#VALUE!</v>
      </c>
      <c r="J11609" s="14" t="e">
        <f>=Round(4.76980000,0)</f>
        <v>#VALUE!</v>
      </c>
    </row>
    <row r="11610">
      <c r="A11610" s="11" t="s">
        <v>51</v>
      </c>
      <c r="B11610" s="12">
        <v>1709.075</v>
      </c>
      <c r="C11610" s="12">
        <v>0</v>
      </c>
      <c r="D11610" s="13">
        <v>0</v>
      </c>
      <c r="E11610" s="12">
        <v>92.4563</v>
      </c>
      <c r="F11610" s="14">
        <v>158014.75</v>
      </c>
      <c r="G11610" s="13">
        <v>272.5687</v>
      </c>
      <c r="H11610" s="14">
        <v>465840.350953</v>
      </c>
      <c r="I11610" s="14" t="e">
        <f>=Round(10.49360000,0)</f>
        <v>#VALUE!</v>
      </c>
      <c r="J11610" s="14" t="e">
        <f>=Round(4.76980000,0)</f>
        <v>#VALUE!</v>
      </c>
    </row>
    <row r="11611">
      <c r="A11611" s="11" t="s">
        <v>52</v>
      </c>
      <c r="B11611" s="12">
        <v>1709.451</v>
      </c>
      <c r="C11611" s="12">
        <v>0</v>
      </c>
      <c r="D11611" s="13">
        <v>0</v>
      </c>
      <c r="E11611" s="12">
        <v>0</v>
      </c>
      <c r="F11611" s="14">
        <v>0</v>
      </c>
      <c r="G11611" s="13">
        <v>180.1124</v>
      </c>
      <c r="H11611" s="14">
        <v>307893.322292</v>
      </c>
      <c r="I11611" s="14" t="e">
        <f>=Round(10.50050000,0)</f>
        <v>#VALUE!</v>
      </c>
      <c r="J11611" s="14" t="e">
        <f>=Round(4.77290000,0)</f>
        <v>#VALUE!</v>
      </c>
    </row>
    <row r="11612">
      <c r="A11612" s="11" t="s">
        <v>53</v>
      </c>
      <c r="B11612" s="12">
        <v>1709.826</v>
      </c>
      <c r="C11612" s="12">
        <v>0</v>
      </c>
      <c r="D11612" s="13">
        <v>0</v>
      </c>
      <c r="E11612" s="12">
        <v>0</v>
      </c>
      <c r="F11612" s="14">
        <v>0</v>
      </c>
      <c r="G11612" s="13">
        <v>180.1124</v>
      </c>
      <c r="H11612" s="14">
        <v>307960.864442</v>
      </c>
      <c r="I11612" s="14" t="e">
        <f>=Round(6.94020000,0)</f>
        <v>#VALUE!</v>
      </c>
      <c r="J11612" s="14" t="e">
        <f>=Round(3.15460000,0)</f>
        <v>#VALUE!</v>
      </c>
    </row>
    <row r="11613">
      <c r="A11613" s="11" t="s">
        <v>54</v>
      </c>
      <c r="B11613" s="12">
        <v>1710.234</v>
      </c>
      <c r="C11613" s="12">
        <v>0</v>
      </c>
      <c r="D11613" s="13">
        <v>0</v>
      </c>
      <c r="E11613" s="12">
        <v>0</v>
      </c>
      <c r="F11613" s="14">
        <v>0</v>
      </c>
      <c r="G11613" s="13">
        <v>180.1124</v>
      </c>
      <c r="H11613" s="14">
        <v>308034.350302</v>
      </c>
      <c r="I11613" s="14" t="e">
        <f>=Round(6.94170000,0)</f>
        <v>#VALUE!</v>
      </c>
      <c r="J11613" s="14" t="e">
        <f>=Round(3.15530000,0)</f>
        <v>#VALUE!</v>
      </c>
    </row>
    <row r="11614">
      <c r="A11614" s="11" t="s">
        <v>55</v>
      </c>
      <c r="B11614" s="12">
        <v>1710.55</v>
      </c>
      <c r="C11614" s="12">
        <v>0</v>
      </c>
      <c r="D11614" s="13">
        <v>0</v>
      </c>
      <c r="E11614" s="12">
        <v>0</v>
      </c>
      <c r="F11614" s="14">
        <v>0</v>
      </c>
      <c r="G11614" s="13">
        <v>180.1124</v>
      </c>
      <c r="H11614" s="14">
        <v>308091.26582</v>
      </c>
      <c r="I11614" s="14" t="e">
        <f>=Round(6.94340000,0)</f>
        <v>#VALUE!</v>
      </c>
      <c r="J11614" s="14" t="e">
        <f>=Round(3.15610000,0)</f>
        <v>#VALUE!</v>
      </c>
    </row>
    <row r="11615" ht="-1">
      <c r="A11615" s="15"/>
      <c r="B11615" s="16" t="s">
        <v>56</v>
      </c>
      <c r="C11615" s="15"/>
      <c r="D11615" s="15"/>
      <c r="E11615" s="15"/>
      <c r="F11615" s="15"/>
      <c r="G11615" s="15"/>
      <c r="H11615" s="15"/>
      <c r="I11615" s="17" t="e">
        <f>=Round(SUM(I11589:I11614),0)</f>
        <v>#VALUE!</v>
      </c>
      <c r="J11615" s="17" t="e">
        <f>=Round(SUM(J11589:J11614),0)</f>
        <v>#VALUE!</v>
      </c>
    </row>
    <row r="11616">
      <c r="A11616" s="1" t="s">
        <v>0</v>
      </c>
      <c r="B11616" s="1"/>
      <c r="C11616" s="1"/>
      <c r="D11616" s="1"/>
    </row>
    <row r="11617">
      <c r="A11617" s="0" t="s">
        <v>1</v>
      </c>
      <c r="C11617" s="0" t="s">
        <v>392</v>
      </c>
      <c r="H11617" s="2" t="s">
        <v>3</v>
      </c>
    </row>
    <row r="11618">
      <c r="A11618" s="0" t="s">
        <v>4</v>
      </c>
      <c r="C11618" s="0" t="s">
        <v>110</v>
      </c>
      <c r="H11618" s="3" t="s">
        <v>6</v>
      </c>
    </row>
    <row r="11619">
      <c r="A11619" s="0" t="s">
        <v>7</v>
      </c>
      <c r="C11619" s="4" t="s">
        <v>185</v>
      </c>
      <c r="H11619" s="2" t="s">
        <v>9</v>
      </c>
    </row>
    <row r="11620">
      <c r="A11620" s="0" t="s">
        <v>10</v>
      </c>
      <c r="C11620" s="4" t="s">
        <v>11</v>
      </c>
      <c r="H11620" s="2" t="s">
        <v>12</v>
      </c>
    </row>
    <row r="11621">
      <c r="A11621" s="0" t="s">
        <v>13</v>
      </c>
      <c r="C11621" s="0" t="s">
        <v>14</v>
      </c>
    </row>
    <row r="11622">
      <c r="A11622" s="0" t="s">
        <v>15</v>
      </c>
      <c r="C11622" s="0" t="s">
        <v>16</v>
      </c>
    </row>
    <row r="11623">
      <c r="A11623" s="0" t="s">
        <v>17</v>
      </c>
      <c r="C11623" s="0" t="s">
        <v>18</v>
      </c>
    </row>
    <row r="11626">
      <c r="A11626" s="5" t="s">
        <v>19</v>
      </c>
      <c r="B11626" s="5" t="s">
        <v>20</v>
      </c>
      <c r="C11626" s="7" t="s">
        <v>21</v>
      </c>
      <c r="D11626" s="9"/>
      <c r="E11626" s="7" t="s">
        <v>22</v>
      </c>
      <c r="F11626" s="9"/>
      <c r="G11626" s="5" t="s">
        <v>23</v>
      </c>
      <c r="H11626" s="5" t="s">
        <v>24</v>
      </c>
      <c r="I11626" s="5" t="s">
        <v>186</v>
      </c>
      <c r="J11626" s="5" t="s">
        <v>26</v>
      </c>
    </row>
    <row r="11627">
      <c r="A11627" s="6"/>
      <c r="B11627" s="6"/>
      <c r="C11627" s="8" t="s">
        <v>27</v>
      </c>
      <c r="D11627" s="8" t="s">
        <v>28</v>
      </c>
      <c r="E11627" s="8" t="s">
        <v>27</v>
      </c>
      <c r="F11627" s="8" t="s">
        <v>28</v>
      </c>
      <c r="G11627" s="6"/>
      <c r="H11627" s="6"/>
      <c r="I11627" s="10" t="s">
        <v>29</v>
      </c>
      <c r="J11627" s="6"/>
    </row>
    <row r="11628">
      <c r="A11628" s="11" t="s">
        <v>30</v>
      </c>
      <c r="B11628" s="12">
        <v>992.6252</v>
      </c>
      <c r="C11628" s="12">
        <v>0</v>
      </c>
      <c r="D11628" s="13">
        <v>0</v>
      </c>
      <c r="E11628" s="12">
        <v>0</v>
      </c>
      <c r="F11628" s="14">
        <v>0</v>
      </c>
      <c r="G11628" s="13">
        <v>44000000</v>
      </c>
      <c r="H11628" s="14">
        <v>43675508800</v>
      </c>
      <c r="I11628" s="14" t="e">
        <f>=Round(229576.04070000,0)</f>
        <v>#VALUE!</v>
      </c>
      <c r="J11628" s="14" t="e">
        <f>=Round(0.00000000,0)</f>
        <v>#VALUE!</v>
      </c>
    </row>
    <row r="11629">
      <c r="A11629" s="11" t="s">
        <v>31</v>
      </c>
      <c r="B11629" s="12">
        <v>992.8244</v>
      </c>
      <c r="C11629" s="12">
        <v>0</v>
      </c>
      <c r="D11629" s="13">
        <v>0</v>
      </c>
      <c r="E11629" s="12">
        <v>0</v>
      </c>
      <c r="F11629" s="14">
        <v>0</v>
      </c>
      <c r="G11629" s="13">
        <v>44000000</v>
      </c>
      <c r="H11629" s="14">
        <v>43684273600</v>
      </c>
      <c r="I11629" s="14" t="e">
        <f>=Round(229714.08320000,0)</f>
        <v>#VALUE!</v>
      </c>
      <c r="J11629" s="14" t="e">
        <f>=Round(0.00000000,0)</f>
        <v>#VALUE!</v>
      </c>
    </row>
    <row r="11630">
      <c r="A11630" s="11" t="s">
        <v>32</v>
      </c>
      <c r="B11630" s="12">
        <v>993.0235</v>
      </c>
      <c r="C11630" s="12">
        <v>0</v>
      </c>
      <c r="D11630" s="13">
        <v>0</v>
      </c>
      <c r="E11630" s="12">
        <v>0</v>
      </c>
      <c r="F11630" s="14">
        <v>0</v>
      </c>
      <c r="G11630" s="13">
        <v>44000000</v>
      </c>
      <c r="H11630" s="14">
        <v>43693034000</v>
      </c>
      <c r="I11630" s="14" t="e">
        <f>=Round(229760.18220000,0)</f>
        <v>#VALUE!</v>
      </c>
      <c r="J11630" s="14" t="e">
        <f>=Round(0.00000000,0)</f>
        <v>#VALUE!</v>
      </c>
    </row>
    <row r="11631">
      <c r="A11631" s="11" t="s">
        <v>33</v>
      </c>
      <c r="B11631" s="12">
        <v>993.2218</v>
      </c>
      <c r="C11631" s="12">
        <v>0</v>
      </c>
      <c r="D11631" s="13">
        <v>0</v>
      </c>
      <c r="E11631" s="12">
        <v>0</v>
      </c>
      <c r="F11631" s="14">
        <v>0</v>
      </c>
      <c r="G11631" s="13">
        <v>44000000</v>
      </c>
      <c r="H11631" s="14">
        <v>43701759200</v>
      </c>
      <c r="I11631" s="14" t="e">
        <f>=Round(229806.25810000,0)</f>
        <v>#VALUE!</v>
      </c>
      <c r="J11631" s="14" t="e">
        <f>=Round(0.00000000,0)</f>
        <v>#VALUE!</v>
      </c>
    </row>
    <row r="11632">
      <c r="A11632" s="11" t="s">
        <v>34</v>
      </c>
      <c r="B11632" s="12">
        <v>993.4209</v>
      </c>
      <c r="C11632" s="12">
        <v>0</v>
      </c>
      <c r="D11632" s="13">
        <v>0</v>
      </c>
      <c r="E11632" s="12">
        <v>0</v>
      </c>
      <c r="F11632" s="14">
        <v>0</v>
      </c>
      <c r="G11632" s="13">
        <v>44000000</v>
      </c>
      <c r="H11632" s="14">
        <v>43710519600</v>
      </c>
      <c r="I11632" s="14" t="e">
        <f>=Round(229852.14880000,0)</f>
        <v>#VALUE!</v>
      </c>
      <c r="J11632" s="14" t="e">
        <f>=Round(0.00000000,0)</f>
        <v>#VALUE!</v>
      </c>
    </row>
    <row r="11633">
      <c r="A11633" s="11" t="s">
        <v>35</v>
      </c>
      <c r="B11633" s="12">
        <v>993.4209</v>
      </c>
      <c r="C11633" s="12">
        <v>0</v>
      </c>
      <c r="D11633" s="13">
        <v>0</v>
      </c>
      <c r="E11633" s="12">
        <v>0</v>
      </c>
      <c r="F11633" s="14">
        <v>0</v>
      </c>
      <c r="G11633" s="13">
        <v>44000000</v>
      </c>
      <c r="H11633" s="14">
        <v>43710519600</v>
      </c>
      <c r="I11633" s="14" t="e">
        <f>=Round(229898.22470000,0)</f>
        <v>#VALUE!</v>
      </c>
      <c r="J11633" s="14" t="e">
        <f>=Round(0.00000000,0)</f>
        <v>#VALUE!</v>
      </c>
    </row>
    <row r="11634">
      <c r="A11634" s="11" t="s">
        <v>36</v>
      </c>
      <c r="B11634" s="12">
        <v>993.4209</v>
      </c>
      <c r="C11634" s="12">
        <v>0</v>
      </c>
      <c r="D11634" s="13">
        <v>0</v>
      </c>
      <c r="E11634" s="12">
        <v>0</v>
      </c>
      <c r="F11634" s="14">
        <v>0</v>
      </c>
      <c r="G11634" s="13">
        <v>44000000</v>
      </c>
      <c r="H11634" s="14">
        <v>43710519600</v>
      </c>
      <c r="I11634" s="14" t="e">
        <f>=Round(229898.22470000,0)</f>
        <v>#VALUE!</v>
      </c>
      <c r="J11634" s="14" t="e">
        <f>=Round(0.00000000,0)</f>
        <v>#VALUE!</v>
      </c>
    </row>
    <row r="11635">
      <c r="A11635" s="11" t="s">
        <v>37</v>
      </c>
      <c r="B11635" s="12">
        <v>994.0175</v>
      </c>
      <c r="C11635" s="12">
        <v>0</v>
      </c>
      <c r="D11635" s="13">
        <v>0</v>
      </c>
      <c r="E11635" s="12">
        <v>0</v>
      </c>
      <c r="F11635" s="14">
        <v>0</v>
      </c>
      <c r="G11635" s="13">
        <v>44000000</v>
      </c>
      <c r="H11635" s="14">
        <v>43736770000</v>
      </c>
      <c r="I11635" s="14" t="e">
        <f>=Round(229898.22470000,0)</f>
        <v>#VALUE!</v>
      </c>
      <c r="J11635" s="14" t="e">
        <f>=Round(0.00000000,0)</f>
        <v>#VALUE!</v>
      </c>
    </row>
    <row r="11636">
      <c r="A11636" s="11" t="s">
        <v>38</v>
      </c>
      <c r="B11636" s="12">
        <v>994.2167</v>
      </c>
      <c r="C11636" s="12">
        <v>0</v>
      </c>
      <c r="D11636" s="13">
        <v>0</v>
      </c>
      <c r="E11636" s="12">
        <v>0</v>
      </c>
      <c r="F11636" s="14">
        <v>0</v>
      </c>
      <c r="G11636" s="13">
        <v>44000000</v>
      </c>
      <c r="H11636" s="14">
        <v>43745534800</v>
      </c>
      <c r="I11636" s="14" t="e">
        <f>=Round(230036.29030000,0)</f>
        <v>#VALUE!</v>
      </c>
      <c r="J11636" s="14" t="e">
        <f>=Round(0.00000000,0)</f>
        <v>#VALUE!</v>
      </c>
    </row>
    <row r="11637">
      <c r="A11637" s="11" t="s">
        <v>39</v>
      </c>
      <c r="B11637" s="12">
        <v>994.4158</v>
      </c>
      <c r="C11637" s="12">
        <v>0</v>
      </c>
      <c r="D11637" s="13">
        <v>0</v>
      </c>
      <c r="E11637" s="12">
        <v>0</v>
      </c>
      <c r="F11637" s="14">
        <v>0</v>
      </c>
      <c r="G11637" s="13">
        <v>44000000</v>
      </c>
      <c r="H11637" s="14">
        <v>43754295200</v>
      </c>
      <c r="I11637" s="14" t="e">
        <f>=Round(230082.38930000,0)</f>
        <v>#VALUE!</v>
      </c>
      <c r="J11637" s="14" t="e">
        <f>=Round(0.00000000,0)</f>
        <v>#VALUE!</v>
      </c>
    </row>
    <row r="11638">
      <c r="A11638" s="11" t="s">
        <v>40</v>
      </c>
      <c r="B11638" s="12">
        <v>994.6141</v>
      </c>
      <c r="C11638" s="12">
        <v>0</v>
      </c>
      <c r="D11638" s="13">
        <v>0</v>
      </c>
      <c r="E11638" s="12">
        <v>0</v>
      </c>
      <c r="F11638" s="14">
        <v>0</v>
      </c>
      <c r="G11638" s="13">
        <v>44000000</v>
      </c>
      <c r="H11638" s="14">
        <v>43763020400</v>
      </c>
      <c r="I11638" s="14" t="e">
        <f>=Round(230128.46520000,0)</f>
        <v>#VALUE!</v>
      </c>
      <c r="J11638" s="14" t="e">
        <f>=Round(0.00000000,0)</f>
        <v>#VALUE!</v>
      </c>
    </row>
    <row r="11639">
      <c r="A11639" s="11" t="s">
        <v>41</v>
      </c>
      <c r="B11639" s="12">
        <v>994.8123</v>
      </c>
      <c r="C11639" s="12">
        <v>0</v>
      </c>
      <c r="D11639" s="13">
        <v>0</v>
      </c>
      <c r="E11639" s="12">
        <v>0</v>
      </c>
      <c r="F11639" s="14">
        <v>0</v>
      </c>
      <c r="G11639" s="13">
        <v>44000000</v>
      </c>
      <c r="H11639" s="14">
        <v>43771741200</v>
      </c>
      <c r="I11639" s="14" t="e">
        <f>=Round(230174.35590000,0)</f>
        <v>#VALUE!</v>
      </c>
      <c r="J11639" s="14" t="e">
        <f>=Round(0.00000000,0)</f>
        <v>#VALUE!</v>
      </c>
    </row>
    <row r="11640">
      <c r="A11640" s="11" t="s">
        <v>42</v>
      </c>
      <c r="B11640" s="12">
        <v>994.8123</v>
      </c>
      <c r="C11640" s="12">
        <v>0</v>
      </c>
      <c r="D11640" s="13">
        <v>0</v>
      </c>
      <c r="E11640" s="12">
        <v>0</v>
      </c>
      <c r="F11640" s="14">
        <v>0</v>
      </c>
      <c r="G11640" s="13">
        <v>44000000</v>
      </c>
      <c r="H11640" s="14">
        <v>43771741200</v>
      </c>
      <c r="I11640" s="14" t="e">
        <f>=Round(230220.22350000,0)</f>
        <v>#VALUE!</v>
      </c>
      <c r="J11640" s="14" t="e">
        <f>=Round(0.00000000,0)</f>
        <v>#VALUE!</v>
      </c>
    </row>
    <row r="11641">
      <c r="A11641" s="11" t="s">
        <v>43</v>
      </c>
      <c r="B11641" s="12">
        <v>994.8123</v>
      </c>
      <c r="C11641" s="12">
        <v>0</v>
      </c>
      <c r="D11641" s="13">
        <v>0</v>
      </c>
      <c r="E11641" s="12">
        <v>0</v>
      </c>
      <c r="F11641" s="14">
        <v>0</v>
      </c>
      <c r="G11641" s="13">
        <v>44000000</v>
      </c>
      <c r="H11641" s="14">
        <v>43771741200</v>
      </c>
      <c r="I11641" s="14" t="e">
        <f>=Round(230220.22350000,0)</f>
        <v>#VALUE!</v>
      </c>
      <c r="J11641" s="14" t="e">
        <f>=Round(0.00000000,0)</f>
        <v>#VALUE!</v>
      </c>
    </row>
    <row r="11642">
      <c r="A11642" s="11" t="s">
        <v>44</v>
      </c>
      <c r="B11642" s="12">
        <v>995.4098</v>
      </c>
      <c r="C11642" s="12">
        <v>0</v>
      </c>
      <c r="D11642" s="13">
        <v>0</v>
      </c>
      <c r="E11642" s="12">
        <v>0</v>
      </c>
      <c r="F11642" s="14">
        <v>0</v>
      </c>
      <c r="G11642" s="13">
        <v>44000000</v>
      </c>
      <c r="H11642" s="14">
        <v>43798031200</v>
      </c>
      <c r="I11642" s="14" t="e">
        <f>=Round(230220.22350000,0)</f>
        <v>#VALUE!</v>
      </c>
      <c r="J11642" s="14" t="e">
        <f>=Round(0.00000000,0)</f>
        <v>#VALUE!</v>
      </c>
    </row>
    <row r="11643">
      <c r="A11643" s="11" t="s">
        <v>45</v>
      </c>
      <c r="B11643" s="12">
        <v>995.6089</v>
      </c>
      <c r="C11643" s="12">
        <v>0</v>
      </c>
      <c r="D11643" s="13">
        <v>0</v>
      </c>
      <c r="E11643" s="12">
        <v>0</v>
      </c>
      <c r="F11643" s="14">
        <v>0</v>
      </c>
      <c r="G11643" s="13">
        <v>44000000</v>
      </c>
      <c r="H11643" s="14">
        <v>43806791600</v>
      </c>
      <c r="I11643" s="14" t="e">
        <f>=Round(230358.49740000,0)</f>
        <v>#VALUE!</v>
      </c>
      <c r="J11643" s="14" t="e">
        <f>=Round(0.00000000,0)</f>
        <v>#VALUE!</v>
      </c>
    </row>
    <row r="11644">
      <c r="A11644" s="11" t="s">
        <v>46</v>
      </c>
      <c r="B11644" s="12">
        <v>995.8071</v>
      </c>
      <c r="C11644" s="12">
        <v>0</v>
      </c>
      <c r="D11644" s="13">
        <v>0</v>
      </c>
      <c r="E11644" s="12">
        <v>0</v>
      </c>
      <c r="F11644" s="14">
        <v>0</v>
      </c>
      <c r="G11644" s="13">
        <v>44000000</v>
      </c>
      <c r="H11644" s="14">
        <v>43815512400</v>
      </c>
      <c r="I11644" s="14" t="e">
        <f>=Round(230404.57330000,0)</f>
        <v>#VALUE!</v>
      </c>
      <c r="J11644" s="14" t="e">
        <f>=Round(0.00000000,0)</f>
        <v>#VALUE!</v>
      </c>
    </row>
    <row r="11645">
      <c r="A11645" s="11" t="s">
        <v>47</v>
      </c>
      <c r="B11645" s="12">
        <v>996.0054</v>
      </c>
      <c r="C11645" s="12">
        <v>0</v>
      </c>
      <c r="D11645" s="13">
        <v>0</v>
      </c>
      <c r="E11645" s="12">
        <v>0</v>
      </c>
      <c r="F11645" s="14">
        <v>0</v>
      </c>
      <c r="G11645" s="13">
        <v>44000000</v>
      </c>
      <c r="H11645" s="14">
        <v>43824237600</v>
      </c>
      <c r="I11645" s="14" t="e">
        <f>=Round(230450.44090000,0)</f>
        <v>#VALUE!</v>
      </c>
      <c r="J11645" s="14" t="e">
        <f>=Round(0.00000000,0)</f>
        <v>#VALUE!</v>
      </c>
    </row>
    <row r="11646">
      <c r="A11646" s="11" t="s">
        <v>48</v>
      </c>
      <c r="B11646" s="12">
        <v>996.2045</v>
      </c>
      <c r="C11646" s="12">
        <v>0</v>
      </c>
      <c r="D11646" s="13">
        <v>0</v>
      </c>
      <c r="E11646" s="12">
        <v>0</v>
      </c>
      <c r="F11646" s="14">
        <v>0</v>
      </c>
      <c r="G11646" s="13">
        <v>44000000</v>
      </c>
      <c r="H11646" s="14">
        <v>43832998000</v>
      </c>
      <c r="I11646" s="14" t="e">
        <f>=Round(230496.33160000,0)</f>
        <v>#VALUE!</v>
      </c>
      <c r="J11646" s="14" t="e">
        <f>=Round(0.00000000,0)</f>
        <v>#VALUE!</v>
      </c>
    </row>
    <row r="11647">
      <c r="A11647" s="11" t="s">
        <v>49</v>
      </c>
      <c r="B11647" s="12">
        <v>996.2045</v>
      </c>
      <c r="C11647" s="12">
        <v>0</v>
      </c>
      <c r="D11647" s="13">
        <v>0</v>
      </c>
      <c r="E11647" s="12">
        <v>0</v>
      </c>
      <c r="F11647" s="14">
        <v>0</v>
      </c>
      <c r="G11647" s="13">
        <v>44000000</v>
      </c>
      <c r="H11647" s="14">
        <v>43832998000</v>
      </c>
      <c r="I11647" s="14" t="e">
        <f>=Round(230542.40750000,0)</f>
        <v>#VALUE!</v>
      </c>
      <c r="J11647" s="14" t="e">
        <f>=Round(0.00000000,0)</f>
        <v>#VALUE!</v>
      </c>
    </row>
    <row r="11648">
      <c r="A11648" s="11" t="s">
        <v>50</v>
      </c>
      <c r="B11648" s="12">
        <v>996.2045</v>
      </c>
      <c r="C11648" s="12">
        <v>0</v>
      </c>
      <c r="D11648" s="13">
        <v>0</v>
      </c>
      <c r="E11648" s="12">
        <v>0</v>
      </c>
      <c r="F11648" s="14">
        <v>0</v>
      </c>
      <c r="G11648" s="13">
        <v>44000000</v>
      </c>
      <c r="H11648" s="14">
        <v>43832998000</v>
      </c>
      <c r="I11648" s="14" t="e">
        <f>=Round(230542.40750000,0)</f>
        <v>#VALUE!</v>
      </c>
      <c r="J11648" s="14" t="e">
        <f>=Round(0.00000000,0)</f>
        <v>#VALUE!</v>
      </c>
    </row>
    <row r="11649">
      <c r="A11649" s="11" t="s">
        <v>51</v>
      </c>
      <c r="B11649" s="12">
        <v>996.8019</v>
      </c>
      <c r="C11649" s="12">
        <v>0</v>
      </c>
      <c r="D11649" s="13">
        <v>0</v>
      </c>
      <c r="E11649" s="12">
        <v>0</v>
      </c>
      <c r="F11649" s="14">
        <v>0</v>
      </c>
      <c r="G11649" s="13">
        <v>44000000</v>
      </c>
      <c r="H11649" s="14">
        <v>43859283600</v>
      </c>
      <c r="I11649" s="14" t="e">
        <f>=Round(230542.40750000,0)</f>
        <v>#VALUE!</v>
      </c>
      <c r="J11649" s="14" t="e">
        <f>=Round(0.00000000,0)</f>
        <v>#VALUE!</v>
      </c>
    </row>
    <row r="11650">
      <c r="A11650" s="11" t="s">
        <v>52</v>
      </c>
      <c r="B11650" s="12">
        <v>997.0002</v>
      </c>
      <c r="C11650" s="12">
        <v>0</v>
      </c>
      <c r="D11650" s="13">
        <v>0</v>
      </c>
      <c r="E11650" s="12">
        <v>0</v>
      </c>
      <c r="F11650" s="14">
        <v>0</v>
      </c>
      <c r="G11650" s="13">
        <v>44000000</v>
      </c>
      <c r="H11650" s="14">
        <v>43868008800</v>
      </c>
      <c r="I11650" s="14" t="e">
        <f>=Round(230680.65830000,0)</f>
        <v>#VALUE!</v>
      </c>
      <c r="J11650" s="14" t="e">
        <f>=Round(0.00000000,0)</f>
        <v>#VALUE!</v>
      </c>
    </row>
    <row r="11651">
      <c r="A11651" s="11" t="s">
        <v>53</v>
      </c>
      <c r="B11651" s="12">
        <v>997.1984</v>
      </c>
      <c r="C11651" s="12">
        <v>0</v>
      </c>
      <c r="D11651" s="13">
        <v>0</v>
      </c>
      <c r="E11651" s="12">
        <v>0</v>
      </c>
      <c r="F11651" s="14">
        <v>0</v>
      </c>
      <c r="G11651" s="13">
        <v>44000000</v>
      </c>
      <c r="H11651" s="14">
        <v>43876729600</v>
      </c>
      <c r="I11651" s="14" t="e">
        <f>=Round(230726.54900000,0)</f>
        <v>#VALUE!</v>
      </c>
      <c r="J11651" s="14" t="e">
        <f>=Round(0.00000000,0)</f>
        <v>#VALUE!</v>
      </c>
    </row>
    <row r="11652">
      <c r="A11652" s="11" t="s">
        <v>54</v>
      </c>
      <c r="B11652" s="12">
        <v>997.3975</v>
      </c>
      <c r="C11652" s="12">
        <v>0</v>
      </c>
      <c r="D11652" s="13">
        <v>0</v>
      </c>
      <c r="E11652" s="12">
        <v>0</v>
      </c>
      <c r="F11652" s="14">
        <v>0</v>
      </c>
      <c r="G11652" s="13">
        <v>44000000</v>
      </c>
      <c r="H11652" s="14">
        <v>43885490000</v>
      </c>
      <c r="I11652" s="14" t="e">
        <f>=Round(230772.41660000,0)</f>
        <v>#VALUE!</v>
      </c>
      <c r="J11652" s="14" t="e">
        <f>=Round(0.00000000,0)</f>
        <v>#VALUE!</v>
      </c>
    </row>
    <row r="11653">
      <c r="A11653" s="11" t="s">
        <v>55</v>
      </c>
      <c r="B11653" s="12">
        <v>997.5967</v>
      </c>
      <c r="C11653" s="12">
        <v>0</v>
      </c>
      <c r="D11653" s="13">
        <v>0</v>
      </c>
      <c r="E11653" s="12">
        <v>0</v>
      </c>
      <c r="F11653" s="14">
        <v>0</v>
      </c>
      <c r="G11653" s="13">
        <v>44000000</v>
      </c>
      <c r="H11653" s="14">
        <v>43894254800</v>
      </c>
      <c r="I11653" s="14" t="e">
        <f>=Round(230818.49250000,0)</f>
        <v>#VALUE!</v>
      </c>
      <c r="J11653" s="14" t="e">
        <f>=Round(0.00000000,0)</f>
        <v>#VALUE!</v>
      </c>
    </row>
    <row r="11654" ht="-1">
      <c r="A11654" s="15"/>
      <c r="B11654" s="16" t="s">
        <v>56</v>
      </c>
      <c r="C11654" s="15"/>
      <c r="D11654" s="15"/>
      <c r="E11654" s="15"/>
      <c r="F11654" s="15"/>
      <c r="G11654" s="15"/>
      <c r="H11654" s="15"/>
      <c r="I11654" s="17" t="e">
        <f>=Round(SUM(I11628:I11653),0)</f>
        <v>#VALUE!</v>
      </c>
      <c r="J11654" s="17" t="e">
        <f>=Round(SUM(J11628:J11653),0)</f>
        <v>#VALUE!</v>
      </c>
    </row>
    <row r="11655">
      <c r="A11655" s="1" t="s">
        <v>0</v>
      </c>
      <c r="B11655" s="1"/>
      <c r="C11655" s="1"/>
      <c r="D11655" s="1"/>
    </row>
    <row r="11656">
      <c r="A11656" s="0" t="s">
        <v>1</v>
      </c>
      <c r="C11656" s="0" t="s">
        <v>393</v>
      </c>
      <c r="H11656" s="2" t="s">
        <v>3</v>
      </c>
    </row>
    <row r="11657">
      <c r="A11657" s="0" t="s">
        <v>4</v>
      </c>
      <c r="C11657" s="0" t="s">
        <v>178</v>
      </c>
      <c r="H11657" s="3" t="s">
        <v>6</v>
      </c>
    </row>
    <row r="11658">
      <c r="A11658" s="0" t="s">
        <v>7</v>
      </c>
      <c r="C11658" s="4" t="s">
        <v>394</v>
      </c>
      <c r="H11658" s="2" t="s">
        <v>9</v>
      </c>
    </row>
    <row r="11659">
      <c r="A11659" s="0" t="s">
        <v>10</v>
      </c>
      <c r="C11659" s="4" t="s">
        <v>11</v>
      </c>
      <c r="H11659" s="2" t="s">
        <v>12</v>
      </c>
    </row>
    <row r="11660">
      <c r="A11660" s="0" t="s">
        <v>13</v>
      </c>
      <c r="C11660" s="0" t="s">
        <v>14</v>
      </c>
    </row>
    <row r="11661">
      <c r="A11661" s="0" t="s">
        <v>15</v>
      </c>
      <c r="C11661" s="0" t="s">
        <v>16</v>
      </c>
    </row>
    <row r="11662">
      <c r="A11662" s="0" t="s">
        <v>17</v>
      </c>
      <c r="C11662" s="0" t="s">
        <v>18</v>
      </c>
    </row>
    <row r="11665">
      <c r="A11665" s="5" t="s">
        <v>19</v>
      </c>
      <c r="B11665" s="5" t="s">
        <v>20</v>
      </c>
      <c r="C11665" s="7" t="s">
        <v>21</v>
      </c>
      <c r="D11665" s="9"/>
      <c r="E11665" s="7" t="s">
        <v>22</v>
      </c>
      <c r="F11665" s="9"/>
      <c r="G11665" s="5" t="s">
        <v>23</v>
      </c>
      <c r="H11665" s="5" t="s">
        <v>24</v>
      </c>
      <c r="I11665" s="5" t="s">
        <v>395</v>
      </c>
      <c r="J11665" s="5" t="s">
        <v>26</v>
      </c>
    </row>
    <row r="11666">
      <c r="A11666" s="6"/>
      <c r="B11666" s="6"/>
      <c r="C11666" s="8" t="s">
        <v>27</v>
      </c>
      <c r="D11666" s="8" t="s">
        <v>28</v>
      </c>
      <c r="E11666" s="8" t="s">
        <v>27</v>
      </c>
      <c r="F11666" s="8" t="s">
        <v>28</v>
      </c>
      <c r="G11666" s="6"/>
      <c r="H11666" s="6"/>
      <c r="I11666" s="10" t="s">
        <v>29</v>
      </c>
      <c r="J11666" s="6"/>
    </row>
    <row r="11667">
      <c r="A11667" s="11" t="s">
        <v>30</v>
      </c>
      <c r="B11667" s="12">
        <v>1009.194</v>
      </c>
      <c r="C11667" s="12">
        <v>0</v>
      </c>
      <c r="D11667" s="13">
        <v>0</v>
      </c>
      <c r="E11667" s="12">
        <v>0</v>
      </c>
      <c r="F11667" s="14">
        <v>0</v>
      </c>
      <c r="G11667" s="13">
        <v>80946940.9593</v>
      </c>
      <c r="H11667" s="14">
        <v>81691167134.479813</v>
      </c>
      <c r="I11667" s="14" t="e">
        <f>=Round(1717971.73960000,0)</f>
        <v>#VALUE!</v>
      </c>
      <c r="J11667" s="14" t="e">
        <f>=Round(0.00000000,0)</f>
        <v>#VALUE!</v>
      </c>
    </row>
    <row r="11668">
      <c r="A11668" s="11" t="s">
        <v>31</v>
      </c>
      <c r="B11668" s="12">
        <v>1009.604</v>
      </c>
      <c r="C11668" s="12">
        <v>0</v>
      </c>
      <c r="D11668" s="13">
        <v>0</v>
      </c>
      <c r="E11668" s="12">
        <v>0</v>
      </c>
      <c r="F11668" s="14">
        <v>0</v>
      </c>
      <c r="G11668" s="13">
        <v>80946940.9593</v>
      </c>
      <c r="H11668" s="14">
        <v>81724355380.273117</v>
      </c>
      <c r="I11668" s="14" t="e">
        <f>=Round(1718639.30860000,0)</f>
        <v>#VALUE!</v>
      </c>
      <c r="J11668" s="14" t="e">
        <f>=Round(0.00000000,0)</f>
        <v>#VALUE!</v>
      </c>
    </row>
    <row r="11669">
      <c r="A11669" s="11" t="s">
        <v>32</v>
      </c>
      <c r="B11669" s="12">
        <v>1009.514</v>
      </c>
      <c r="C11669" s="12">
        <v>0</v>
      </c>
      <c r="D11669" s="13">
        <v>0</v>
      </c>
      <c r="E11669" s="12">
        <v>0</v>
      </c>
      <c r="F11669" s="14">
        <v>0</v>
      </c>
      <c r="G11669" s="13">
        <v>80946940.9593</v>
      </c>
      <c r="H11669" s="14">
        <v>81717070155.586777</v>
      </c>
      <c r="I11669" s="14" t="e">
        <f>=Round(1719337.53120000,0)</f>
        <v>#VALUE!</v>
      </c>
      <c r="J11669" s="14" t="e">
        <f>=Round(0.00000000,0)</f>
        <v>#VALUE!</v>
      </c>
    </row>
    <row r="11670">
      <c r="A11670" s="11" t="s">
        <v>33</v>
      </c>
      <c r="B11670" s="12">
        <v>1009.939</v>
      </c>
      <c r="C11670" s="12">
        <v>0</v>
      </c>
      <c r="D11670" s="13">
        <v>0</v>
      </c>
      <c r="E11670" s="12">
        <v>0</v>
      </c>
      <c r="F11670" s="14">
        <v>0</v>
      </c>
      <c r="G11670" s="13">
        <v>80946940.9593</v>
      </c>
      <c r="H11670" s="14">
        <v>81751472605.494476</v>
      </c>
      <c r="I11670" s="14" t="e">
        <f>=Round(1719184.26280000,0)</f>
        <v>#VALUE!</v>
      </c>
      <c r="J11670" s="14" t="e">
        <f>=Round(0.00000000,0)</f>
        <v>#VALUE!</v>
      </c>
    </row>
    <row r="11671">
      <c r="A11671" s="11" t="s">
        <v>34</v>
      </c>
      <c r="B11671" s="12">
        <v>1010.06</v>
      </c>
      <c r="C11671" s="12">
        <v>0</v>
      </c>
      <c r="D11671" s="13">
        <v>0</v>
      </c>
      <c r="E11671" s="12">
        <v>0</v>
      </c>
      <c r="F11671" s="14">
        <v>0</v>
      </c>
      <c r="G11671" s="13">
        <v>80946940.9593</v>
      </c>
      <c r="H11671" s="14">
        <v>81761267185.350555</v>
      </c>
      <c r="I11671" s="14" t="e">
        <f>=Round(1719908.03020000,0)</f>
        <v>#VALUE!</v>
      </c>
      <c r="J11671" s="14" t="e">
        <f>=Round(0.00000000,0)</f>
        <v>#VALUE!</v>
      </c>
    </row>
    <row r="11672">
      <c r="A11672" s="11" t="s">
        <v>35</v>
      </c>
      <c r="B11672" s="12">
        <v>1010.06</v>
      </c>
      <c r="C11672" s="12">
        <v>0</v>
      </c>
      <c r="D11672" s="13">
        <v>0</v>
      </c>
      <c r="E11672" s="12">
        <v>0</v>
      </c>
      <c r="F11672" s="14">
        <v>0</v>
      </c>
      <c r="G11672" s="13">
        <v>80946940.9593</v>
      </c>
      <c r="H11672" s="14">
        <v>81761267185.350555</v>
      </c>
      <c r="I11672" s="14" t="e">
        <f>=Round(1720114.09110000,0)</f>
        <v>#VALUE!</v>
      </c>
      <c r="J11672" s="14" t="e">
        <f>=Round(0.00000000,0)</f>
        <v>#VALUE!</v>
      </c>
    </row>
    <row r="11673">
      <c r="A11673" s="11" t="s">
        <v>36</v>
      </c>
      <c r="B11673" s="12">
        <v>1010.06</v>
      </c>
      <c r="C11673" s="12">
        <v>0</v>
      </c>
      <c r="D11673" s="13">
        <v>0</v>
      </c>
      <c r="E11673" s="12">
        <v>0</v>
      </c>
      <c r="F11673" s="14">
        <v>0</v>
      </c>
      <c r="G11673" s="13">
        <v>80946940.9593</v>
      </c>
      <c r="H11673" s="14">
        <v>81761267185.350555</v>
      </c>
      <c r="I11673" s="14" t="e">
        <f>=Round(1720114.09110000,0)</f>
        <v>#VALUE!</v>
      </c>
      <c r="J11673" s="14" t="e">
        <f>=Round(0.00000000,0)</f>
        <v>#VALUE!</v>
      </c>
    </row>
    <row r="11674">
      <c r="A11674" s="11" t="s">
        <v>37</v>
      </c>
      <c r="B11674" s="12">
        <v>1010.654</v>
      </c>
      <c r="C11674" s="12">
        <v>0</v>
      </c>
      <c r="D11674" s="13">
        <v>0</v>
      </c>
      <c r="E11674" s="12">
        <v>0</v>
      </c>
      <c r="F11674" s="14">
        <v>0</v>
      </c>
      <c r="G11674" s="13">
        <v>80946940.9593</v>
      </c>
      <c r="H11674" s="14">
        <v>81809349668.28038</v>
      </c>
      <c r="I11674" s="14" t="e">
        <f>=Round(1720114.09110000,0)</f>
        <v>#VALUE!</v>
      </c>
      <c r="J11674" s="14" t="e">
        <f>=Round(0.00000000,0)</f>
        <v>#VALUE!</v>
      </c>
    </row>
    <row r="11675">
      <c r="A11675" s="11" t="s">
        <v>38</v>
      </c>
      <c r="B11675" s="12">
        <v>1010.824</v>
      </c>
      <c r="C11675" s="12">
        <v>0</v>
      </c>
      <c r="D11675" s="13">
        <v>0</v>
      </c>
      <c r="E11675" s="12">
        <v>0</v>
      </c>
      <c r="F11675" s="14">
        <v>0</v>
      </c>
      <c r="G11675" s="13">
        <v>80946940.9593</v>
      </c>
      <c r="H11675" s="14">
        <v>81823110648.243454</v>
      </c>
      <c r="I11675" s="14" t="e">
        <f>=Round(1721125.66240000,0)</f>
        <v>#VALUE!</v>
      </c>
      <c r="J11675" s="14" t="e">
        <f>=Round(0.00000000,0)</f>
        <v>#VALUE!</v>
      </c>
    </row>
    <row r="11676">
      <c r="A11676" s="11" t="s">
        <v>39</v>
      </c>
      <c r="B11676" s="12">
        <v>1011.639</v>
      </c>
      <c r="C11676" s="12">
        <v>0</v>
      </c>
      <c r="D11676" s="13">
        <v>0</v>
      </c>
      <c r="E11676" s="12">
        <v>0</v>
      </c>
      <c r="F11676" s="14">
        <v>0</v>
      </c>
      <c r="G11676" s="13">
        <v>80946940.9593</v>
      </c>
      <c r="H11676" s="14">
        <v>81889082405.12529</v>
      </c>
      <c r="I11676" s="14" t="e">
        <f>=Round(1721415.16940000,0)</f>
        <v>#VALUE!</v>
      </c>
      <c r="J11676" s="14" t="e">
        <f>=Round(0.00000000,0)</f>
        <v>#VALUE!</v>
      </c>
    </row>
    <row r="11677">
      <c r="A11677" s="11" t="s">
        <v>40</v>
      </c>
      <c r="B11677" s="12">
        <v>1012.38</v>
      </c>
      <c r="C11677" s="12">
        <v>0</v>
      </c>
      <c r="D11677" s="13">
        <v>0</v>
      </c>
      <c r="E11677" s="12">
        <v>0</v>
      </c>
      <c r="F11677" s="14">
        <v>0</v>
      </c>
      <c r="G11677" s="13">
        <v>80946940.9593</v>
      </c>
      <c r="H11677" s="14">
        <v>81949064088.376129</v>
      </c>
      <c r="I11677" s="14" t="e">
        <f>=Round(1722803.09980000,0)</f>
        <v>#VALUE!</v>
      </c>
      <c r="J11677" s="14" t="e">
        <f>=Round(0.00000000,0)</f>
        <v>#VALUE!</v>
      </c>
    </row>
    <row r="11678">
      <c r="A11678" s="11" t="s">
        <v>41</v>
      </c>
      <c r="B11678" s="12">
        <v>1012.425</v>
      </c>
      <c r="C11678" s="12">
        <v>0</v>
      </c>
      <c r="D11678" s="13">
        <v>0</v>
      </c>
      <c r="E11678" s="12">
        <v>0</v>
      </c>
      <c r="F11678" s="14">
        <v>0</v>
      </c>
      <c r="G11678" s="13">
        <v>80946940.9593</v>
      </c>
      <c r="H11678" s="14">
        <v>81952706700.7193</v>
      </c>
      <c r="I11678" s="14" t="e">
        <f>=Round(1724065.00950000,0)</f>
        <v>#VALUE!</v>
      </c>
      <c r="J11678" s="14" t="e">
        <f>=Round(0.00000000,0)</f>
        <v>#VALUE!</v>
      </c>
    </row>
    <row r="11679">
      <c r="A11679" s="11" t="s">
        <v>42</v>
      </c>
      <c r="B11679" s="12">
        <v>1012.425</v>
      </c>
      <c r="C11679" s="12">
        <v>0</v>
      </c>
      <c r="D11679" s="13">
        <v>0</v>
      </c>
      <c r="E11679" s="12">
        <v>0</v>
      </c>
      <c r="F11679" s="14">
        <v>0</v>
      </c>
      <c r="G11679" s="13">
        <v>80946940.9593</v>
      </c>
      <c r="H11679" s="14">
        <v>81952706700.7193</v>
      </c>
      <c r="I11679" s="14" t="e">
        <f>=Round(1724141.64370000,0)</f>
        <v>#VALUE!</v>
      </c>
      <c r="J11679" s="14" t="e">
        <f>=Round(0.00000000,0)</f>
        <v>#VALUE!</v>
      </c>
    </row>
    <row r="11680">
      <c r="A11680" s="11" t="s">
        <v>43</v>
      </c>
      <c r="B11680" s="12">
        <v>1012.425</v>
      </c>
      <c r="C11680" s="12">
        <v>0</v>
      </c>
      <c r="D11680" s="13">
        <v>0</v>
      </c>
      <c r="E11680" s="12">
        <v>0</v>
      </c>
      <c r="F11680" s="14">
        <v>0</v>
      </c>
      <c r="G11680" s="13">
        <v>80946940.9593</v>
      </c>
      <c r="H11680" s="14">
        <v>81952706700.7193</v>
      </c>
      <c r="I11680" s="14" t="e">
        <f>=Round(1724141.64370000,0)</f>
        <v>#VALUE!</v>
      </c>
      <c r="J11680" s="14" t="e">
        <f>=Round(0.00000000,0)</f>
        <v>#VALUE!</v>
      </c>
    </row>
    <row r="11681">
      <c r="A11681" s="11" t="s">
        <v>44</v>
      </c>
      <c r="B11681" s="12">
        <v>1013.34</v>
      </c>
      <c r="C11681" s="12">
        <v>0</v>
      </c>
      <c r="D11681" s="13">
        <v>0</v>
      </c>
      <c r="E11681" s="12">
        <v>0</v>
      </c>
      <c r="F11681" s="14">
        <v>0</v>
      </c>
      <c r="G11681" s="13">
        <v>80946940.9593</v>
      </c>
      <c r="H11681" s="14">
        <v>82026773151.697052</v>
      </c>
      <c r="I11681" s="14" t="e">
        <f>=Round(1724141.64370000,0)</f>
        <v>#VALUE!</v>
      </c>
      <c r="J11681" s="14" t="e">
        <f>=Round(0.00000000,0)</f>
        <v>#VALUE!</v>
      </c>
    </row>
    <row r="11682">
      <c r="A11682" s="11" t="s">
        <v>45</v>
      </c>
      <c r="B11682" s="12">
        <v>1013.384</v>
      </c>
      <c r="C11682" s="12">
        <v>0</v>
      </c>
      <c r="D11682" s="13">
        <v>0</v>
      </c>
      <c r="E11682" s="12">
        <v>0</v>
      </c>
      <c r="F11682" s="14">
        <v>0</v>
      </c>
      <c r="G11682" s="13">
        <v>80946940.9593</v>
      </c>
      <c r="H11682" s="14">
        <v>82030334817.099258</v>
      </c>
      <c r="I11682" s="14" t="e">
        <f>=Round(1725699.87230000,0)</f>
        <v>#VALUE!</v>
      </c>
      <c r="J11682" s="14" t="e">
        <f>=Round(0.00000000,0)</f>
        <v>#VALUE!</v>
      </c>
    </row>
    <row r="11683">
      <c r="A11683" s="11" t="s">
        <v>46</v>
      </c>
      <c r="B11683" s="12">
        <v>1013.616</v>
      </c>
      <c r="C11683" s="12">
        <v>0</v>
      </c>
      <c r="D11683" s="13">
        <v>0</v>
      </c>
      <c r="E11683" s="12">
        <v>0</v>
      </c>
      <c r="F11683" s="14">
        <v>0</v>
      </c>
      <c r="G11683" s="13">
        <v>80946940.9593</v>
      </c>
      <c r="H11683" s="14">
        <v>82049114507.401825</v>
      </c>
      <c r="I11683" s="14" t="e">
        <f>=Round(1725774.80350000,0)</f>
        <v>#VALUE!</v>
      </c>
      <c r="J11683" s="14" t="e">
        <f>=Round(0.00000000,0)</f>
        <v>#VALUE!</v>
      </c>
    </row>
    <row r="11684">
      <c r="A11684" s="11" t="s">
        <v>47</v>
      </c>
      <c r="B11684" s="12">
        <v>1013.847</v>
      </c>
      <c r="C11684" s="12">
        <v>0</v>
      </c>
      <c r="D11684" s="13">
        <v>0</v>
      </c>
      <c r="E11684" s="12">
        <v>0</v>
      </c>
      <c r="F11684" s="14">
        <v>0</v>
      </c>
      <c r="G11684" s="13">
        <v>80946940.9593</v>
      </c>
      <c r="H11684" s="14">
        <v>82067813250.763428</v>
      </c>
      <c r="I11684" s="14" t="e">
        <f>=Round(1726169.89540000,0)</f>
        <v>#VALUE!</v>
      </c>
      <c r="J11684" s="14" t="e">
        <f>=Round(0.00000000,0)</f>
        <v>#VALUE!</v>
      </c>
    </row>
    <row r="11685">
      <c r="A11685" s="11" t="s">
        <v>48</v>
      </c>
      <c r="B11685" s="12">
        <v>1014.148</v>
      </c>
      <c r="C11685" s="12">
        <v>0</v>
      </c>
      <c r="D11685" s="13">
        <v>0</v>
      </c>
      <c r="E11685" s="12">
        <v>0</v>
      </c>
      <c r="F11685" s="14">
        <v>0</v>
      </c>
      <c r="G11685" s="13">
        <v>80946940.9593</v>
      </c>
      <c r="H11685" s="14">
        <v>82092178279.992172</v>
      </c>
      <c r="I11685" s="14" t="e">
        <f>=Round(1726563.28420000,0)</f>
        <v>#VALUE!</v>
      </c>
      <c r="J11685" s="14" t="e">
        <f>=Round(0.00000000,0)</f>
        <v>#VALUE!</v>
      </c>
    </row>
    <row r="11686">
      <c r="A11686" s="11" t="s">
        <v>49</v>
      </c>
      <c r="B11686" s="12">
        <v>1014.148</v>
      </c>
      <c r="C11686" s="12">
        <v>0</v>
      </c>
      <c r="D11686" s="13">
        <v>0</v>
      </c>
      <c r="E11686" s="12">
        <v>0</v>
      </c>
      <c r="F11686" s="14">
        <v>0</v>
      </c>
      <c r="G11686" s="13">
        <v>80946940.9593</v>
      </c>
      <c r="H11686" s="14">
        <v>82092178279.992172</v>
      </c>
      <c r="I11686" s="14" t="e">
        <f>=Round(1727075.88180000,0)</f>
        <v>#VALUE!</v>
      </c>
      <c r="J11686" s="14" t="e">
        <f>=Round(0.00000000,0)</f>
        <v>#VALUE!</v>
      </c>
    </row>
    <row r="11687">
      <c r="A11687" s="11" t="s">
        <v>50</v>
      </c>
      <c r="B11687" s="12">
        <v>1014.148</v>
      </c>
      <c r="C11687" s="12">
        <v>0</v>
      </c>
      <c r="D11687" s="13">
        <v>0</v>
      </c>
      <c r="E11687" s="12">
        <v>0</v>
      </c>
      <c r="F11687" s="14">
        <v>0</v>
      </c>
      <c r="G11687" s="13">
        <v>80946940.9593</v>
      </c>
      <c r="H11687" s="14">
        <v>82092178279.992172</v>
      </c>
      <c r="I11687" s="14" t="e">
        <f>=Round(1727075.88180000,0)</f>
        <v>#VALUE!</v>
      </c>
      <c r="J11687" s="14" t="e">
        <f>=Round(0.00000000,0)</f>
        <v>#VALUE!</v>
      </c>
    </row>
    <row r="11688">
      <c r="A11688" s="11" t="s">
        <v>51</v>
      </c>
      <c r="B11688" s="12">
        <v>1014.605</v>
      </c>
      <c r="C11688" s="12">
        <v>0</v>
      </c>
      <c r="D11688" s="13">
        <v>0</v>
      </c>
      <c r="E11688" s="12">
        <v>0</v>
      </c>
      <c r="F11688" s="14">
        <v>0</v>
      </c>
      <c r="G11688" s="13">
        <v>80946940.9593</v>
      </c>
      <c r="H11688" s="14">
        <v>82129171032.010574</v>
      </c>
      <c r="I11688" s="14" t="e">
        <f>=Round(1727075.88180000,0)</f>
        <v>#VALUE!</v>
      </c>
      <c r="J11688" s="14" t="e">
        <f>=Round(0.00000000,0)</f>
        <v>#VALUE!</v>
      </c>
    </row>
    <row r="11689">
      <c r="A11689" s="11" t="s">
        <v>52</v>
      </c>
      <c r="B11689" s="12">
        <v>1014.757</v>
      </c>
      <c r="C11689" s="12">
        <v>0</v>
      </c>
      <c r="D11689" s="13">
        <v>0</v>
      </c>
      <c r="E11689" s="12">
        <v>0</v>
      </c>
      <c r="F11689" s="14">
        <v>0</v>
      </c>
      <c r="G11689" s="13">
        <v>80946940.9593</v>
      </c>
      <c r="H11689" s="14">
        <v>82141474967.036377</v>
      </c>
      <c r="I11689" s="14" t="e">
        <f>=Round(1727854.14470000,0)</f>
        <v>#VALUE!</v>
      </c>
      <c r="J11689" s="14" t="e">
        <f>=Round(0.00000000,0)</f>
        <v>#VALUE!</v>
      </c>
    </row>
    <row r="11690">
      <c r="A11690" s="11" t="s">
        <v>53</v>
      </c>
      <c r="B11690" s="12">
        <v>1014.945</v>
      </c>
      <c r="C11690" s="12">
        <v>0</v>
      </c>
      <c r="D11690" s="13">
        <v>0</v>
      </c>
      <c r="E11690" s="12">
        <v>0</v>
      </c>
      <c r="F11690" s="14">
        <v>0</v>
      </c>
      <c r="G11690" s="13">
        <v>80946940.9593</v>
      </c>
      <c r="H11690" s="14">
        <v>82156692991.936737</v>
      </c>
      <c r="I11690" s="14" t="e">
        <f>=Round(1728112.99790000,0)</f>
        <v>#VALUE!</v>
      </c>
      <c r="J11690" s="14" t="e">
        <f>=Round(0.00000000,0)</f>
        <v>#VALUE!</v>
      </c>
    </row>
    <row r="11691">
      <c r="A11691" s="11" t="s">
        <v>54</v>
      </c>
      <c r="B11691" s="12">
        <v>1015.468</v>
      </c>
      <c r="C11691" s="12">
        <v>0</v>
      </c>
      <c r="D11691" s="13">
        <v>0</v>
      </c>
      <c r="E11691" s="12">
        <v>0</v>
      </c>
      <c r="F11691" s="14">
        <v>0</v>
      </c>
      <c r="G11691" s="13">
        <v>80946940.9593</v>
      </c>
      <c r="H11691" s="14">
        <v>82199028242.058441</v>
      </c>
      <c r="I11691" s="14" t="e">
        <f>=Round(1728433.15860000,0)</f>
        <v>#VALUE!</v>
      </c>
      <c r="J11691" s="14" t="e">
        <f>=Round(0.00000000,0)</f>
        <v>#VALUE!</v>
      </c>
    </row>
    <row r="11692">
      <c r="A11692" s="11" t="s">
        <v>55</v>
      </c>
      <c r="B11692" s="12">
        <v>1016.989</v>
      </c>
      <c r="C11692" s="12">
        <v>0</v>
      </c>
      <c r="D11692" s="13">
        <v>0</v>
      </c>
      <c r="E11692" s="12">
        <v>0</v>
      </c>
      <c r="F11692" s="14">
        <v>0</v>
      </c>
      <c r="G11692" s="13">
        <v>80946940.9593</v>
      </c>
      <c r="H11692" s="14">
        <v>82322148539.257553</v>
      </c>
      <c r="I11692" s="14" t="e">
        <f>=Round(1729323.81820000,0)</f>
        <v>#VALUE!</v>
      </c>
      <c r="J11692" s="14" t="e">
        <f>=Round(0.00000000,0)</f>
        <v>#VALUE!</v>
      </c>
    </row>
    <row r="11693" ht="-1">
      <c r="A11693" s="15"/>
      <c r="B11693" s="16" t="s">
        <v>56</v>
      </c>
      <c r="C11693" s="15"/>
      <c r="D11693" s="15"/>
      <c r="E11693" s="15"/>
      <c r="F11693" s="15"/>
      <c r="G11693" s="15"/>
      <c r="H11693" s="15"/>
      <c r="I11693" s="17" t="e">
        <f>=Round(SUM(I11667:I11692),0)</f>
        <v>#VALUE!</v>
      </c>
      <c r="J11693" s="17" t="e">
        <f>=Round(SUM(J11667:J11692),0)</f>
        <v>#VALUE!</v>
      </c>
    </row>
    <row r="11694">
      <c r="A11694" s="1" t="s">
        <v>0</v>
      </c>
      <c r="B11694" s="1"/>
      <c r="C11694" s="1"/>
      <c r="D11694" s="1"/>
    </row>
    <row r="11695">
      <c r="A11695" s="0" t="s">
        <v>1</v>
      </c>
      <c r="C11695" s="0" t="s">
        <v>396</v>
      </c>
      <c r="H11695" s="2" t="s">
        <v>3</v>
      </c>
    </row>
    <row r="11696">
      <c r="A11696" s="0" t="s">
        <v>4</v>
      </c>
      <c r="C11696" s="0" t="s">
        <v>397</v>
      </c>
      <c r="H11696" s="3" t="s">
        <v>6</v>
      </c>
    </row>
    <row r="11697">
      <c r="A11697" s="0" t="s">
        <v>7</v>
      </c>
      <c r="C11697" s="4" t="s">
        <v>398</v>
      </c>
      <c r="H11697" s="2" t="s">
        <v>9</v>
      </c>
    </row>
    <row r="11698">
      <c r="A11698" s="0" t="s">
        <v>10</v>
      </c>
      <c r="C11698" s="4" t="s">
        <v>11</v>
      </c>
      <c r="H11698" s="2" t="s">
        <v>12</v>
      </c>
    </row>
    <row r="11699">
      <c r="A11699" s="0" t="s">
        <v>13</v>
      </c>
      <c r="C11699" s="0" t="s">
        <v>14</v>
      </c>
    </row>
    <row r="11700">
      <c r="A11700" s="0" t="s">
        <v>15</v>
      </c>
      <c r="C11700" s="0" t="s">
        <v>16</v>
      </c>
    </row>
    <row r="11701">
      <c r="A11701" s="0" t="s">
        <v>17</v>
      </c>
      <c r="C11701" s="0" t="s">
        <v>18</v>
      </c>
    </row>
    <row r="11704">
      <c r="A11704" s="5" t="s">
        <v>19</v>
      </c>
      <c r="B11704" s="5" t="s">
        <v>20</v>
      </c>
      <c r="C11704" s="7" t="s">
        <v>21</v>
      </c>
      <c r="D11704" s="9"/>
      <c r="E11704" s="7" t="s">
        <v>22</v>
      </c>
      <c r="F11704" s="9"/>
      <c r="G11704" s="5" t="s">
        <v>23</v>
      </c>
      <c r="H11704" s="5" t="s">
        <v>24</v>
      </c>
      <c r="I11704" s="5" t="s">
        <v>399</v>
      </c>
      <c r="J11704" s="5" t="s">
        <v>26</v>
      </c>
    </row>
    <row r="11705">
      <c r="A11705" s="6"/>
      <c r="B11705" s="6"/>
      <c r="C11705" s="8" t="s">
        <v>27</v>
      </c>
      <c r="D11705" s="8" t="s">
        <v>28</v>
      </c>
      <c r="E11705" s="8" t="s">
        <v>27</v>
      </c>
      <c r="F11705" s="8" t="s">
        <v>28</v>
      </c>
      <c r="G11705" s="6"/>
      <c r="H11705" s="6"/>
      <c r="I11705" s="10" t="s">
        <v>29</v>
      </c>
      <c r="J11705" s="6"/>
    </row>
    <row r="11706">
      <c r="A11706" s="11" t="s">
        <v>30</v>
      </c>
      <c r="B11706" s="12">
        <v>1233.59</v>
      </c>
      <c r="C11706" s="12">
        <v>0</v>
      </c>
      <c r="D11706" s="13">
        <v>0</v>
      </c>
      <c r="E11706" s="12">
        <v>0</v>
      </c>
      <c r="F11706" s="14">
        <v>0</v>
      </c>
      <c r="G11706" s="13">
        <v>94517143.301</v>
      </c>
      <c r="H11706" s="14">
        <v>116595402804.68059</v>
      </c>
      <c r="I11706" s="14" t="e">
        <f>=Round(439752.66200000,0)</f>
        <v>#VALUE!</v>
      </c>
      <c r="J11706" s="14" t="e">
        <f>=Round(0.00000000,0)</f>
        <v>#VALUE!</v>
      </c>
    </row>
    <row r="11707">
      <c r="A11707" s="11" t="s">
        <v>31</v>
      </c>
      <c r="B11707" s="12">
        <v>1238.56</v>
      </c>
      <c r="C11707" s="12">
        <v>0</v>
      </c>
      <c r="D11707" s="13">
        <v>0</v>
      </c>
      <c r="E11707" s="12">
        <v>0</v>
      </c>
      <c r="F11707" s="14">
        <v>0</v>
      </c>
      <c r="G11707" s="13">
        <v>94517143.301</v>
      </c>
      <c r="H11707" s="14">
        <v>117065153006.88657</v>
      </c>
      <c r="I11707" s="14" t="e">
        <f>=Round(439229.25710000,0)</f>
        <v>#VALUE!</v>
      </c>
      <c r="J11707" s="14" t="e">
        <f>=Round(0.00000000,0)</f>
        <v>#VALUE!</v>
      </c>
    </row>
    <row r="11708">
      <c r="A11708" s="11" t="s">
        <v>32</v>
      </c>
      <c r="B11708" s="12">
        <v>1237.78</v>
      </c>
      <c r="C11708" s="12">
        <v>0</v>
      </c>
      <c r="D11708" s="13">
        <v>0</v>
      </c>
      <c r="E11708" s="12">
        <v>0</v>
      </c>
      <c r="F11708" s="14">
        <v>0</v>
      </c>
      <c r="G11708" s="13">
        <v>94517143.301</v>
      </c>
      <c r="H11708" s="14">
        <v>116991429635.11177</v>
      </c>
      <c r="I11708" s="14" t="e">
        <f>=Round(440998.86410000,0)</f>
        <v>#VALUE!</v>
      </c>
      <c r="J11708" s="14" t="e">
        <f>=Round(0.00000000,0)</f>
        <v>#VALUE!</v>
      </c>
    </row>
    <row r="11709">
      <c r="A11709" s="11" t="s">
        <v>33</v>
      </c>
      <c r="B11709" s="12">
        <v>1240.77</v>
      </c>
      <c r="C11709" s="12">
        <v>0</v>
      </c>
      <c r="D11709" s="13">
        <v>0</v>
      </c>
      <c r="E11709" s="12">
        <v>0</v>
      </c>
      <c r="F11709" s="14">
        <v>0</v>
      </c>
      <c r="G11709" s="13">
        <v>94517143.301</v>
      </c>
      <c r="H11709" s="14">
        <v>117274035893.58177</v>
      </c>
      <c r="I11709" s="14" t="e">
        <f>=Round(440721.13900000,0)</f>
        <v>#VALUE!</v>
      </c>
      <c r="J11709" s="14" t="e">
        <f>=Round(0.00000000,0)</f>
        <v>#VALUE!</v>
      </c>
    </row>
    <row r="11710">
      <c r="A11710" s="11" t="s">
        <v>34</v>
      </c>
      <c r="B11710" s="12">
        <v>1241.39</v>
      </c>
      <c r="C11710" s="12">
        <v>0</v>
      </c>
      <c r="D11710" s="13">
        <v>0</v>
      </c>
      <c r="E11710" s="12">
        <v>0</v>
      </c>
      <c r="F11710" s="14">
        <v>0</v>
      </c>
      <c r="G11710" s="13">
        <v>94517143.301</v>
      </c>
      <c r="H11710" s="14">
        <v>117332636522.42839</v>
      </c>
      <c r="I11710" s="14" t="e">
        <f>=Round(441785.75170000,0)</f>
        <v>#VALUE!</v>
      </c>
      <c r="J11710" s="14" t="e">
        <f>=Round(0.00000000,0)</f>
        <v>#VALUE!</v>
      </c>
    </row>
    <row r="11711">
      <c r="A11711" s="11" t="s">
        <v>35</v>
      </c>
      <c r="B11711" s="12">
        <v>1241.39</v>
      </c>
      <c r="C11711" s="12">
        <v>0</v>
      </c>
      <c r="D11711" s="13">
        <v>0</v>
      </c>
      <c r="E11711" s="12">
        <v>0</v>
      </c>
      <c r="F11711" s="14">
        <v>0</v>
      </c>
      <c r="G11711" s="13">
        <v>94517143.301</v>
      </c>
      <c r="H11711" s="14">
        <v>117332636522.42839</v>
      </c>
      <c r="I11711" s="14" t="e">
        <f>=Round(442006.50740000,0)</f>
        <v>#VALUE!</v>
      </c>
      <c r="J11711" s="14" t="e">
        <f>=Round(0.00000000,0)</f>
        <v>#VALUE!</v>
      </c>
    </row>
    <row r="11712">
      <c r="A11712" s="11" t="s">
        <v>36</v>
      </c>
      <c r="B11712" s="12">
        <v>1241.39</v>
      </c>
      <c r="C11712" s="12">
        <v>0</v>
      </c>
      <c r="D11712" s="13">
        <v>0</v>
      </c>
      <c r="E11712" s="12">
        <v>0</v>
      </c>
      <c r="F11712" s="14">
        <v>0</v>
      </c>
      <c r="G11712" s="13">
        <v>94517143.301</v>
      </c>
      <c r="H11712" s="14">
        <v>117332636522.42839</v>
      </c>
      <c r="I11712" s="14" t="e">
        <f>=Round(442006.50740000,0)</f>
        <v>#VALUE!</v>
      </c>
      <c r="J11712" s="14" t="e">
        <f>=Round(0.00000000,0)</f>
        <v>#VALUE!</v>
      </c>
    </row>
    <row r="11713">
      <c r="A11713" s="11" t="s">
        <v>37</v>
      </c>
      <c r="B11713" s="12">
        <v>1241.32</v>
      </c>
      <c r="C11713" s="12">
        <v>0</v>
      </c>
      <c r="D11713" s="13">
        <v>0</v>
      </c>
      <c r="E11713" s="12">
        <v>0</v>
      </c>
      <c r="F11713" s="14">
        <v>0</v>
      </c>
      <c r="G11713" s="13">
        <v>94517143.301</v>
      </c>
      <c r="H11713" s="14">
        <v>117326020322.39731</v>
      </c>
      <c r="I11713" s="14" t="e">
        <f>=Round(442006.50740000,0)</f>
        <v>#VALUE!</v>
      </c>
      <c r="J11713" s="14" t="e">
        <f>=Round(0.00000000,0)</f>
        <v>#VALUE!</v>
      </c>
    </row>
    <row r="11714">
      <c r="A11714" s="11" t="s">
        <v>38</v>
      </c>
      <c r="B11714" s="12">
        <v>1242.78</v>
      </c>
      <c r="C11714" s="12">
        <v>0</v>
      </c>
      <c r="D11714" s="13">
        <v>0</v>
      </c>
      <c r="E11714" s="12">
        <v>0</v>
      </c>
      <c r="F11714" s="14">
        <v>0</v>
      </c>
      <c r="G11714" s="13">
        <v>94517143.301</v>
      </c>
      <c r="H11714" s="14">
        <v>117464015351.61679</v>
      </c>
      <c r="I11714" s="14" t="e">
        <f>=Round(441981.58340000,0)</f>
        <v>#VALUE!</v>
      </c>
      <c r="J11714" s="14" t="e">
        <f>=Round(0.00000000,0)</f>
        <v>#VALUE!</v>
      </c>
    </row>
    <row r="11715">
      <c r="A11715" s="11" t="s">
        <v>39</v>
      </c>
      <c r="B11715" s="12">
        <v>1250.85</v>
      </c>
      <c r="C11715" s="12">
        <v>0</v>
      </c>
      <c r="D11715" s="13">
        <v>0</v>
      </c>
      <c r="E11715" s="12">
        <v>0</v>
      </c>
      <c r="F11715" s="14">
        <v>0</v>
      </c>
      <c r="G11715" s="13">
        <v>94517143.301</v>
      </c>
      <c r="H11715" s="14">
        <v>118226768698.05586</v>
      </c>
      <c r="I11715" s="14" t="e">
        <f>=Round(442501.42770000,0)</f>
        <v>#VALUE!</v>
      </c>
      <c r="J11715" s="14" t="e">
        <f>=Round(0.00000000,0)</f>
        <v>#VALUE!</v>
      </c>
    </row>
    <row r="11716">
      <c r="A11716" s="11" t="s">
        <v>40</v>
      </c>
      <c r="B11716" s="12">
        <v>1252.62</v>
      </c>
      <c r="C11716" s="12">
        <v>0</v>
      </c>
      <c r="D11716" s="13">
        <v>0</v>
      </c>
      <c r="E11716" s="12">
        <v>0</v>
      </c>
      <c r="F11716" s="14">
        <v>0</v>
      </c>
      <c r="G11716" s="13">
        <v>94517143.301</v>
      </c>
      <c r="H11716" s="14">
        <v>118394064041.69862</v>
      </c>
      <c r="I11716" s="14" t="e">
        <f>=Round(445374.81360000,0)</f>
        <v>#VALUE!</v>
      </c>
      <c r="J11716" s="14" t="e">
        <f>=Round(0.00000000,0)</f>
        <v>#VALUE!</v>
      </c>
    </row>
    <row r="11717">
      <c r="A11717" s="11" t="s">
        <v>41</v>
      </c>
      <c r="B11717" s="12">
        <v>1252.12</v>
      </c>
      <c r="C11717" s="12">
        <v>0</v>
      </c>
      <c r="D11717" s="13">
        <v>0</v>
      </c>
      <c r="E11717" s="12">
        <v>0</v>
      </c>
      <c r="F11717" s="14">
        <v>0</v>
      </c>
      <c r="G11717" s="13">
        <v>94517143.301</v>
      </c>
      <c r="H11717" s="14">
        <v>118346805470.04813</v>
      </c>
      <c r="I11717" s="14" t="e">
        <f>=Round(446005.03580000,0)</f>
        <v>#VALUE!</v>
      </c>
      <c r="J11717" s="14" t="e">
        <f>=Round(0.00000000,0)</f>
        <v>#VALUE!</v>
      </c>
    </row>
    <row r="11718">
      <c r="A11718" s="11" t="s">
        <v>42</v>
      </c>
      <c r="B11718" s="12">
        <v>1252.12</v>
      </c>
      <c r="C11718" s="12">
        <v>0</v>
      </c>
      <c r="D11718" s="13">
        <v>0</v>
      </c>
      <c r="E11718" s="12">
        <v>0</v>
      </c>
      <c r="F11718" s="14">
        <v>0</v>
      </c>
      <c r="G11718" s="13">
        <v>94517143.301</v>
      </c>
      <c r="H11718" s="14">
        <v>118346805470.04813</v>
      </c>
      <c r="I11718" s="14" t="e">
        <f>=Round(445827.00690000,0)</f>
        <v>#VALUE!</v>
      </c>
      <c r="J11718" s="14" t="e">
        <f>=Round(0.00000000,0)</f>
        <v>#VALUE!</v>
      </c>
    </row>
    <row r="11719">
      <c r="A11719" s="11" t="s">
        <v>43</v>
      </c>
      <c r="B11719" s="12">
        <v>1252.12</v>
      </c>
      <c r="C11719" s="12">
        <v>0</v>
      </c>
      <c r="D11719" s="13">
        <v>0</v>
      </c>
      <c r="E11719" s="12">
        <v>0</v>
      </c>
      <c r="F11719" s="14">
        <v>0</v>
      </c>
      <c r="G11719" s="13">
        <v>94517143.301</v>
      </c>
      <c r="H11719" s="14">
        <v>118346805470.04813</v>
      </c>
      <c r="I11719" s="14" t="e">
        <f>=Round(445827.00690000,0)</f>
        <v>#VALUE!</v>
      </c>
      <c r="J11719" s="14" t="e">
        <f>=Round(0.00000000,0)</f>
        <v>#VALUE!</v>
      </c>
    </row>
    <row r="11720">
      <c r="A11720" s="11" t="s">
        <v>44</v>
      </c>
      <c r="B11720" s="12">
        <v>1253.07</v>
      </c>
      <c r="C11720" s="12">
        <v>0</v>
      </c>
      <c r="D11720" s="13">
        <v>0</v>
      </c>
      <c r="E11720" s="12">
        <v>0</v>
      </c>
      <c r="F11720" s="14">
        <v>0</v>
      </c>
      <c r="G11720" s="13">
        <v>94517143.301</v>
      </c>
      <c r="H11720" s="14">
        <v>118436596756.18407</v>
      </c>
      <c r="I11720" s="14" t="e">
        <f>=Round(445827.00690000,0)</f>
        <v>#VALUE!</v>
      </c>
      <c r="J11720" s="14" t="e">
        <f>=Round(0.00000000,0)</f>
        <v>#VALUE!</v>
      </c>
    </row>
    <row r="11721">
      <c r="A11721" s="11" t="s">
        <v>45</v>
      </c>
      <c r="B11721" s="12">
        <v>1254.05</v>
      </c>
      <c r="C11721" s="12">
        <v>0</v>
      </c>
      <c r="D11721" s="13">
        <v>0</v>
      </c>
      <c r="E11721" s="12">
        <v>0</v>
      </c>
      <c r="F11721" s="14">
        <v>0</v>
      </c>
      <c r="G11721" s="13">
        <v>94517143.301</v>
      </c>
      <c r="H11721" s="14">
        <v>118529223556.61905</v>
      </c>
      <c r="I11721" s="14" t="e">
        <f>=Round(446165.26180000,0)</f>
        <v>#VALUE!</v>
      </c>
      <c r="J11721" s="14" t="e">
        <f>=Round(0.00000000,0)</f>
        <v>#VALUE!</v>
      </c>
    </row>
    <row r="11722">
      <c r="A11722" s="11" t="s">
        <v>46</v>
      </c>
      <c r="B11722" s="12">
        <v>1255.25</v>
      </c>
      <c r="C11722" s="12">
        <v>0</v>
      </c>
      <c r="D11722" s="13">
        <v>0</v>
      </c>
      <c r="E11722" s="12">
        <v>0</v>
      </c>
      <c r="F11722" s="14">
        <v>0</v>
      </c>
      <c r="G11722" s="13">
        <v>94517143.301</v>
      </c>
      <c r="H11722" s="14">
        <v>118642644128.58026</v>
      </c>
      <c r="I11722" s="14" t="e">
        <f>=Round(446514.19830000,0)</f>
        <v>#VALUE!</v>
      </c>
      <c r="J11722" s="14" t="e">
        <f>=Round(0.00000000,0)</f>
        <v>#VALUE!</v>
      </c>
    </row>
    <row r="11723">
      <c r="A11723" s="11" t="s">
        <v>47</v>
      </c>
      <c r="B11723" s="12">
        <v>1256.19</v>
      </c>
      <c r="C11723" s="12">
        <v>0</v>
      </c>
      <c r="D11723" s="13">
        <v>0</v>
      </c>
      <c r="E11723" s="12">
        <v>0</v>
      </c>
      <c r="F11723" s="14">
        <v>0</v>
      </c>
      <c r="G11723" s="13">
        <v>94517143.301</v>
      </c>
      <c r="H11723" s="14">
        <v>118731490243.28319</v>
      </c>
      <c r="I11723" s="14" t="e">
        <f>=Round(446941.46760000,0)</f>
        <v>#VALUE!</v>
      </c>
      <c r="J11723" s="14" t="e">
        <f>=Round(0.00000000,0)</f>
        <v>#VALUE!</v>
      </c>
    </row>
    <row r="11724">
      <c r="A11724" s="11" t="s">
        <v>48</v>
      </c>
      <c r="B11724" s="12">
        <v>1255.18</v>
      </c>
      <c r="C11724" s="12">
        <v>0</v>
      </c>
      <c r="D11724" s="13">
        <v>0</v>
      </c>
      <c r="E11724" s="12">
        <v>0</v>
      </c>
      <c r="F11724" s="14">
        <v>0</v>
      </c>
      <c r="G11724" s="13">
        <v>94517143.301</v>
      </c>
      <c r="H11724" s="14">
        <v>118636027928.54918</v>
      </c>
      <c r="I11724" s="14" t="e">
        <f>=Round(447276.16190000,0)</f>
        <v>#VALUE!</v>
      </c>
      <c r="J11724" s="14" t="e">
        <f>=Round(0.00000000,0)</f>
        <v>#VALUE!</v>
      </c>
    </row>
    <row r="11725">
      <c r="A11725" s="11" t="s">
        <v>49</v>
      </c>
      <c r="B11725" s="12">
        <v>1255.18</v>
      </c>
      <c r="C11725" s="12">
        <v>0</v>
      </c>
      <c r="D11725" s="13">
        <v>0</v>
      </c>
      <c r="E11725" s="12">
        <v>0</v>
      </c>
      <c r="F11725" s="14">
        <v>0</v>
      </c>
      <c r="G11725" s="13">
        <v>94517143.301</v>
      </c>
      <c r="H11725" s="14">
        <v>118636027928.54918</v>
      </c>
      <c r="I11725" s="14" t="e">
        <f>=Round(446916.54360000,0)</f>
        <v>#VALUE!</v>
      </c>
      <c r="J11725" s="14" t="e">
        <f>=Round(0.00000000,0)</f>
        <v>#VALUE!</v>
      </c>
    </row>
    <row r="11726">
      <c r="A11726" s="11" t="s">
        <v>50</v>
      </c>
      <c r="B11726" s="12">
        <v>1255.18</v>
      </c>
      <c r="C11726" s="12">
        <v>0</v>
      </c>
      <c r="D11726" s="13">
        <v>0</v>
      </c>
      <c r="E11726" s="12">
        <v>0</v>
      </c>
      <c r="F11726" s="14">
        <v>0</v>
      </c>
      <c r="G11726" s="13">
        <v>94517143.301</v>
      </c>
      <c r="H11726" s="14">
        <v>118636027928.54918</v>
      </c>
      <c r="I11726" s="14" t="e">
        <f>=Round(446916.54360000,0)</f>
        <v>#VALUE!</v>
      </c>
      <c r="J11726" s="14" t="e">
        <f>=Round(0.00000000,0)</f>
        <v>#VALUE!</v>
      </c>
    </row>
    <row r="11727">
      <c r="A11727" s="11" t="s">
        <v>51</v>
      </c>
      <c r="B11727" s="12">
        <v>1253.78</v>
      </c>
      <c r="C11727" s="12">
        <v>0</v>
      </c>
      <c r="D11727" s="13">
        <v>0</v>
      </c>
      <c r="E11727" s="12">
        <v>0</v>
      </c>
      <c r="F11727" s="14">
        <v>0</v>
      </c>
      <c r="G11727" s="13">
        <v>94517143.301</v>
      </c>
      <c r="H11727" s="14">
        <v>118503703927.92778</v>
      </c>
      <c r="I11727" s="14" t="e">
        <f>=Round(446916.54360000,0)</f>
        <v>#VALUE!</v>
      </c>
      <c r="J11727" s="14" t="e">
        <f>=Round(0.00000000,0)</f>
        <v>#VALUE!</v>
      </c>
    </row>
    <row r="11728">
      <c r="A11728" s="11" t="s">
        <v>52</v>
      </c>
      <c r="B11728" s="12">
        <v>1251.87</v>
      </c>
      <c r="C11728" s="12">
        <v>0</v>
      </c>
      <c r="D11728" s="13">
        <v>0</v>
      </c>
      <c r="E11728" s="12">
        <v>0</v>
      </c>
      <c r="F11728" s="14">
        <v>0</v>
      </c>
      <c r="G11728" s="13">
        <v>94517143.301</v>
      </c>
      <c r="H11728" s="14">
        <v>118323176184.22287</v>
      </c>
      <c r="I11728" s="14" t="e">
        <f>=Round(446418.06270000,0)</f>
        <v>#VALUE!</v>
      </c>
      <c r="J11728" s="14" t="e">
        <f>=Round(0.00000000,0)</f>
        <v>#VALUE!</v>
      </c>
    </row>
    <row r="11729">
      <c r="A11729" s="11" t="s">
        <v>53</v>
      </c>
      <c r="B11729" s="12">
        <v>1249.92</v>
      </c>
      <c r="C11729" s="12">
        <v>0</v>
      </c>
      <c r="D11729" s="13">
        <v>0</v>
      </c>
      <c r="E11729" s="12">
        <v>0</v>
      </c>
      <c r="F11729" s="14">
        <v>0</v>
      </c>
      <c r="G11729" s="13">
        <v>94517143.301</v>
      </c>
      <c r="H11729" s="14">
        <v>118138867754.78592</v>
      </c>
      <c r="I11729" s="14" t="e">
        <f>=Round(445737.99250000,0)</f>
        <v>#VALUE!</v>
      </c>
      <c r="J11729" s="14" t="e">
        <f>=Round(0.00000000,0)</f>
        <v>#VALUE!</v>
      </c>
    </row>
    <row r="11730">
      <c r="A11730" s="11" t="s">
        <v>54</v>
      </c>
      <c r="B11730" s="12">
        <v>1245.46</v>
      </c>
      <c r="C11730" s="12">
        <v>0</v>
      </c>
      <c r="D11730" s="13">
        <v>0</v>
      </c>
      <c r="E11730" s="12">
        <v>0</v>
      </c>
      <c r="F11730" s="14">
        <v>0</v>
      </c>
      <c r="G11730" s="13">
        <v>94517143.301</v>
      </c>
      <c r="H11730" s="14">
        <v>117717321295.66345</v>
      </c>
      <c r="I11730" s="14" t="e">
        <f>=Round(445043.67990000,0)</f>
        <v>#VALUE!</v>
      </c>
      <c r="J11730" s="14" t="e">
        <f>=Round(0.00000000,0)</f>
        <v>#VALUE!</v>
      </c>
    </row>
    <row r="11731">
      <c r="A11731" s="11" t="s">
        <v>55</v>
      </c>
      <c r="B11731" s="12">
        <v>1233.48</v>
      </c>
      <c r="C11731" s="12">
        <v>0</v>
      </c>
      <c r="D11731" s="13">
        <v>0</v>
      </c>
      <c r="E11731" s="12">
        <v>0</v>
      </c>
      <c r="F11731" s="14">
        <v>0</v>
      </c>
      <c r="G11731" s="13">
        <v>94517143.301</v>
      </c>
      <c r="H11731" s="14">
        <v>116585005918.91747</v>
      </c>
      <c r="I11731" s="14" t="e">
        <f>=Round(443455.66240000,0)</f>
        <v>#VALUE!</v>
      </c>
      <c r="J11731" s="14" t="e">
        <f>=Round(0.00000000,0)</f>
        <v>#VALUE!</v>
      </c>
    </row>
    <row r="11732" ht="-1">
      <c r="A11732" s="15"/>
      <c r="B11732" s="16" t="s">
        <v>56</v>
      </c>
      <c r="C11732" s="15"/>
      <c r="D11732" s="15"/>
      <c r="E11732" s="15"/>
      <c r="F11732" s="15"/>
      <c r="G11732" s="15"/>
      <c r="H11732" s="15"/>
      <c r="I11732" s="17" t="e">
        <f>=Round(SUM(I11706:I11731),0)</f>
        <v>#VALUE!</v>
      </c>
      <c r="J11732" s="17" t="e">
        <f>=Round(SUM(J11706:J11731),0)</f>
        <v>#VALUE!</v>
      </c>
    </row>
    <row r="11733">
      <c r="A11733" s="1" t="s">
        <v>0</v>
      </c>
      <c r="B11733" s="1"/>
      <c r="C11733" s="1"/>
      <c r="D11733" s="1"/>
    </row>
    <row r="11734">
      <c r="A11734" s="0" t="s">
        <v>1</v>
      </c>
      <c r="C11734" s="0" t="s">
        <v>396</v>
      </c>
      <c r="H11734" s="2" t="s">
        <v>3</v>
      </c>
    </row>
    <row r="11735">
      <c r="A11735" s="0" t="s">
        <v>4</v>
      </c>
      <c r="C11735" s="0" t="s">
        <v>400</v>
      </c>
      <c r="H11735" s="3" t="s">
        <v>6</v>
      </c>
    </row>
    <row r="11736">
      <c r="A11736" s="0" t="s">
        <v>7</v>
      </c>
      <c r="C11736" s="4" t="s">
        <v>398</v>
      </c>
      <c r="H11736" s="2" t="s">
        <v>9</v>
      </c>
    </row>
    <row r="11737">
      <c r="A11737" s="0" t="s">
        <v>10</v>
      </c>
      <c r="C11737" s="4" t="s">
        <v>11</v>
      </c>
      <c r="H11737" s="2" t="s">
        <v>12</v>
      </c>
    </row>
    <row r="11738">
      <c r="A11738" s="0" t="s">
        <v>13</v>
      </c>
      <c r="C11738" s="0" t="s">
        <v>14</v>
      </c>
    </row>
    <row r="11739">
      <c r="A11739" s="0" t="s">
        <v>15</v>
      </c>
      <c r="C11739" s="0" t="s">
        <v>16</v>
      </c>
    </row>
    <row r="11740">
      <c r="A11740" s="0" t="s">
        <v>17</v>
      </c>
      <c r="C11740" s="0" t="s">
        <v>18</v>
      </c>
    </row>
    <row r="11743">
      <c r="A11743" s="5" t="s">
        <v>19</v>
      </c>
      <c r="B11743" s="5" t="s">
        <v>20</v>
      </c>
      <c r="C11743" s="7" t="s">
        <v>21</v>
      </c>
      <c r="D11743" s="9"/>
      <c r="E11743" s="7" t="s">
        <v>22</v>
      </c>
      <c r="F11743" s="9"/>
      <c r="G11743" s="5" t="s">
        <v>23</v>
      </c>
      <c r="H11743" s="5" t="s">
        <v>24</v>
      </c>
      <c r="I11743" s="5" t="s">
        <v>399</v>
      </c>
      <c r="J11743" s="5" t="s">
        <v>26</v>
      </c>
    </row>
    <row r="11744">
      <c r="A11744" s="6"/>
      <c r="B11744" s="6"/>
      <c r="C11744" s="8" t="s">
        <v>27</v>
      </c>
      <c r="D11744" s="8" t="s">
        <v>28</v>
      </c>
      <c r="E11744" s="8" t="s">
        <v>27</v>
      </c>
      <c r="F11744" s="8" t="s">
        <v>28</v>
      </c>
      <c r="G11744" s="6"/>
      <c r="H11744" s="6"/>
      <c r="I11744" s="10" t="s">
        <v>29</v>
      </c>
      <c r="J11744" s="6"/>
    </row>
    <row r="11745">
      <c r="A11745" s="11" t="s">
        <v>30</v>
      </c>
      <c r="B11745" s="12">
        <v>1233.59</v>
      </c>
      <c r="C11745" s="12">
        <v>0</v>
      </c>
      <c r="D11745" s="13">
        <v>0</v>
      </c>
      <c r="E11745" s="12">
        <v>0</v>
      </c>
      <c r="F11745" s="14">
        <v>0</v>
      </c>
      <c r="G11745" s="13">
        <v>88158232.007700011</v>
      </c>
      <c r="H11745" s="14">
        <v>108751113422.37865</v>
      </c>
      <c r="I11745" s="14" t="e">
        <f>=Round(410167.04320000,0)</f>
        <v>#VALUE!</v>
      </c>
      <c r="J11745" s="14" t="e">
        <f>=Round(0.00000000,0)</f>
        <v>#VALUE!</v>
      </c>
    </row>
    <row r="11746">
      <c r="A11746" s="11" t="s">
        <v>31</v>
      </c>
      <c r="B11746" s="12">
        <v>1238.56</v>
      </c>
      <c r="C11746" s="12">
        <v>0</v>
      </c>
      <c r="D11746" s="13">
        <v>0</v>
      </c>
      <c r="E11746" s="12">
        <v>0</v>
      </c>
      <c r="F11746" s="14">
        <v>0</v>
      </c>
      <c r="G11746" s="13">
        <v>88158232.007700011</v>
      </c>
      <c r="H11746" s="14">
        <v>109189259835.45691</v>
      </c>
      <c r="I11746" s="14" t="e">
        <f>=Round(409678.85190000,0)</f>
        <v>#VALUE!</v>
      </c>
      <c r="J11746" s="14" t="e">
        <f>=Round(0.00000000,0)</f>
        <v>#VALUE!</v>
      </c>
    </row>
    <row r="11747">
      <c r="A11747" s="11" t="s">
        <v>32</v>
      </c>
      <c r="B11747" s="12">
        <v>1237.78</v>
      </c>
      <c r="C11747" s="12">
        <v>0</v>
      </c>
      <c r="D11747" s="13">
        <v>0</v>
      </c>
      <c r="E11747" s="12">
        <v>0</v>
      </c>
      <c r="F11747" s="14">
        <v>0</v>
      </c>
      <c r="G11747" s="13">
        <v>88158232.007700011</v>
      </c>
      <c r="H11747" s="14">
        <v>109120496414.49091</v>
      </c>
      <c r="I11747" s="14" t="e">
        <f>=Round(411329.40350000,0)</f>
        <v>#VALUE!</v>
      </c>
      <c r="J11747" s="14" t="e">
        <f>=Round(0.00000000,0)</f>
        <v>#VALUE!</v>
      </c>
    </row>
    <row r="11748">
      <c r="A11748" s="11" t="s">
        <v>33</v>
      </c>
      <c r="B11748" s="12">
        <v>1240.77</v>
      </c>
      <c r="C11748" s="12">
        <v>0</v>
      </c>
      <c r="D11748" s="13">
        <v>0</v>
      </c>
      <c r="E11748" s="12">
        <v>0</v>
      </c>
      <c r="F11748" s="14">
        <v>0</v>
      </c>
      <c r="G11748" s="13">
        <v>88158232.007700011</v>
      </c>
      <c r="H11748" s="14">
        <v>109384089528.19394</v>
      </c>
      <c r="I11748" s="14" t="e">
        <f>=Round(411070.36320000,0)</f>
        <v>#VALUE!</v>
      </c>
      <c r="J11748" s="14" t="e">
        <f>=Round(0.00000000,0)</f>
        <v>#VALUE!</v>
      </c>
    </row>
    <row r="11749">
      <c r="A11749" s="11" t="s">
        <v>34</v>
      </c>
      <c r="B11749" s="12">
        <v>1241.39</v>
      </c>
      <c r="C11749" s="12">
        <v>0</v>
      </c>
      <c r="D11749" s="13">
        <v>0</v>
      </c>
      <c r="E11749" s="12">
        <v>0</v>
      </c>
      <c r="F11749" s="14">
        <v>0</v>
      </c>
      <c r="G11749" s="13">
        <v>88158232.007700011</v>
      </c>
      <c r="H11749" s="14">
        <v>109438747632.03871</v>
      </c>
      <c r="I11749" s="14" t="e">
        <f>=Round(412063.35100000,0)</f>
        <v>#VALUE!</v>
      </c>
      <c r="J11749" s="14" t="e">
        <f>=Round(0.00000000,0)</f>
        <v>#VALUE!</v>
      </c>
    </row>
    <row r="11750">
      <c r="A11750" s="11" t="s">
        <v>35</v>
      </c>
      <c r="B11750" s="12">
        <v>1241.39</v>
      </c>
      <c r="C11750" s="12">
        <v>0</v>
      </c>
      <c r="D11750" s="13">
        <v>0</v>
      </c>
      <c r="E11750" s="12">
        <v>0</v>
      </c>
      <c r="F11750" s="14">
        <v>0</v>
      </c>
      <c r="G11750" s="13">
        <v>88158232.007700011</v>
      </c>
      <c r="H11750" s="14">
        <v>109438747632.03871</v>
      </c>
      <c r="I11750" s="14" t="e">
        <f>=Round(412269.25480000,0)</f>
        <v>#VALUE!</v>
      </c>
      <c r="J11750" s="14" t="e">
        <f>=Round(0.00000000,0)</f>
        <v>#VALUE!</v>
      </c>
    </row>
    <row r="11751">
      <c r="A11751" s="11" t="s">
        <v>36</v>
      </c>
      <c r="B11751" s="12">
        <v>1241.39</v>
      </c>
      <c r="C11751" s="12">
        <v>0</v>
      </c>
      <c r="D11751" s="13">
        <v>0</v>
      </c>
      <c r="E11751" s="12">
        <v>0</v>
      </c>
      <c r="F11751" s="14">
        <v>0</v>
      </c>
      <c r="G11751" s="13">
        <v>88158232.007700011</v>
      </c>
      <c r="H11751" s="14">
        <v>109438747632.03871</v>
      </c>
      <c r="I11751" s="14" t="e">
        <f>=Round(412269.25480000,0)</f>
        <v>#VALUE!</v>
      </c>
      <c r="J11751" s="14" t="e">
        <f>=Round(0.00000000,0)</f>
        <v>#VALUE!</v>
      </c>
    </row>
    <row r="11752">
      <c r="A11752" s="11" t="s">
        <v>37</v>
      </c>
      <c r="B11752" s="12">
        <v>1241.32</v>
      </c>
      <c r="C11752" s="12">
        <v>0</v>
      </c>
      <c r="D11752" s="13">
        <v>0</v>
      </c>
      <c r="E11752" s="12">
        <v>0</v>
      </c>
      <c r="F11752" s="14">
        <v>0</v>
      </c>
      <c r="G11752" s="13">
        <v>88158232.007700011</v>
      </c>
      <c r="H11752" s="14">
        <v>109432576555.79816</v>
      </c>
      <c r="I11752" s="14" t="e">
        <f>=Round(412269.25480000,0)</f>
        <v>#VALUE!</v>
      </c>
      <c r="J11752" s="14" t="e">
        <f>=Round(0.00000000,0)</f>
        <v>#VALUE!</v>
      </c>
    </row>
    <row r="11753">
      <c r="A11753" s="11" t="s">
        <v>38</v>
      </c>
      <c r="B11753" s="12">
        <v>1242.78</v>
      </c>
      <c r="C11753" s="12">
        <v>0</v>
      </c>
      <c r="D11753" s="13">
        <v>0</v>
      </c>
      <c r="E11753" s="12">
        <v>0</v>
      </c>
      <c r="F11753" s="14">
        <v>0</v>
      </c>
      <c r="G11753" s="13">
        <v>88158232.007700011</v>
      </c>
      <c r="H11753" s="14">
        <v>109561287574.5294</v>
      </c>
      <c r="I11753" s="14" t="e">
        <f>=Round(412246.00760000,0)</f>
        <v>#VALUE!</v>
      </c>
      <c r="J11753" s="14" t="e">
        <f>=Round(0.00000000,0)</f>
        <v>#VALUE!</v>
      </c>
    </row>
    <row r="11754">
      <c r="A11754" s="11" t="s">
        <v>39</v>
      </c>
      <c r="B11754" s="12">
        <v>1250.85</v>
      </c>
      <c r="C11754" s="12">
        <v>0</v>
      </c>
      <c r="D11754" s="13">
        <v>0</v>
      </c>
      <c r="E11754" s="12">
        <v>0</v>
      </c>
      <c r="F11754" s="14">
        <v>0</v>
      </c>
      <c r="G11754" s="13">
        <v>88158232.007700011</v>
      </c>
      <c r="H11754" s="14">
        <v>110272724506.83156</v>
      </c>
      <c r="I11754" s="14" t="e">
        <f>=Round(412730.87780000,0)</f>
        <v>#VALUE!</v>
      </c>
      <c r="J11754" s="14" t="e">
        <f>=Round(0.00000000,0)</f>
        <v>#VALUE!</v>
      </c>
    </row>
    <row r="11755">
      <c r="A11755" s="11" t="s">
        <v>40</v>
      </c>
      <c r="B11755" s="12">
        <v>1252.62</v>
      </c>
      <c r="C11755" s="12">
        <v>0</v>
      </c>
      <c r="D11755" s="13">
        <v>0</v>
      </c>
      <c r="E11755" s="12">
        <v>0</v>
      </c>
      <c r="F11755" s="14">
        <v>0</v>
      </c>
      <c r="G11755" s="13">
        <v>88158232.007700011</v>
      </c>
      <c r="H11755" s="14">
        <v>110428764577.48517</v>
      </c>
      <c r="I11755" s="14" t="e">
        <f>=Round(415410.94850000,0)</f>
        <v>#VALUE!</v>
      </c>
      <c r="J11755" s="14" t="e">
        <f>=Round(0.00000000,0)</f>
        <v>#VALUE!</v>
      </c>
    </row>
    <row r="11756">
      <c r="A11756" s="11" t="s">
        <v>41</v>
      </c>
      <c r="B11756" s="12">
        <v>1252.12</v>
      </c>
      <c r="C11756" s="12">
        <v>0</v>
      </c>
      <c r="D11756" s="13">
        <v>0</v>
      </c>
      <c r="E11756" s="12">
        <v>0</v>
      </c>
      <c r="F11756" s="14">
        <v>0</v>
      </c>
      <c r="G11756" s="13">
        <v>88158232.007700011</v>
      </c>
      <c r="H11756" s="14">
        <v>110384685461.48132</v>
      </c>
      <c r="I11756" s="14" t="e">
        <f>=Round(415998.77070000,0)</f>
        <v>#VALUE!</v>
      </c>
      <c r="J11756" s="14" t="e">
        <f>=Round(0.00000000,0)</f>
        <v>#VALUE!</v>
      </c>
    </row>
    <row r="11757">
      <c r="A11757" s="11" t="s">
        <v>42</v>
      </c>
      <c r="B11757" s="12">
        <v>1252.12</v>
      </c>
      <c r="C11757" s="12">
        <v>0</v>
      </c>
      <c r="D11757" s="13">
        <v>0</v>
      </c>
      <c r="E11757" s="12">
        <v>0</v>
      </c>
      <c r="F11757" s="14">
        <v>0</v>
      </c>
      <c r="G11757" s="13">
        <v>88158232.007700011</v>
      </c>
      <c r="H11757" s="14">
        <v>110384685461.48132</v>
      </c>
      <c r="I11757" s="14" t="e">
        <f>=Round(415832.71920000,0)</f>
        <v>#VALUE!</v>
      </c>
      <c r="J11757" s="14" t="e">
        <f>=Round(0.00000000,0)</f>
        <v>#VALUE!</v>
      </c>
    </row>
    <row r="11758">
      <c r="A11758" s="11" t="s">
        <v>43</v>
      </c>
      <c r="B11758" s="12">
        <v>1252.12</v>
      </c>
      <c r="C11758" s="12">
        <v>0</v>
      </c>
      <c r="D11758" s="13">
        <v>0</v>
      </c>
      <c r="E11758" s="12">
        <v>0</v>
      </c>
      <c r="F11758" s="14">
        <v>0</v>
      </c>
      <c r="G11758" s="13">
        <v>88158232.007700011</v>
      </c>
      <c r="H11758" s="14">
        <v>110384685461.48132</v>
      </c>
      <c r="I11758" s="14" t="e">
        <f>=Round(415832.71920000,0)</f>
        <v>#VALUE!</v>
      </c>
      <c r="J11758" s="14" t="e">
        <f>=Round(0.00000000,0)</f>
        <v>#VALUE!</v>
      </c>
    </row>
    <row r="11759">
      <c r="A11759" s="11" t="s">
        <v>44</v>
      </c>
      <c r="B11759" s="12">
        <v>1253.07</v>
      </c>
      <c r="C11759" s="12">
        <v>0</v>
      </c>
      <c r="D11759" s="13">
        <v>0</v>
      </c>
      <c r="E11759" s="12">
        <v>0</v>
      </c>
      <c r="F11759" s="14">
        <v>0</v>
      </c>
      <c r="G11759" s="13">
        <v>88158232.007700011</v>
      </c>
      <c r="H11759" s="14">
        <v>110468435781.88864</v>
      </c>
      <c r="I11759" s="14" t="e">
        <f>=Round(415832.71920000,0)</f>
        <v>#VALUE!</v>
      </c>
      <c r="J11759" s="14" t="e">
        <f>=Round(0.00000000,0)</f>
        <v>#VALUE!</v>
      </c>
    </row>
    <row r="11760">
      <c r="A11760" s="11" t="s">
        <v>45</v>
      </c>
      <c r="B11760" s="12">
        <v>1254.05</v>
      </c>
      <c r="C11760" s="12">
        <v>0</v>
      </c>
      <c r="D11760" s="13">
        <v>0</v>
      </c>
      <c r="E11760" s="12">
        <v>0</v>
      </c>
      <c r="F11760" s="14">
        <v>0</v>
      </c>
      <c r="G11760" s="13">
        <v>88158232.007700011</v>
      </c>
      <c r="H11760" s="14">
        <v>110554830849.2562</v>
      </c>
      <c r="I11760" s="14" t="e">
        <f>=Round(416148.21700000,0)</f>
        <v>#VALUE!</v>
      </c>
      <c r="J11760" s="14" t="e">
        <f>=Round(0.00000000,0)</f>
        <v>#VALUE!</v>
      </c>
    </row>
    <row r="11761">
      <c r="A11761" s="11" t="s">
        <v>46</v>
      </c>
      <c r="B11761" s="12">
        <v>1255.25</v>
      </c>
      <c r="C11761" s="12">
        <v>0</v>
      </c>
      <c r="D11761" s="13">
        <v>0</v>
      </c>
      <c r="E11761" s="12">
        <v>0</v>
      </c>
      <c r="F11761" s="14">
        <v>0</v>
      </c>
      <c r="G11761" s="13">
        <v>88158232.007700011</v>
      </c>
      <c r="H11761" s="14">
        <v>110660620727.66542</v>
      </c>
      <c r="I11761" s="14" t="e">
        <f>=Round(416473.67790000,0)</f>
        <v>#VALUE!</v>
      </c>
      <c r="J11761" s="14" t="e">
        <f>=Round(0.00000000,0)</f>
        <v>#VALUE!</v>
      </c>
    </row>
    <row r="11762">
      <c r="A11762" s="11" t="s">
        <v>47</v>
      </c>
      <c r="B11762" s="12">
        <v>1256.19</v>
      </c>
      <c r="C11762" s="12">
        <v>0</v>
      </c>
      <c r="D11762" s="13">
        <v>0</v>
      </c>
      <c r="E11762" s="12">
        <v>0</v>
      </c>
      <c r="F11762" s="14">
        <v>0</v>
      </c>
      <c r="G11762" s="13">
        <v>88158232.007700011</v>
      </c>
      <c r="H11762" s="14">
        <v>110743489465.75266</v>
      </c>
      <c r="I11762" s="14" t="e">
        <f>=Round(416872.20140000,0)</f>
        <v>#VALUE!</v>
      </c>
      <c r="J11762" s="14" t="e">
        <f>=Round(0.00000000,0)</f>
        <v>#VALUE!</v>
      </c>
    </row>
    <row r="11763">
      <c r="A11763" s="11" t="s">
        <v>48</v>
      </c>
      <c r="B11763" s="12">
        <v>1255.18</v>
      </c>
      <c r="C11763" s="12">
        <v>0</v>
      </c>
      <c r="D11763" s="13">
        <v>0</v>
      </c>
      <c r="E11763" s="12">
        <v>0</v>
      </c>
      <c r="F11763" s="14">
        <v>0</v>
      </c>
      <c r="G11763" s="13">
        <v>88158232.007700011</v>
      </c>
      <c r="H11763" s="14">
        <v>110654449651.42488</v>
      </c>
      <c r="I11763" s="14" t="e">
        <f>=Round(417184.37810000,0)</f>
        <v>#VALUE!</v>
      </c>
      <c r="J11763" s="14" t="e">
        <f>=Round(0.00000000,0)</f>
        <v>#VALUE!</v>
      </c>
    </row>
    <row r="11764">
      <c r="A11764" s="11" t="s">
        <v>49</v>
      </c>
      <c r="B11764" s="12">
        <v>1255.18</v>
      </c>
      <c r="C11764" s="12">
        <v>0</v>
      </c>
      <c r="D11764" s="13">
        <v>0</v>
      </c>
      <c r="E11764" s="12">
        <v>0</v>
      </c>
      <c r="F11764" s="14">
        <v>0</v>
      </c>
      <c r="G11764" s="13">
        <v>88158232.007700011</v>
      </c>
      <c r="H11764" s="14">
        <v>110654449651.42488</v>
      </c>
      <c r="I11764" s="14" t="e">
        <f>=Round(416848.95420000,0)</f>
        <v>#VALUE!</v>
      </c>
      <c r="J11764" s="14" t="e">
        <f>=Round(0.00000000,0)</f>
        <v>#VALUE!</v>
      </c>
    </row>
    <row r="11765">
      <c r="A11765" s="11" t="s">
        <v>50</v>
      </c>
      <c r="B11765" s="12">
        <v>1255.18</v>
      </c>
      <c r="C11765" s="12">
        <v>0</v>
      </c>
      <c r="D11765" s="13">
        <v>0</v>
      </c>
      <c r="E11765" s="12">
        <v>0</v>
      </c>
      <c r="F11765" s="14">
        <v>0</v>
      </c>
      <c r="G11765" s="13">
        <v>88158232.007700011</v>
      </c>
      <c r="H11765" s="14">
        <v>110654449651.42488</v>
      </c>
      <c r="I11765" s="14" t="e">
        <f>=Round(416848.95420000,0)</f>
        <v>#VALUE!</v>
      </c>
      <c r="J11765" s="14" t="e">
        <f>=Round(0.00000000,0)</f>
        <v>#VALUE!</v>
      </c>
    </row>
    <row r="11766">
      <c r="A11766" s="11" t="s">
        <v>51</v>
      </c>
      <c r="B11766" s="12">
        <v>1253.78</v>
      </c>
      <c r="C11766" s="12">
        <v>0</v>
      </c>
      <c r="D11766" s="13">
        <v>0</v>
      </c>
      <c r="E11766" s="12">
        <v>0</v>
      </c>
      <c r="F11766" s="14">
        <v>0</v>
      </c>
      <c r="G11766" s="13">
        <v>88158232.007700011</v>
      </c>
      <c r="H11766" s="14">
        <v>110531028126.61411</v>
      </c>
      <c r="I11766" s="14" t="e">
        <f>=Round(416848.95420000,0)</f>
        <v>#VALUE!</v>
      </c>
      <c r="J11766" s="14" t="e">
        <f>=Round(0.00000000,0)</f>
        <v>#VALUE!</v>
      </c>
    </row>
    <row r="11767">
      <c r="A11767" s="11" t="s">
        <v>52</v>
      </c>
      <c r="B11767" s="12">
        <v>1251.87</v>
      </c>
      <c r="C11767" s="12">
        <v>0</v>
      </c>
      <c r="D11767" s="13">
        <v>0</v>
      </c>
      <c r="E11767" s="12">
        <v>0</v>
      </c>
      <c r="F11767" s="14">
        <v>0</v>
      </c>
      <c r="G11767" s="13">
        <v>88158232.007700011</v>
      </c>
      <c r="H11767" s="14">
        <v>110362645903.47939</v>
      </c>
      <c r="I11767" s="14" t="e">
        <f>=Round(416384.01010000,0)</f>
        <v>#VALUE!</v>
      </c>
      <c r="J11767" s="14" t="e">
        <f>=Round(0.00000000,0)</f>
        <v>#VALUE!</v>
      </c>
    </row>
    <row r="11768">
      <c r="A11768" s="11" t="s">
        <v>53</v>
      </c>
      <c r="B11768" s="12">
        <v>1249.92</v>
      </c>
      <c r="C11768" s="12">
        <v>0</v>
      </c>
      <c r="D11768" s="13">
        <v>0</v>
      </c>
      <c r="E11768" s="12">
        <v>0</v>
      </c>
      <c r="F11768" s="14">
        <v>0</v>
      </c>
      <c r="G11768" s="13">
        <v>88158232.007700011</v>
      </c>
      <c r="H11768" s="14">
        <v>110190737351.06438</v>
      </c>
      <c r="I11768" s="14" t="e">
        <f>=Round(415749.69350000,0)</f>
        <v>#VALUE!</v>
      </c>
      <c r="J11768" s="14" t="e">
        <f>=Round(0.00000000,0)</f>
        <v>#VALUE!</v>
      </c>
    </row>
    <row r="11769">
      <c r="A11769" s="11" t="s">
        <v>54</v>
      </c>
      <c r="B11769" s="12">
        <v>1245.46</v>
      </c>
      <c r="C11769" s="12">
        <v>0</v>
      </c>
      <c r="D11769" s="13">
        <v>0</v>
      </c>
      <c r="E11769" s="12">
        <v>0</v>
      </c>
      <c r="F11769" s="14">
        <v>0</v>
      </c>
      <c r="G11769" s="13">
        <v>88158232.007700011</v>
      </c>
      <c r="H11769" s="14">
        <v>109797551636.31004</v>
      </c>
      <c r="I11769" s="14" t="e">
        <f>=Round(415102.09280000,0)</f>
        <v>#VALUE!</v>
      </c>
      <c r="J11769" s="14" t="e">
        <f>=Round(0.00000000,0)</f>
        <v>#VALUE!</v>
      </c>
    </row>
    <row r="11770">
      <c r="A11770" s="11" t="s">
        <v>55</v>
      </c>
      <c r="B11770" s="12">
        <v>1233.48</v>
      </c>
      <c r="C11770" s="12">
        <v>0</v>
      </c>
      <c r="D11770" s="13">
        <v>0</v>
      </c>
      <c r="E11770" s="12">
        <v>0</v>
      </c>
      <c r="F11770" s="14">
        <v>0</v>
      </c>
      <c r="G11770" s="13">
        <v>88158232.007700011</v>
      </c>
      <c r="H11770" s="14">
        <v>108741416016.85779</v>
      </c>
      <c r="I11770" s="14" t="e">
        <f>=Round(413620.91370000,0)</f>
        <v>#VALUE!</v>
      </c>
      <c r="J11770" s="14" t="e">
        <f>=Round(0.00000000,0)</f>
        <v>#VALUE!</v>
      </c>
    </row>
    <row r="11771" ht="-1">
      <c r="A11771" s="15"/>
      <c r="B11771" s="16" t="s">
        <v>56</v>
      </c>
      <c r="C11771" s="15"/>
      <c r="D11771" s="15"/>
      <c r="E11771" s="15"/>
      <c r="F11771" s="15"/>
      <c r="G11771" s="15"/>
      <c r="H11771" s="15"/>
      <c r="I11771" s="17" t="e">
        <f>=Round(SUM(I11745:I11770),0)</f>
        <v>#VALUE!</v>
      </c>
      <c r="J11771" s="17" t="e">
        <f>=Round(SUM(J11745:J11770),0)</f>
        <v>#VALUE!</v>
      </c>
    </row>
    <row r="11772">
      <c r="A11772" s="1" t="s">
        <v>0</v>
      </c>
      <c r="B11772" s="1"/>
      <c r="C11772" s="1"/>
      <c r="D11772" s="1"/>
    </row>
    <row r="11773">
      <c r="A11773" s="0" t="s">
        <v>1</v>
      </c>
      <c r="C11773" s="0" t="s">
        <v>401</v>
      </c>
      <c r="H11773" s="2" t="s">
        <v>3</v>
      </c>
    </row>
    <row r="11774">
      <c r="A11774" s="0" t="s">
        <v>4</v>
      </c>
      <c r="C11774" s="0" t="s">
        <v>265</v>
      </c>
      <c r="H11774" s="3" t="s">
        <v>6</v>
      </c>
    </row>
    <row r="11775">
      <c r="A11775" s="0" t="s">
        <v>7</v>
      </c>
      <c r="C11775" s="4" t="s">
        <v>194</v>
      </c>
      <c r="H11775" s="2" t="s">
        <v>9</v>
      </c>
    </row>
    <row r="11776">
      <c r="A11776" s="0" t="s">
        <v>10</v>
      </c>
      <c r="C11776" s="4" t="s">
        <v>11</v>
      </c>
      <c r="H11776" s="2" t="s">
        <v>12</v>
      </c>
    </row>
    <row r="11777">
      <c r="A11777" s="0" t="s">
        <v>13</v>
      </c>
      <c r="C11777" s="0" t="s">
        <v>14</v>
      </c>
    </row>
    <row r="11778">
      <c r="A11778" s="0" t="s">
        <v>15</v>
      </c>
      <c r="C11778" s="0" t="s">
        <v>16</v>
      </c>
    </row>
    <row r="11779">
      <c r="A11779" s="0" t="s">
        <v>17</v>
      </c>
      <c r="C11779" s="0" t="s">
        <v>18</v>
      </c>
    </row>
    <row r="11782">
      <c r="A11782" s="5" t="s">
        <v>19</v>
      </c>
      <c r="B11782" s="5" t="s">
        <v>20</v>
      </c>
      <c r="C11782" s="7" t="s">
        <v>21</v>
      </c>
      <c r="D11782" s="9"/>
      <c r="E11782" s="7" t="s">
        <v>22</v>
      </c>
      <c r="F11782" s="9"/>
      <c r="G11782" s="5" t="s">
        <v>23</v>
      </c>
      <c r="H11782" s="5" t="s">
        <v>24</v>
      </c>
      <c r="I11782" s="5" t="s">
        <v>195</v>
      </c>
      <c r="J11782" s="5" t="s">
        <v>26</v>
      </c>
    </row>
    <row r="11783">
      <c r="A11783" s="6"/>
      <c r="B11783" s="6"/>
      <c r="C11783" s="8" t="s">
        <v>27</v>
      </c>
      <c r="D11783" s="8" t="s">
        <v>28</v>
      </c>
      <c r="E11783" s="8" t="s">
        <v>27</v>
      </c>
      <c r="F11783" s="8" t="s">
        <v>28</v>
      </c>
      <c r="G11783" s="6"/>
      <c r="H11783" s="6"/>
      <c r="I11783" s="10" t="s">
        <v>29</v>
      </c>
      <c r="J11783" s="6"/>
    </row>
    <row r="11784">
      <c r="A11784" s="11" t="s">
        <v>30</v>
      </c>
      <c r="B11784" s="12">
        <v>749.158</v>
      </c>
      <c r="C11784" s="12">
        <v>0</v>
      </c>
      <c r="D11784" s="13">
        <v>0</v>
      </c>
      <c r="E11784" s="12">
        <v>0</v>
      </c>
      <c r="F11784" s="14">
        <v>0</v>
      </c>
      <c r="G11784" s="13">
        <v>996694959.51430011</v>
      </c>
      <c r="H11784" s="14">
        <v>746682002479.814</v>
      </c>
      <c r="I11784" s="14" t="e">
        <f>=Round(28014508.26220000,0)</f>
        <v>#VALUE!</v>
      </c>
      <c r="J11784" s="14" t="e">
        <f>=Round(0.00000000,0)</f>
        <v>#VALUE!</v>
      </c>
    </row>
    <row r="11785">
      <c r="A11785" s="11" t="s">
        <v>31</v>
      </c>
      <c r="B11785" s="12">
        <v>751.655</v>
      </c>
      <c r="C11785" s="12">
        <v>0</v>
      </c>
      <c r="D11785" s="13">
        <v>0</v>
      </c>
      <c r="E11785" s="12">
        <v>0</v>
      </c>
      <c r="F11785" s="14">
        <v>0</v>
      </c>
      <c r="G11785" s="13">
        <v>996694959.51430011</v>
      </c>
      <c r="H11785" s="14">
        <v>749170749793.72119</v>
      </c>
      <c r="I11785" s="14" t="e">
        <f>=Round(28051577.96200000,0)</f>
        <v>#VALUE!</v>
      </c>
      <c r="J11785" s="14" t="e">
        <f>=Round(0.00000000,0)</f>
        <v>#VALUE!</v>
      </c>
    </row>
    <row r="11786">
      <c r="A11786" s="11" t="s">
        <v>32</v>
      </c>
      <c r="B11786" s="12">
        <v>751.198</v>
      </c>
      <c r="C11786" s="12">
        <v>0</v>
      </c>
      <c r="D11786" s="13">
        <v>0</v>
      </c>
      <c r="E11786" s="12">
        <v>0</v>
      </c>
      <c r="F11786" s="14">
        <v>0</v>
      </c>
      <c r="G11786" s="13">
        <v>996694959.51430011</v>
      </c>
      <c r="H11786" s="14">
        <v>748715260197.22314</v>
      </c>
      <c r="I11786" s="14" t="e">
        <f>=Round(28145075.98270000,0)</f>
        <v>#VALUE!</v>
      </c>
      <c r="J11786" s="14" t="e">
        <f>=Round(0.00000000,0)</f>
        <v>#VALUE!</v>
      </c>
    </row>
    <row r="11787">
      <c r="A11787" s="11" t="s">
        <v>33</v>
      </c>
      <c r="B11787" s="12">
        <v>752.542</v>
      </c>
      <c r="C11787" s="12">
        <v>0</v>
      </c>
      <c r="D11787" s="13">
        <v>0</v>
      </c>
      <c r="E11787" s="12">
        <v>0</v>
      </c>
      <c r="F11787" s="14">
        <v>0</v>
      </c>
      <c r="G11787" s="13">
        <v>996694959.51430011</v>
      </c>
      <c r="H11787" s="14">
        <v>750054818222.81042</v>
      </c>
      <c r="I11787" s="14" t="e">
        <f>=Round(28127964.01010000,0)</f>
        <v>#VALUE!</v>
      </c>
      <c r="J11787" s="14" t="e">
        <f>=Round(0.00000000,0)</f>
        <v>#VALUE!</v>
      </c>
    </row>
    <row r="11788">
      <c r="A11788" s="11" t="s">
        <v>34</v>
      </c>
      <c r="B11788" s="12">
        <v>759.077</v>
      </c>
      <c r="C11788" s="12">
        <v>0</v>
      </c>
      <c r="D11788" s="13">
        <v>0</v>
      </c>
      <c r="E11788" s="12">
        <v>0</v>
      </c>
      <c r="F11788" s="14">
        <v>0</v>
      </c>
      <c r="G11788" s="13">
        <v>996694959.51430011</v>
      </c>
      <c r="H11788" s="14">
        <v>756568219783.23633</v>
      </c>
      <c r="I11788" s="14" t="e">
        <f>=Round(28178288.93600000,0)</f>
        <v>#VALUE!</v>
      </c>
      <c r="J11788" s="14" t="e">
        <f>=Round(0.00000000,0)</f>
        <v>#VALUE!</v>
      </c>
    </row>
    <row r="11789">
      <c r="A11789" s="11" t="s">
        <v>35</v>
      </c>
      <c r="B11789" s="12">
        <v>759.077</v>
      </c>
      <c r="C11789" s="12">
        <v>0</v>
      </c>
      <c r="D11789" s="13">
        <v>0</v>
      </c>
      <c r="E11789" s="12">
        <v>0</v>
      </c>
      <c r="F11789" s="14">
        <v>0</v>
      </c>
      <c r="G11789" s="13">
        <v>996694959.51430011</v>
      </c>
      <c r="H11789" s="14">
        <v>756568219783.23633</v>
      </c>
      <c r="I11789" s="14" t="e">
        <f>=Round(28422986.39900000,0)</f>
        <v>#VALUE!</v>
      </c>
      <c r="J11789" s="14" t="e">
        <f>=Round(0.00000000,0)</f>
        <v>#VALUE!</v>
      </c>
    </row>
    <row r="11790">
      <c r="A11790" s="11" t="s">
        <v>36</v>
      </c>
      <c r="B11790" s="12">
        <v>759.077</v>
      </c>
      <c r="C11790" s="12">
        <v>0</v>
      </c>
      <c r="D11790" s="13">
        <v>0</v>
      </c>
      <c r="E11790" s="12">
        <v>0</v>
      </c>
      <c r="F11790" s="14">
        <v>0</v>
      </c>
      <c r="G11790" s="13">
        <v>996694959.51430011</v>
      </c>
      <c r="H11790" s="14">
        <v>756568219783.23633</v>
      </c>
      <c r="I11790" s="14" t="e">
        <f>=Round(28422986.39900000,0)</f>
        <v>#VALUE!</v>
      </c>
      <c r="J11790" s="14" t="e">
        <f>=Round(0.00000000,0)</f>
        <v>#VALUE!</v>
      </c>
    </row>
    <row r="11791">
      <c r="A11791" s="11" t="s">
        <v>37</v>
      </c>
      <c r="B11791" s="12">
        <v>756.183</v>
      </c>
      <c r="C11791" s="12">
        <v>0</v>
      </c>
      <c r="D11791" s="13">
        <v>0</v>
      </c>
      <c r="E11791" s="12">
        <v>0</v>
      </c>
      <c r="F11791" s="14">
        <v>0</v>
      </c>
      <c r="G11791" s="13">
        <v>996694959.51430011</v>
      </c>
      <c r="H11791" s="14">
        <v>753683784570.402</v>
      </c>
      <c r="I11791" s="14" t="e">
        <f>=Round(28422986.39900000,0)</f>
        <v>#VALUE!</v>
      </c>
      <c r="J11791" s="14" t="e">
        <f>=Round(0.00000000,0)</f>
        <v>#VALUE!</v>
      </c>
    </row>
    <row r="11792">
      <c r="A11792" s="11" t="s">
        <v>38</v>
      </c>
      <c r="B11792" s="12">
        <v>753.322</v>
      </c>
      <c r="C11792" s="12">
        <v>0</v>
      </c>
      <c r="D11792" s="13">
        <v>0</v>
      </c>
      <c r="E11792" s="12">
        <v>0</v>
      </c>
      <c r="F11792" s="14">
        <v>0</v>
      </c>
      <c r="G11792" s="13">
        <v>996694959.51430011</v>
      </c>
      <c r="H11792" s="14">
        <v>750832240291.23145</v>
      </c>
      <c r="I11792" s="14" t="e">
        <f>=Round(28314623.05420000,0)</f>
        <v>#VALUE!</v>
      </c>
      <c r="J11792" s="14" t="e">
        <f>=Round(0.00000000,0)</f>
        <v>#VALUE!</v>
      </c>
    </row>
    <row r="11793">
      <c r="A11793" s="11" t="s">
        <v>39</v>
      </c>
      <c r="B11793" s="12">
        <v>753.98</v>
      </c>
      <c r="C11793" s="12">
        <v>0</v>
      </c>
      <c r="D11793" s="13">
        <v>0</v>
      </c>
      <c r="E11793" s="12">
        <v>0</v>
      </c>
      <c r="F11793" s="14">
        <v>0</v>
      </c>
      <c r="G11793" s="13">
        <v>996694959.51430011</v>
      </c>
      <c r="H11793" s="14">
        <v>751488065574.59192</v>
      </c>
      <c r="I11793" s="14" t="e">
        <f>=Round(28207495.36610000,0)</f>
        <v>#VALUE!</v>
      </c>
      <c r="J11793" s="14" t="e">
        <f>=Round(0.00000000,0)</f>
        <v>#VALUE!</v>
      </c>
    </row>
    <row r="11794">
      <c r="A11794" s="11" t="s">
        <v>40</v>
      </c>
      <c r="B11794" s="12">
        <v>753.27</v>
      </c>
      <c r="C11794" s="12">
        <v>0</v>
      </c>
      <c r="D11794" s="13">
        <v>0</v>
      </c>
      <c r="E11794" s="12">
        <v>0</v>
      </c>
      <c r="F11794" s="14">
        <v>0</v>
      </c>
      <c r="G11794" s="13">
        <v>996694959.51430011</v>
      </c>
      <c r="H11794" s="14">
        <v>750780412153.33667</v>
      </c>
      <c r="I11794" s="14" t="e">
        <f>=Round(28232133.61110000,0)</f>
        <v>#VALUE!</v>
      </c>
      <c r="J11794" s="14" t="e">
        <f>=Round(0.00000000,0)</f>
        <v>#VALUE!</v>
      </c>
    </row>
    <row r="11795">
      <c r="A11795" s="11" t="s">
        <v>41</v>
      </c>
      <c r="B11795" s="12">
        <v>757.142</v>
      </c>
      <c r="C11795" s="12">
        <v>0</v>
      </c>
      <c r="D11795" s="13">
        <v>0</v>
      </c>
      <c r="E11795" s="12">
        <v>0</v>
      </c>
      <c r="F11795" s="14">
        <v>0</v>
      </c>
      <c r="G11795" s="13">
        <v>996694959.51430011</v>
      </c>
      <c r="H11795" s="14">
        <v>754639615036.57617</v>
      </c>
      <c r="I11795" s="14" t="e">
        <f>=Round(28205548.27080000,0)</f>
        <v>#VALUE!</v>
      </c>
      <c r="J11795" s="14" t="e">
        <f>=Round(0.00000000,0)</f>
        <v>#VALUE!</v>
      </c>
    </row>
    <row r="11796">
      <c r="A11796" s="11" t="s">
        <v>42</v>
      </c>
      <c r="B11796" s="12">
        <v>757.142</v>
      </c>
      <c r="C11796" s="12">
        <v>0</v>
      </c>
      <c r="D11796" s="13">
        <v>0</v>
      </c>
      <c r="E11796" s="12">
        <v>0</v>
      </c>
      <c r="F11796" s="14">
        <v>0</v>
      </c>
      <c r="G11796" s="13">
        <v>996694959.51430011</v>
      </c>
      <c r="H11796" s="14">
        <v>754639615036.57617</v>
      </c>
      <c r="I11796" s="14" t="e">
        <f>=Round(28350531.98570000,0)</f>
        <v>#VALUE!</v>
      </c>
      <c r="J11796" s="14" t="e">
        <f>=Round(0.00000000,0)</f>
        <v>#VALUE!</v>
      </c>
    </row>
    <row r="11797">
      <c r="A11797" s="11" t="s">
        <v>43</v>
      </c>
      <c r="B11797" s="12">
        <v>757.142</v>
      </c>
      <c r="C11797" s="12">
        <v>0</v>
      </c>
      <c r="D11797" s="13">
        <v>0</v>
      </c>
      <c r="E11797" s="12">
        <v>0</v>
      </c>
      <c r="F11797" s="14">
        <v>0</v>
      </c>
      <c r="G11797" s="13">
        <v>996694959.51430011</v>
      </c>
      <c r="H11797" s="14">
        <v>754639615036.57617</v>
      </c>
      <c r="I11797" s="14" t="e">
        <f>=Round(28350531.98570000,0)</f>
        <v>#VALUE!</v>
      </c>
      <c r="J11797" s="14" t="e">
        <f>=Round(0.00000000,0)</f>
        <v>#VALUE!</v>
      </c>
    </row>
    <row r="11798">
      <c r="A11798" s="11" t="s">
        <v>44</v>
      </c>
      <c r="B11798" s="12">
        <v>756.811</v>
      </c>
      <c r="C11798" s="12">
        <v>0</v>
      </c>
      <c r="D11798" s="13">
        <v>0</v>
      </c>
      <c r="E11798" s="12">
        <v>0</v>
      </c>
      <c r="F11798" s="14">
        <v>0</v>
      </c>
      <c r="G11798" s="13">
        <v>996694959.51430011</v>
      </c>
      <c r="H11798" s="14">
        <v>754309709004.97693</v>
      </c>
      <c r="I11798" s="14" t="e">
        <f>=Round(28350531.98570000,0)</f>
        <v>#VALUE!</v>
      </c>
      <c r="J11798" s="14" t="e">
        <f>=Round(0.00000000,0)</f>
        <v>#VALUE!</v>
      </c>
    </row>
    <row r="11799">
      <c r="A11799" s="11" t="s">
        <v>45</v>
      </c>
      <c r="B11799" s="12">
        <v>756.372</v>
      </c>
      <c r="C11799" s="12">
        <v>0</v>
      </c>
      <c r="D11799" s="13">
        <v>0</v>
      </c>
      <c r="E11799" s="12">
        <v>0</v>
      </c>
      <c r="F11799" s="14">
        <v>0</v>
      </c>
      <c r="G11799" s="13">
        <v>996694959.51430011</v>
      </c>
      <c r="H11799" s="14">
        <v>753872159917.75012</v>
      </c>
      <c r="I11799" s="14" t="e">
        <f>=Round(28338137.97490000,0)</f>
        <v>#VALUE!</v>
      </c>
      <c r="J11799" s="14" t="e">
        <f>=Round(0.00000000,0)</f>
        <v>#VALUE!</v>
      </c>
    </row>
    <row r="11800">
      <c r="A11800" s="11" t="s">
        <v>46</v>
      </c>
      <c r="B11800" s="12">
        <v>757.131</v>
      </c>
      <c r="C11800" s="12">
        <v>0</v>
      </c>
      <c r="D11800" s="13">
        <v>0</v>
      </c>
      <c r="E11800" s="12">
        <v>0</v>
      </c>
      <c r="F11800" s="14">
        <v>0</v>
      </c>
      <c r="G11800" s="13">
        <v>996694959.51430011</v>
      </c>
      <c r="H11800" s="14">
        <v>754628651392.02148</v>
      </c>
      <c r="I11800" s="14" t="e">
        <f>=Round(28321699.99690000,0)</f>
        <v>#VALUE!</v>
      </c>
      <c r="J11800" s="14" t="e">
        <f>=Round(0.00000000,0)</f>
        <v>#VALUE!</v>
      </c>
    </row>
    <row r="11801">
      <c r="A11801" s="11" t="s">
        <v>47</v>
      </c>
      <c r="B11801" s="12">
        <v>757.108</v>
      </c>
      <c r="C11801" s="12">
        <v>0</v>
      </c>
      <c r="D11801" s="13">
        <v>0</v>
      </c>
      <c r="E11801" s="12">
        <v>0</v>
      </c>
      <c r="F11801" s="14">
        <v>0</v>
      </c>
      <c r="G11801" s="13">
        <v>996694959.51430011</v>
      </c>
      <c r="H11801" s="14">
        <v>754605727407.95264</v>
      </c>
      <c r="I11801" s="14" t="e">
        <f>=Round(28350120.10010000,0)</f>
        <v>#VALUE!</v>
      </c>
      <c r="J11801" s="14" t="e">
        <f>=Round(0.00000000,0)</f>
        <v>#VALUE!</v>
      </c>
    </row>
    <row r="11802">
      <c r="A11802" s="11" t="s">
        <v>48</v>
      </c>
      <c r="B11802" s="12">
        <v>755.665</v>
      </c>
      <c r="C11802" s="12">
        <v>0</v>
      </c>
      <c r="D11802" s="13">
        <v>0</v>
      </c>
      <c r="E11802" s="12">
        <v>0</v>
      </c>
      <c r="F11802" s="14">
        <v>0</v>
      </c>
      <c r="G11802" s="13">
        <v>996694959.51430011</v>
      </c>
      <c r="H11802" s="14">
        <v>753167496581.37354</v>
      </c>
      <c r="I11802" s="14" t="e">
        <f>=Round(28349258.88490000,0)</f>
        <v>#VALUE!</v>
      </c>
      <c r="J11802" s="14" t="e">
        <f>=Round(0.00000000,0)</f>
        <v>#VALUE!</v>
      </c>
    </row>
    <row r="11803">
      <c r="A11803" s="11" t="s">
        <v>49</v>
      </c>
      <c r="B11803" s="12">
        <v>755.665</v>
      </c>
      <c r="C11803" s="12">
        <v>0</v>
      </c>
      <c r="D11803" s="13">
        <v>0</v>
      </c>
      <c r="E11803" s="12">
        <v>0</v>
      </c>
      <c r="F11803" s="14">
        <v>0</v>
      </c>
      <c r="G11803" s="13">
        <v>996694959.51430011</v>
      </c>
      <c r="H11803" s="14">
        <v>753167496581.37354</v>
      </c>
      <c r="I11803" s="14" t="e">
        <f>=Round(28295226.98910000,0)</f>
        <v>#VALUE!</v>
      </c>
      <c r="J11803" s="14" t="e">
        <f>=Round(0.00000000,0)</f>
        <v>#VALUE!</v>
      </c>
    </row>
    <row r="11804">
      <c r="A11804" s="11" t="s">
        <v>50</v>
      </c>
      <c r="B11804" s="12">
        <v>755.665</v>
      </c>
      <c r="C11804" s="12">
        <v>0</v>
      </c>
      <c r="D11804" s="13">
        <v>0</v>
      </c>
      <c r="E11804" s="12">
        <v>0</v>
      </c>
      <c r="F11804" s="14">
        <v>0</v>
      </c>
      <c r="G11804" s="13">
        <v>996694959.51430011</v>
      </c>
      <c r="H11804" s="14">
        <v>753167496581.37354</v>
      </c>
      <c r="I11804" s="14" t="e">
        <f>=Round(28295226.98910000,0)</f>
        <v>#VALUE!</v>
      </c>
      <c r="J11804" s="14" t="e">
        <f>=Round(0.00000000,0)</f>
        <v>#VALUE!</v>
      </c>
    </row>
    <row r="11805">
      <c r="A11805" s="11" t="s">
        <v>51</v>
      </c>
      <c r="B11805" s="12">
        <v>753.276</v>
      </c>
      <c r="C11805" s="12">
        <v>0</v>
      </c>
      <c r="D11805" s="13">
        <v>0</v>
      </c>
      <c r="E11805" s="12">
        <v>0</v>
      </c>
      <c r="F11805" s="14">
        <v>0</v>
      </c>
      <c r="G11805" s="13">
        <v>996694959.51430011</v>
      </c>
      <c r="H11805" s="14">
        <v>750786392323.09387</v>
      </c>
      <c r="I11805" s="14" t="e">
        <f>=Round(28295226.98910000,0)</f>
        <v>#VALUE!</v>
      </c>
      <c r="J11805" s="14" t="e">
        <f>=Round(0.00000000,0)</f>
        <v>#VALUE!</v>
      </c>
    </row>
    <row r="11806">
      <c r="A11806" s="11" t="s">
        <v>52</v>
      </c>
      <c r="B11806" s="12">
        <v>754.694</v>
      </c>
      <c r="C11806" s="12">
        <v>0</v>
      </c>
      <c r="D11806" s="13">
        <v>0</v>
      </c>
      <c r="E11806" s="12">
        <v>0</v>
      </c>
      <c r="F11806" s="14">
        <v>0</v>
      </c>
      <c r="G11806" s="13">
        <v>996694959.51430011</v>
      </c>
      <c r="H11806" s="14">
        <v>752199705775.68518</v>
      </c>
      <c r="I11806" s="14" t="e">
        <f>=Round(28205772.93560000,0)</f>
        <v>#VALUE!</v>
      </c>
      <c r="J11806" s="14" t="e">
        <f>=Round(0.00000000,0)</f>
        <v>#VALUE!</v>
      </c>
    </row>
    <row r="11807">
      <c r="A11807" s="11" t="s">
        <v>53</v>
      </c>
      <c r="B11807" s="12">
        <v>753.844</v>
      </c>
      <c r="C11807" s="12">
        <v>0</v>
      </c>
      <c r="D11807" s="13">
        <v>0</v>
      </c>
      <c r="E11807" s="12">
        <v>0</v>
      </c>
      <c r="F11807" s="14">
        <v>0</v>
      </c>
      <c r="G11807" s="13">
        <v>996694959.51430011</v>
      </c>
      <c r="H11807" s="14">
        <v>751352515060.0979</v>
      </c>
      <c r="I11807" s="14" t="e">
        <f>=Round(28258868.72790000,0)</f>
        <v>#VALUE!</v>
      </c>
      <c r="J11807" s="14" t="e">
        <f>=Round(0.00000000,0)</f>
        <v>#VALUE!</v>
      </c>
    </row>
    <row r="11808">
      <c r="A11808" s="11" t="s">
        <v>54</v>
      </c>
      <c r="B11808" s="12">
        <v>751.087</v>
      </c>
      <c r="C11808" s="12">
        <v>0</v>
      </c>
      <c r="D11808" s="13">
        <v>0</v>
      </c>
      <c r="E11808" s="12">
        <v>0</v>
      </c>
      <c r="F11808" s="14">
        <v>0</v>
      </c>
      <c r="G11808" s="13">
        <v>996694959.51430011</v>
      </c>
      <c r="H11808" s="14">
        <v>748604627056.717</v>
      </c>
      <c r="I11808" s="14" t="e">
        <f>=Round(28227041.20790000,0)</f>
        <v>#VALUE!</v>
      </c>
      <c r="J11808" s="14" t="e">
        <f>=Round(0.00000000,0)</f>
        <v>#VALUE!</v>
      </c>
    </row>
    <row r="11809">
      <c r="A11809" s="11" t="s">
        <v>55</v>
      </c>
      <c r="B11809" s="12">
        <v>747.547</v>
      </c>
      <c r="C11809" s="12">
        <v>0</v>
      </c>
      <c r="D11809" s="13">
        <v>0</v>
      </c>
      <c r="E11809" s="12">
        <v>0</v>
      </c>
      <c r="F11809" s="14">
        <v>0</v>
      </c>
      <c r="G11809" s="13">
        <v>996694959.51430011</v>
      </c>
      <c r="H11809" s="14">
        <v>745076326900.0365</v>
      </c>
      <c r="I11809" s="14" t="e">
        <f>=Round(28123807.71050000,0)</f>
        <v>#VALUE!</v>
      </c>
      <c r="J11809" s="14" t="e">
        <f>=Round(0.00000000,0)</f>
        <v>#VALUE!</v>
      </c>
    </row>
    <row r="11810" ht="-1">
      <c r="A11810" s="15"/>
      <c r="B11810" s="16" t="s">
        <v>56</v>
      </c>
      <c r="C11810" s="15"/>
      <c r="D11810" s="15"/>
      <c r="E11810" s="15"/>
      <c r="F11810" s="15"/>
      <c r="G11810" s="15"/>
      <c r="H11810" s="15"/>
      <c r="I11810" s="17" t="e">
        <f>=Round(SUM(I11784:I11809),0)</f>
        <v>#VALUE!</v>
      </c>
      <c r="J11810" s="17" t="e">
        <f>=Round(SUM(J11784:J11809),0)</f>
        <v>#VALUE!</v>
      </c>
    </row>
    <row r="11811">
      <c r="A11811" s="1" t="s">
        <v>0</v>
      </c>
      <c r="B11811" s="1"/>
      <c r="C11811" s="1"/>
      <c r="D11811" s="1"/>
    </row>
    <row r="11812">
      <c r="A11812" s="0" t="s">
        <v>1</v>
      </c>
      <c r="C11812" s="0" t="s">
        <v>402</v>
      </c>
      <c r="H11812" s="2" t="s">
        <v>3</v>
      </c>
    </row>
    <row r="11813">
      <c r="A11813" s="0" t="s">
        <v>4</v>
      </c>
      <c r="C11813" s="0" t="s">
        <v>123</v>
      </c>
      <c r="H11813" s="3" t="s">
        <v>6</v>
      </c>
    </row>
    <row r="11814">
      <c r="A11814" s="0" t="s">
        <v>7</v>
      </c>
      <c r="C11814" s="4" t="s">
        <v>403</v>
      </c>
      <c r="H11814" s="2" t="s">
        <v>9</v>
      </c>
    </row>
    <row r="11815">
      <c r="A11815" s="0" t="s">
        <v>10</v>
      </c>
      <c r="C11815" s="4" t="s">
        <v>404</v>
      </c>
      <c r="H11815" s="2" t="s">
        <v>12</v>
      </c>
    </row>
    <row r="11816">
      <c r="A11816" s="0" t="s">
        <v>13</v>
      </c>
      <c r="C11816" s="0" t="s">
        <v>14</v>
      </c>
    </row>
    <row r="11817">
      <c r="A11817" s="0" t="s">
        <v>15</v>
      </c>
      <c r="C11817" s="0" t="s">
        <v>16</v>
      </c>
    </row>
    <row r="11818">
      <c r="A11818" s="0" t="s">
        <v>17</v>
      </c>
      <c r="C11818" s="0" t="s">
        <v>18</v>
      </c>
    </row>
    <row r="11821">
      <c r="A11821" s="5" t="s">
        <v>19</v>
      </c>
      <c r="B11821" s="5" t="s">
        <v>20</v>
      </c>
      <c r="C11821" s="7" t="s">
        <v>21</v>
      </c>
      <c r="D11821" s="9"/>
      <c r="E11821" s="7" t="s">
        <v>22</v>
      </c>
      <c r="F11821" s="9"/>
      <c r="G11821" s="5" t="s">
        <v>23</v>
      </c>
      <c r="H11821" s="5" t="s">
        <v>24</v>
      </c>
      <c r="I11821" s="5" t="s">
        <v>405</v>
      </c>
      <c r="J11821" s="5" t="s">
        <v>406</v>
      </c>
    </row>
    <row r="11822">
      <c r="A11822" s="6"/>
      <c r="B11822" s="6"/>
      <c r="C11822" s="8" t="s">
        <v>27</v>
      </c>
      <c r="D11822" s="8" t="s">
        <v>28</v>
      </c>
      <c r="E11822" s="8" t="s">
        <v>27</v>
      </c>
      <c r="F11822" s="8" t="s">
        <v>28</v>
      </c>
      <c r="G11822" s="6"/>
      <c r="H11822" s="6"/>
      <c r="I11822" s="10" t="s">
        <v>29</v>
      </c>
      <c r="J11822" s="6"/>
    </row>
    <row r="11823">
      <c r="A11823" s="11" t="s">
        <v>30</v>
      </c>
      <c r="B11823" s="12">
        <v>1004.5828</v>
      </c>
      <c r="C11823" s="12">
        <v>0</v>
      </c>
      <c r="D11823" s="13">
        <v>0</v>
      </c>
      <c r="E11823" s="12">
        <v>0</v>
      </c>
      <c r="F11823" s="14">
        <v>0</v>
      </c>
      <c r="G11823" s="13">
        <v>48980000</v>
      </c>
      <c r="H11823" s="14">
        <v>49204465544</v>
      </c>
      <c r="I11823" s="14" t="e">
        <f>=Round(1226894.79790000,0)</f>
        <v>#VALUE!</v>
      </c>
      <c r="J11823" s="14" t="e">
        <f>=Round(671902.80160000,0)</f>
        <v>#VALUE!</v>
      </c>
    </row>
    <row r="11824">
      <c r="A11824" s="11" t="s">
        <v>31</v>
      </c>
      <c r="B11824" s="12">
        <v>1005.2214</v>
      </c>
      <c r="C11824" s="12">
        <v>0</v>
      </c>
      <c r="D11824" s="13">
        <v>0</v>
      </c>
      <c r="E11824" s="12">
        <v>0</v>
      </c>
      <c r="F11824" s="14">
        <v>0</v>
      </c>
      <c r="G11824" s="13">
        <v>48980000</v>
      </c>
      <c r="H11824" s="14">
        <v>49235744172</v>
      </c>
      <c r="I11824" s="14" t="e">
        <f>=Round(1227422.87000000,0)</f>
        <v>#VALUE!</v>
      </c>
      <c r="J11824" s="14" t="e">
        <f>=Round(672191.99760000,0)</f>
        <v>#VALUE!</v>
      </c>
    </row>
    <row r="11825">
      <c r="A11825" s="11" t="s">
        <v>32</v>
      </c>
      <c r="B11825" s="12">
        <v>1005.8389</v>
      </c>
      <c r="C11825" s="12">
        <v>0</v>
      </c>
      <c r="D11825" s="13">
        <v>0</v>
      </c>
      <c r="E11825" s="12">
        <v>0</v>
      </c>
      <c r="F11825" s="14">
        <v>0</v>
      </c>
      <c r="G11825" s="13">
        <v>48980000</v>
      </c>
      <c r="H11825" s="14">
        <v>49265989322</v>
      </c>
      <c r="I11825" s="14" t="e">
        <f>=Round(1228203.12650000,0)</f>
        <v>#VALUE!</v>
      </c>
      <c r="J11825" s="14" t="e">
        <f>=Round(672619.30120000,0)</f>
        <v>#VALUE!</v>
      </c>
    </row>
    <row r="11826">
      <c r="A11826" s="11" t="s">
        <v>33</v>
      </c>
      <c r="B11826" s="12">
        <v>1006.6695</v>
      </c>
      <c r="C11826" s="12">
        <v>0</v>
      </c>
      <c r="D11826" s="13">
        <v>0</v>
      </c>
      <c r="E11826" s="12">
        <v>0</v>
      </c>
      <c r="F11826" s="14">
        <v>0</v>
      </c>
      <c r="G11826" s="13">
        <v>48980000</v>
      </c>
      <c r="H11826" s="14">
        <v>49306672110</v>
      </c>
      <c r="I11826" s="14" t="e">
        <f>=Round(1228957.60250000,0)</f>
        <v>#VALUE!</v>
      </c>
      <c r="J11826" s="14" t="e">
        <f>=Round(673032.48620000,0)</f>
        <v>#VALUE!</v>
      </c>
    </row>
    <row r="11827">
      <c r="A11827" s="11" t="s">
        <v>34</v>
      </c>
      <c r="B11827" s="12">
        <v>1006.6163</v>
      </c>
      <c r="C11827" s="12">
        <v>0</v>
      </c>
      <c r="D11827" s="13">
        <v>0</v>
      </c>
      <c r="E11827" s="12">
        <v>0</v>
      </c>
      <c r="F11827" s="14">
        <v>0</v>
      </c>
      <c r="G11827" s="13">
        <v>48980000</v>
      </c>
      <c r="H11827" s="14">
        <v>49304066374</v>
      </c>
      <c r="I11827" s="14" t="e">
        <f>=Round(1229972.44910000,0)</f>
        <v>#VALUE!</v>
      </c>
      <c r="J11827" s="14" t="e">
        <f>=Round(673588.26190000,0)</f>
        <v>#VALUE!</v>
      </c>
    </row>
    <row r="11828">
      <c r="A11828" s="11" t="s">
        <v>35</v>
      </c>
      <c r="B11828" s="12">
        <v>1006.6163</v>
      </c>
      <c r="C11828" s="12">
        <v>0</v>
      </c>
      <c r="D11828" s="13">
        <v>0</v>
      </c>
      <c r="E11828" s="12">
        <v>0</v>
      </c>
      <c r="F11828" s="14">
        <v>0</v>
      </c>
      <c r="G11828" s="13">
        <v>48980000</v>
      </c>
      <c r="H11828" s="14">
        <v>49304066374</v>
      </c>
      <c r="I11828" s="14" t="e">
        <f>=Round(1229907.44810000,0)</f>
        <v>#VALUE!</v>
      </c>
      <c r="J11828" s="14" t="e">
        <f>=Round(673552.66440000,0)</f>
        <v>#VALUE!</v>
      </c>
    </row>
    <row r="11829">
      <c r="A11829" s="11" t="s">
        <v>36</v>
      </c>
      <c r="B11829" s="12">
        <v>1006.6163</v>
      </c>
      <c r="C11829" s="12">
        <v>0</v>
      </c>
      <c r="D11829" s="13">
        <v>0</v>
      </c>
      <c r="E11829" s="12">
        <v>0</v>
      </c>
      <c r="F11829" s="14">
        <v>0</v>
      </c>
      <c r="G11829" s="13">
        <v>48980000</v>
      </c>
      <c r="H11829" s="14">
        <v>49304066374</v>
      </c>
      <c r="I11829" s="14" t="e">
        <f>=Round(1229907.44810000,0)</f>
        <v>#VALUE!</v>
      </c>
      <c r="J11829" s="14" t="e">
        <f>=Round(673552.66440000,0)</f>
        <v>#VALUE!</v>
      </c>
    </row>
    <row r="11830">
      <c r="A11830" s="11" t="s">
        <v>37</v>
      </c>
      <c r="B11830" s="12">
        <v>1007.3255</v>
      </c>
      <c r="C11830" s="12">
        <v>0</v>
      </c>
      <c r="D11830" s="13">
        <v>0</v>
      </c>
      <c r="E11830" s="12">
        <v>0</v>
      </c>
      <c r="F11830" s="14">
        <v>0</v>
      </c>
      <c r="G11830" s="13">
        <v>48980000</v>
      </c>
      <c r="H11830" s="14">
        <v>49338802990</v>
      </c>
      <c r="I11830" s="14" t="e">
        <f>=Round(1229907.44810000,0)</f>
        <v>#VALUE!</v>
      </c>
      <c r="J11830" s="14" t="e">
        <f>=Round(673552.66440000,0)</f>
        <v>#VALUE!</v>
      </c>
    </row>
    <row r="11831">
      <c r="A11831" s="11" t="s">
        <v>38</v>
      </c>
      <c r="B11831" s="12">
        <v>1007.659</v>
      </c>
      <c r="C11831" s="12">
        <v>0</v>
      </c>
      <c r="D11831" s="13">
        <v>0</v>
      </c>
      <c r="E11831" s="12">
        <v>0</v>
      </c>
      <c r="F11831" s="14">
        <v>0</v>
      </c>
      <c r="G11831" s="13">
        <v>48980000</v>
      </c>
      <c r="H11831" s="14">
        <v>49355137820</v>
      </c>
      <c r="I11831" s="14" t="e">
        <f>=Round(1230773.96530000,0)</f>
        <v>#VALUE!</v>
      </c>
      <c r="J11831" s="14" t="e">
        <f>=Round(674027.20820000,0)</f>
        <v>#VALUE!</v>
      </c>
    </row>
    <row r="11832">
      <c r="A11832" s="11" t="s">
        <v>39</v>
      </c>
      <c r="B11832" s="12">
        <v>1008.9925</v>
      </c>
      <c r="C11832" s="12">
        <v>0</v>
      </c>
      <c r="D11832" s="13">
        <v>0</v>
      </c>
      <c r="E11832" s="12">
        <v>0</v>
      </c>
      <c r="F11832" s="14">
        <v>0</v>
      </c>
      <c r="G11832" s="13">
        <v>48980000</v>
      </c>
      <c r="H11832" s="14">
        <v>49420452650</v>
      </c>
      <c r="I11832" s="14" t="e">
        <f>=Round(1231181.44340000,0)</f>
        <v>#VALUE!</v>
      </c>
      <c r="J11832" s="14" t="e">
        <f>=Round(674250.36160000,0)</f>
        <v>#VALUE!</v>
      </c>
    </row>
    <row r="11833">
      <c r="A11833" s="11" t="s">
        <v>40</v>
      </c>
      <c r="B11833" s="12">
        <v>1009.3074</v>
      </c>
      <c r="C11833" s="12">
        <v>0</v>
      </c>
      <c r="D11833" s="13">
        <v>0</v>
      </c>
      <c r="E11833" s="12">
        <v>0</v>
      </c>
      <c r="F11833" s="14">
        <v>0</v>
      </c>
      <c r="G11833" s="13">
        <v>48980000</v>
      </c>
      <c r="H11833" s="14">
        <v>49435876452</v>
      </c>
      <c r="I11833" s="14" t="e">
        <f>=Round(1232810.74510000,0)</f>
        <v>#VALUE!</v>
      </c>
      <c r="J11833" s="14" t="e">
        <f>=Round(675142.64050000,0)</f>
        <v>#VALUE!</v>
      </c>
    </row>
    <row r="11834">
      <c r="A11834" s="11" t="s">
        <v>41</v>
      </c>
      <c r="B11834" s="12">
        <v>1009.9447</v>
      </c>
      <c r="C11834" s="12">
        <v>0</v>
      </c>
      <c r="D11834" s="13">
        <v>0</v>
      </c>
      <c r="E11834" s="12">
        <v>0</v>
      </c>
      <c r="F11834" s="14">
        <v>0</v>
      </c>
      <c r="G11834" s="13">
        <v>48980000</v>
      </c>
      <c r="H11834" s="14">
        <v>49467091406</v>
      </c>
      <c r="I11834" s="14" t="e">
        <f>=Round(1233195.49730000,0)</f>
        <v>#VALUE!</v>
      </c>
      <c r="J11834" s="14" t="e">
        <f>=Round(675353.34810000,0)</f>
        <v>#VALUE!</v>
      </c>
    </row>
    <row r="11835">
      <c r="A11835" s="11" t="s">
        <v>42</v>
      </c>
      <c r="B11835" s="12">
        <v>1009.9447</v>
      </c>
      <c r="C11835" s="12">
        <v>0</v>
      </c>
      <c r="D11835" s="13">
        <v>0</v>
      </c>
      <c r="E11835" s="12">
        <v>0</v>
      </c>
      <c r="F11835" s="14">
        <v>0</v>
      </c>
      <c r="G11835" s="13">
        <v>48980000</v>
      </c>
      <c r="H11835" s="14">
        <v>49467091406</v>
      </c>
      <c r="I11835" s="14" t="e">
        <f>=Round(1233974.16540000,0)</f>
        <v>#VALUE!</v>
      </c>
      <c r="J11835" s="14" t="e">
        <f>=Round(675779.78180000,0)</f>
        <v>#VALUE!</v>
      </c>
    </row>
    <row r="11836">
      <c r="A11836" s="11" t="s">
        <v>43</v>
      </c>
      <c r="B11836" s="12">
        <v>1009.9447</v>
      </c>
      <c r="C11836" s="12">
        <v>0</v>
      </c>
      <c r="D11836" s="13">
        <v>0</v>
      </c>
      <c r="E11836" s="12">
        <v>0</v>
      </c>
      <c r="F11836" s="14">
        <v>0</v>
      </c>
      <c r="G11836" s="13">
        <v>48980000</v>
      </c>
      <c r="H11836" s="14">
        <v>49467091406</v>
      </c>
      <c r="I11836" s="14" t="e">
        <f>=Round(1233974.16540000,0)</f>
        <v>#VALUE!</v>
      </c>
      <c r="J11836" s="14" t="e">
        <f>=Round(675779.78180000,0)</f>
        <v>#VALUE!</v>
      </c>
    </row>
    <row r="11837">
      <c r="A11837" s="11" t="s">
        <v>44</v>
      </c>
      <c r="B11837" s="12">
        <v>1011.2864</v>
      </c>
      <c r="C11837" s="12">
        <v>0</v>
      </c>
      <c r="D11837" s="13">
        <v>0</v>
      </c>
      <c r="E11837" s="12">
        <v>0</v>
      </c>
      <c r="F11837" s="14">
        <v>0</v>
      </c>
      <c r="G11837" s="13">
        <v>48980000</v>
      </c>
      <c r="H11837" s="14">
        <v>49532807872</v>
      </c>
      <c r="I11837" s="14" t="e">
        <f>=Round(1233974.16540000,0)</f>
        <v>#VALUE!</v>
      </c>
      <c r="J11837" s="14" t="e">
        <f>=Round(675779.78180000,0)</f>
        <v>#VALUE!</v>
      </c>
    </row>
    <row r="11838">
      <c r="A11838" s="11" t="s">
        <v>45</v>
      </c>
      <c r="B11838" s="12">
        <v>1011.5939</v>
      </c>
      <c r="C11838" s="12">
        <v>0</v>
      </c>
      <c r="D11838" s="13">
        <v>0</v>
      </c>
      <c r="E11838" s="12">
        <v>0</v>
      </c>
      <c r="F11838" s="14">
        <v>0</v>
      </c>
      <c r="G11838" s="13">
        <v>48980000</v>
      </c>
      <c r="H11838" s="14">
        <v>49547869222</v>
      </c>
      <c r="I11838" s="14" t="e">
        <f>=Round(1235613.48600000,0)</f>
        <v>#VALUE!</v>
      </c>
      <c r="J11838" s="14" t="e">
        <f>=Round(676677.54750000,0)</f>
        <v>#VALUE!</v>
      </c>
    </row>
    <row r="11839">
      <c r="A11839" s="11" t="s">
        <v>46</v>
      </c>
      <c r="B11839" s="12">
        <v>1012.1733</v>
      </c>
      <c r="C11839" s="12">
        <v>0</v>
      </c>
      <c r="D11839" s="13">
        <v>0</v>
      </c>
      <c r="E11839" s="12">
        <v>0</v>
      </c>
      <c r="F11839" s="14">
        <v>0</v>
      </c>
      <c r="G11839" s="13">
        <v>48980000</v>
      </c>
      <c r="H11839" s="14">
        <v>49576248234</v>
      </c>
      <c r="I11839" s="14" t="e">
        <f>=Round(1235989.19670000,0)</f>
        <v>#VALUE!</v>
      </c>
      <c r="J11839" s="14" t="e">
        <f>=Round(676883.30360000,0)</f>
        <v>#VALUE!</v>
      </c>
    </row>
    <row r="11840">
      <c r="A11840" s="11" t="s">
        <v>47</v>
      </c>
      <c r="B11840" s="12">
        <v>1012.2999</v>
      </c>
      <c r="C11840" s="12">
        <v>0</v>
      </c>
      <c r="D11840" s="13">
        <v>0</v>
      </c>
      <c r="E11840" s="12">
        <v>0</v>
      </c>
      <c r="F11840" s="14">
        <v>0</v>
      </c>
      <c r="G11840" s="13">
        <v>48980000</v>
      </c>
      <c r="H11840" s="14">
        <v>49582449102</v>
      </c>
      <c r="I11840" s="14" t="e">
        <f>=Round(1236697.12120000,0)</f>
        <v>#VALUE!</v>
      </c>
      <c r="J11840" s="14" t="e">
        <f>=Round(677270.99500000,0)</f>
        <v>#VALUE!</v>
      </c>
    </row>
    <row r="11841">
      <c r="A11841" s="11" t="s">
        <v>48</v>
      </c>
      <c r="B11841" s="12">
        <v>1012.7738</v>
      </c>
      <c r="C11841" s="12">
        <v>0</v>
      </c>
      <c r="D11841" s="13">
        <v>0</v>
      </c>
      <c r="E11841" s="12">
        <v>0</v>
      </c>
      <c r="F11841" s="14">
        <v>0</v>
      </c>
      <c r="G11841" s="13">
        <v>48980000</v>
      </c>
      <c r="H11841" s="14">
        <v>49605660724</v>
      </c>
      <c r="I11841" s="14" t="e">
        <f>=Round(1236851.80410000,0)</f>
        <v>#VALUE!</v>
      </c>
      <c r="J11841" s="14" t="e">
        <f>=Round(677355.70630000,0)</f>
        <v>#VALUE!</v>
      </c>
    </row>
    <row r="11842">
      <c r="A11842" s="11" t="s">
        <v>49</v>
      </c>
      <c r="B11842" s="12">
        <v>1012.7738</v>
      </c>
      <c r="C11842" s="12">
        <v>0</v>
      </c>
      <c r="D11842" s="13">
        <v>0</v>
      </c>
      <c r="E11842" s="12">
        <v>0</v>
      </c>
      <c r="F11842" s="14">
        <v>0</v>
      </c>
      <c r="G11842" s="13">
        <v>48980000</v>
      </c>
      <c r="H11842" s="14">
        <v>49605660724</v>
      </c>
      <c r="I11842" s="14" t="e">
        <f>=Round(1237430.82630000,0)</f>
        <v>#VALUE!</v>
      </c>
      <c r="J11842" s="14" t="e">
        <f>=Round(677672.80480000,0)</f>
        <v>#VALUE!</v>
      </c>
    </row>
    <row r="11843">
      <c r="A11843" s="11" t="s">
        <v>50</v>
      </c>
      <c r="B11843" s="12">
        <v>1012.7738</v>
      </c>
      <c r="C11843" s="12">
        <v>0</v>
      </c>
      <c r="D11843" s="13">
        <v>0</v>
      </c>
      <c r="E11843" s="12">
        <v>0</v>
      </c>
      <c r="F11843" s="14">
        <v>0</v>
      </c>
      <c r="G11843" s="13">
        <v>48980000</v>
      </c>
      <c r="H11843" s="14">
        <v>49605660724</v>
      </c>
      <c r="I11843" s="14" t="e">
        <f>=Round(1237430.82630000,0)</f>
        <v>#VALUE!</v>
      </c>
      <c r="J11843" s="14" t="e">
        <f>=Round(677672.80480000,0)</f>
        <v>#VALUE!</v>
      </c>
    </row>
    <row r="11844">
      <c r="A11844" s="11" t="s">
        <v>51</v>
      </c>
      <c r="B11844" s="12">
        <v>1013.5561</v>
      </c>
      <c r="C11844" s="12">
        <v>0</v>
      </c>
      <c r="D11844" s="13">
        <v>0</v>
      </c>
      <c r="E11844" s="12">
        <v>0</v>
      </c>
      <c r="F11844" s="14">
        <v>0</v>
      </c>
      <c r="G11844" s="13">
        <v>48980000</v>
      </c>
      <c r="H11844" s="14">
        <v>49643977778</v>
      </c>
      <c r="I11844" s="14" t="e">
        <f>=Round(1237430.82630000,0)</f>
        <v>#VALUE!</v>
      </c>
      <c r="J11844" s="14" t="e">
        <f>=Round(677672.80480000,0)</f>
        <v>#VALUE!</v>
      </c>
    </row>
    <row r="11845">
      <c r="A11845" s="11" t="s">
        <v>52</v>
      </c>
      <c r="B11845" s="12">
        <v>1013.7513</v>
      </c>
      <c r="C11845" s="12">
        <v>0</v>
      </c>
      <c r="D11845" s="13">
        <v>0</v>
      </c>
      <c r="E11845" s="12">
        <v>0</v>
      </c>
      <c r="F11845" s="14">
        <v>0</v>
      </c>
      <c r="G11845" s="13">
        <v>48980000</v>
      </c>
      <c r="H11845" s="14">
        <v>49653538674</v>
      </c>
      <c r="I11845" s="14" t="e">
        <f>=Round(1238386.65880000,0)</f>
        <v>#VALUE!</v>
      </c>
      <c r="J11845" s="14" t="e">
        <f>=Round(678196.26170000,0)</f>
        <v>#VALUE!</v>
      </c>
    </row>
    <row r="11846">
      <c r="A11846" s="11" t="s">
        <v>53</v>
      </c>
      <c r="B11846" s="12">
        <v>1013.86</v>
      </c>
      <c r="C11846" s="12">
        <v>0</v>
      </c>
      <c r="D11846" s="13">
        <v>0</v>
      </c>
      <c r="E11846" s="12">
        <v>0</v>
      </c>
      <c r="F11846" s="14">
        <v>0</v>
      </c>
      <c r="G11846" s="13">
        <v>48980000</v>
      </c>
      <c r="H11846" s="14">
        <v>49658862800</v>
      </c>
      <c r="I11846" s="14" t="e">
        <f>=Round(1238625.15870000,0)</f>
        <v>#VALUE!</v>
      </c>
      <c r="J11846" s="14" t="e">
        <f>=Round(678326.87510000,0)</f>
        <v>#VALUE!</v>
      </c>
    </row>
    <row r="11847">
      <c r="A11847" s="11" t="s">
        <v>54</v>
      </c>
      <c r="B11847" s="12">
        <v>1014.2191</v>
      </c>
      <c r="C11847" s="12">
        <v>0</v>
      </c>
      <c r="D11847" s="13">
        <v>0</v>
      </c>
      <c r="E11847" s="12">
        <v>0</v>
      </c>
      <c r="F11847" s="14">
        <v>0</v>
      </c>
      <c r="G11847" s="13">
        <v>48980000</v>
      </c>
      <c r="H11847" s="14">
        <v>49676451518</v>
      </c>
      <c r="I11847" s="14" t="e">
        <f>=Round(1238757.97090000,0)</f>
        <v>#VALUE!</v>
      </c>
      <c r="J11847" s="14" t="e">
        <f>=Round(678399.60900000,0)</f>
        <v>#VALUE!</v>
      </c>
    </row>
    <row r="11848">
      <c r="A11848" s="11" t="s">
        <v>55</v>
      </c>
      <c r="B11848" s="12">
        <v>1013.6454</v>
      </c>
      <c r="C11848" s="12">
        <v>0</v>
      </c>
      <c r="D11848" s="13">
        <v>0</v>
      </c>
      <c r="E11848" s="12">
        <v>0</v>
      </c>
      <c r="F11848" s="14">
        <v>0</v>
      </c>
      <c r="G11848" s="13">
        <v>48980000</v>
      </c>
      <c r="H11848" s="14">
        <v>49648351692</v>
      </c>
      <c r="I11848" s="14" t="e">
        <f>=Round(1239196.72780000,0)</f>
        <v>#VALUE!</v>
      </c>
      <c r="J11848" s="14" t="e">
        <f>=Round(678639.89200000,0)</f>
        <v>#VALUE!</v>
      </c>
    </row>
    <row r="11849" ht="-1">
      <c r="A11849" s="15"/>
      <c r="B11849" s="16" t="s">
        <v>56</v>
      </c>
      <c r="C11849" s="15"/>
      <c r="D11849" s="15"/>
      <c r="E11849" s="15"/>
      <c r="F11849" s="15"/>
      <c r="G11849" s="15"/>
      <c r="H11849" s="15"/>
      <c r="I11849" s="17" t="e">
        <f>=Round(SUM(I11823:I11848),0)</f>
        <v>#VALUE!</v>
      </c>
      <c r="J11849" s="17" t="e">
        <f>=Round(SUM(J11823:J11848),0)</f>
        <v>#VALUE!</v>
      </c>
    </row>
    <row r="11850">
      <c r="A11850" s="1" t="s">
        <v>0</v>
      </c>
      <c r="B11850" s="1"/>
      <c r="C11850" s="1"/>
      <c r="D11850" s="1"/>
    </row>
    <row r="11851">
      <c r="A11851" s="0" t="s">
        <v>1</v>
      </c>
      <c r="C11851" s="0" t="s">
        <v>407</v>
      </c>
      <c r="H11851" s="2" t="s">
        <v>3</v>
      </c>
    </row>
    <row r="11852">
      <c r="A11852" s="0" t="s">
        <v>4</v>
      </c>
      <c r="C11852" s="0" t="s">
        <v>126</v>
      </c>
      <c r="H11852" s="3" t="s">
        <v>6</v>
      </c>
    </row>
    <row r="11853">
      <c r="A11853" s="0" t="s">
        <v>7</v>
      </c>
      <c r="C11853" s="4" t="s">
        <v>379</v>
      </c>
      <c r="H11853" s="2" t="s">
        <v>9</v>
      </c>
    </row>
    <row r="11854">
      <c r="A11854" s="0" t="s">
        <v>10</v>
      </c>
      <c r="C11854" s="4" t="s">
        <v>124</v>
      </c>
      <c r="H11854" s="2" t="s">
        <v>12</v>
      </c>
    </row>
    <row r="11855">
      <c r="A11855" s="0" t="s">
        <v>13</v>
      </c>
      <c r="C11855" s="0" t="s">
        <v>14</v>
      </c>
    </row>
    <row r="11856">
      <c r="A11856" s="0" t="s">
        <v>15</v>
      </c>
      <c r="C11856" s="0" t="s">
        <v>16</v>
      </c>
    </row>
    <row r="11857">
      <c r="A11857" s="0" t="s">
        <v>17</v>
      </c>
      <c r="C11857" s="0" t="s">
        <v>18</v>
      </c>
    </row>
    <row r="11860">
      <c r="A11860" s="5" t="s">
        <v>19</v>
      </c>
      <c r="B11860" s="5" t="s">
        <v>20</v>
      </c>
      <c r="C11860" s="7" t="s">
        <v>21</v>
      </c>
      <c r="D11860" s="9"/>
      <c r="E11860" s="7" t="s">
        <v>22</v>
      </c>
      <c r="F11860" s="9"/>
      <c r="G11860" s="5" t="s">
        <v>23</v>
      </c>
      <c r="H11860" s="5" t="s">
        <v>24</v>
      </c>
      <c r="I11860" s="5" t="s">
        <v>380</v>
      </c>
      <c r="J11860" s="5" t="s">
        <v>125</v>
      </c>
    </row>
    <row r="11861">
      <c r="A11861" s="6"/>
      <c r="B11861" s="6"/>
      <c r="C11861" s="8" t="s">
        <v>27</v>
      </c>
      <c r="D11861" s="8" t="s">
        <v>28</v>
      </c>
      <c r="E11861" s="8" t="s">
        <v>27</v>
      </c>
      <c r="F11861" s="8" t="s">
        <v>28</v>
      </c>
      <c r="G11861" s="6"/>
      <c r="H11861" s="6"/>
      <c r="I11861" s="10" t="s">
        <v>29</v>
      </c>
      <c r="J11861" s="6"/>
    </row>
    <row r="11862">
      <c r="A11862" s="11" t="s">
        <v>30</v>
      </c>
      <c r="B11862" s="12">
        <v>1013.113</v>
      </c>
      <c r="C11862" s="12">
        <v>0</v>
      </c>
      <c r="D11862" s="13">
        <v>0</v>
      </c>
      <c r="E11862" s="12">
        <v>0</v>
      </c>
      <c r="F11862" s="14">
        <v>0</v>
      </c>
      <c r="G11862" s="13">
        <v>159575000</v>
      </c>
      <c r="H11862" s="14">
        <v>161667506975</v>
      </c>
      <c r="I11862" s="14" t="e">
        <f>=Round(898239.53710000,0)</f>
        <v>#VALUE!</v>
      </c>
      <c r="J11862" s="14" t="e">
        <f>=Round(408290.29040000,0)</f>
        <v>#VALUE!</v>
      </c>
    </row>
    <row r="11863">
      <c r="A11863" s="11" t="s">
        <v>31</v>
      </c>
      <c r="B11863" s="12">
        <v>1013.425</v>
      </c>
      <c r="C11863" s="12">
        <v>0</v>
      </c>
      <c r="D11863" s="13">
        <v>0</v>
      </c>
      <c r="E11863" s="12">
        <v>0</v>
      </c>
      <c r="F11863" s="14">
        <v>0</v>
      </c>
      <c r="G11863" s="13">
        <v>159575000</v>
      </c>
      <c r="H11863" s="14">
        <v>161717294375</v>
      </c>
      <c r="I11863" s="14" t="e">
        <f>=Round(898889.00740000,0)</f>
        <v>#VALUE!</v>
      </c>
      <c r="J11863" s="14" t="e">
        <f>=Round(408585.50390000,0)</f>
        <v>#VALUE!</v>
      </c>
    </row>
    <row r="11864">
      <c r="A11864" s="11" t="s">
        <v>32</v>
      </c>
      <c r="B11864" s="12">
        <v>1013.627</v>
      </c>
      <c r="C11864" s="12">
        <v>0</v>
      </c>
      <c r="D11864" s="13">
        <v>0</v>
      </c>
      <c r="E11864" s="12">
        <v>0</v>
      </c>
      <c r="F11864" s="14">
        <v>0</v>
      </c>
      <c r="G11864" s="13">
        <v>159575000</v>
      </c>
      <c r="H11864" s="14">
        <v>161749528525</v>
      </c>
      <c r="I11864" s="14" t="e">
        <f>=Round(899165.83070000,0)</f>
        <v>#VALUE!</v>
      </c>
      <c r="J11864" s="14" t="e">
        <f>=Round(408711.33250000,0)</f>
        <v>#VALUE!</v>
      </c>
    </row>
    <row r="11865">
      <c r="A11865" s="11" t="s">
        <v>33</v>
      </c>
      <c r="B11865" s="12">
        <v>1013.906</v>
      </c>
      <c r="C11865" s="12">
        <v>0</v>
      </c>
      <c r="D11865" s="13">
        <v>0</v>
      </c>
      <c r="E11865" s="12">
        <v>0</v>
      </c>
      <c r="F11865" s="14">
        <v>0</v>
      </c>
      <c r="G11865" s="13">
        <v>159575000</v>
      </c>
      <c r="H11865" s="14">
        <v>161794049950</v>
      </c>
      <c r="I11865" s="14" t="e">
        <f>=Round(899345.05610000,0)</f>
        <v>#VALUE!</v>
      </c>
      <c r="J11865" s="14" t="e">
        <f>=Round(408792.79850000,0)</f>
        <v>#VALUE!</v>
      </c>
    </row>
    <row r="11866">
      <c r="A11866" s="11" t="s">
        <v>34</v>
      </c>
      <c r="B11866" s="12">
        <v>1014.163</v>
      </c>
      <c r="C11866" s="12">
        <v>0</v>
      </c>
      <c r="D11866" s="13">
        <v>0</v>
      </c>
      <c r="E11866" s="12">
        <v>0</v>
      </c>
      <c r="F11866" s="14">
        <v>0</v>
      </c>
      <c r="G11866" s="13">
        <v>159575000</v>
      </c>
      <c r="H11866" s="14">
        <v>161835060725</v>
      </c>
      <c r="I11866" s="14" t="e">
        <f>=Round(899592.60010000,0)</f>
        <v>#VALUE!</v>
      </c>
      <c r="J11866" s="14" t="e">
        <f>=Round(408905.31840000,0)</f>
        <v>#VALUE!</v>
      </c>
    </row>
    <row r="11867">
      <c r="A11867" s="11" t="s">
        <v>35</v>
      </c>
      <c r="B11867" s="12">
        <v>1014.163</v>
      </c>
      <c r="C11867" s="12">
        <v>0</v>
      </c>
      <c r="D11867" s="13">
        <v>0</v>
      </c>
      <c r="E11867" s="12">
        <v>0</v>
      </c>
      <c r="F11867" s="14">
        <v>0</v>
      </c>
      <c r="G11867" s="13">
        <v>159575000</v>
      </c>
      <c r="H11867" s="14">
        <v>161835060725</v>
      </c>
      <c r="I11867" s="14" t="e">
        <f>=Round(899820.62450000,0)</f>
        <v>#VALUE!</v>
      </c>
      <c r="J11867" s="14" t="e">
        <f>=Round(409008.96580000,0)</f>
        <v>#VALUE!</v>
      </c>
    </row>
    <row r="11868">
      <c r="A11868" s="11" t="s">
        <v>36</v>
      </c>
      <c r="B11868" s="12">
        <v>1014.163</v>
      </c>
      <c r="C11868" s="12">
        <v>0</v>
      </c>
      <c r="D11868" s="13">
        <v>0</v>
      </c>
      <c r="E11868" s="12">
        <v>0</v>
      </c>
      <c r="F11868" s="14">
        <v>0</v>
      </c>
      <c r="G11868" s="13">
        <v>159575000</v>
      </c>
      <c r="H11868" s="14">
        <v>161835060725</v>
      </c>
      <c r="I11868" s="14" t="e">
        <f>=Round(899820.62450000,0)</f>
        <v>#VALUE!</v>
      </c>
      <c r="J11868" s="14" t="e">
        <f>=Round(409008.96580000,0)</f>
        <v>#VALUE!</v>
      </c>
    </row>
    <row r="11869">
      <c r="A11869" s="11" t="s">
        <v>37</v>
      </c>
      <c r="B11869" s="12">
        <v>1014.982</v>
      </c>
      <c r="C11869" s="12">
        <v>0</v>
      </c>
      <c r="D11869" s="13">
        <v>0</v>
      </c>
      <c r="E11869" s="12">
        <v>0</v>
      </c>
      <c r="F11869" s="14">
        <v>0</v>
      </c>
      <c r="G11869" s="13">
        <v>159575000</v>
      </c>
      <c r="H11869" s="14">
        <v>161965752650</v>
      </c>
      <c r="I11869" s="14" t="e">
        <f>=Round(899820.62450000,0)</f>
        <v>#VALUE!</v>
      </c>
      <c r="J11869" s="14" t="e">
        <f>=Round(409008.96580000,0)</f>
        <v>#VALUE!</v>
      </c>
    </row>
    <row r="11870">
      <c r="A11870" s="11" t="s">
        <v>38</v>
      </c>
      <c r="B11870" s="12">
        <v>1015.293</v>
      </c>
      <c r="C11870" s="12">
        <v>0</v>
      </c>
      <c r="D11870" s="13">
        <v>0</v>
      </c>
      <c r="E11870" s="12">
        <v>0</v>
      </c>
      <c r="F11870" s="14">
        <v>0</v>
      </c>
      <c r="G11870" s="13">
        <v>159575000</v>
      </c>
      <c r="H11870" s="14">
        <v>162015380475</v>
      </c>
      <c r="I11870" s="14" t="e">
        <f>=Round(900547.28590000,0)</f>
        <v>#VALUE!</v>
      </c>
      <c r="J11870" s="14" t="e">
        <f>=Round(409339.26610000,0)</f>
        <v>#VALUE!</v>
      </c>
    </row>
    <row r="11871">
      <c r="A11871" s="11" t="s">
        <v>39</v>
      </c>
      <c r="B11871" s="12">
        <v>1015.703</v>
      </c>
      <c r="C11871" s="12">
        <v>0</v>
      </c>
      <c r="D11871" s="13">
        <v>0</v>
      </c>
      <c r="E11871" s="12">
        <v>0</v>
      </c>
      <c r="F11871" s="14">
        <v>0</v>
      </c>
      <c r="G11871" s="13">
        <v>159575000</v>
      </c>
      <c r="H11871" s="14">
        <v>162080806225</v>
      </c>
      <c r="I11871" s="14" t="e">
        <f>=Round(900823.22200000,0)</f>
        <v>#VALUE!</v>
      </c>
      <c r="J11871" s="14" t="e">
        <f>=Round(409464.69150000,0)</f>
        <v>#VALUE!</v>
      </c>
    </row>
    <row r="11872">
      <c r="A11872" s="11" t="s">
        <v>40</v>
      </c>
      <c r="B11872" s="12">
        <v>1016.03</v>
      </c>
      <c r="C11872" s="12">
        <v>0</v>
      </c>
      <c r="D11872" s="13">
        <v>0</v>
      </c>
      <c r="E11872" s="12">
        <v>0</v>
      </c>
      <c r="F11872" s="14">
        <v>0</v>
      </c>
      <c r="G11872" s="13">
        <v>159575000</v>
      </c>
      <c r="H11872" s="14">
        <v>162132987250</v>
      </c>
      <c r="I11872" s="14" t="e">
        <f>=Round(901186.99640000,0)</f>
        <v>#VALUE!</v>
      </c>
      <c r="J11872" s="14" t="e">
        <f>=Round(409630.04330000,0)</f>
        <v>#VALUE!</v>
      </c>
    </row>
    <row r="11873">
      <c r="A11873" s="11" t="s">
        <v>41</v>
      </c>
      <c r="B11873" s="12">
        <v>1016.431</v>
      </c>
      <c r="C11873" s="12">
        <v>0</v>
      </c>
      <c r="D11873" s="13">
        <v>0</v>
      </c>
      <c r="E11873" s="12">
        <v>0</v>
      </c>
      <c r="F11873" s="14">
        <v>0</v>
      </c>
      <c r="G11873" s="13">
        <v>159575000</v>
      </c>
      <c r="H11873" s="14">
        <v>162196976825</v>
      </c>
      <c r="I11873" s="14" t="e">
        <f>=Round(901477.12860000,0)</f>
        <v>#VALUE!</v>
      </c>
      <c r="J11873" s="14" t="e">
        <f>=Round(409761.92140000,0)</f>
        <v>#VALUE!</v>
      </c>
    </row>
    <row r="11874">
      <c r="A11874" s="11" t="s">
        <v>42</v>
      </c>
      <c r="B11874" s="12">
        <v>1016.431</v>
      </c>
      <c r="C11874" s="12">
        <v>0</v>
      </c>
      <c r="D11874" s="13">
        <v>0</v>
      </c>
      <c r="E11874" s="12">
        <v>0</v>
      </c>
      <c r="F11874" s="14">
        <v>0</v>
      </c>
      <c r="G11874" s="13">
        <v>159575000</v>
      </c>
      <c r="H11874" s="14">
        <v>162196976825</v>
      </c>
      <c r="I11874" s="14" t="e">
        <f>=Round(901832.91760000,0)</f>
        <v>#VALUE!</v>
      </c>
      <c r="J11874" s="14" t="e">
        <f>=Round(409923.64350000,0)</f>
        <v>#VALUE!</v>
      </c>
    </row>
    <row r="11875">
      <c r="A11875" s="11" t="s">
        <v>43</v>
      </c>
      <c r="B11875" s="12">
        <v>1016.431</v>
      </c>
      <c r="C11875" s="12">
        <v>0</v>
      </c>
      <c r="D11875" s="13">
        <v>0</v>
      </c>
      <c r="E11875" s="12">
        <v>0</v>
      </c>
      <c r="F11875" s="14">
        <v>0</v>
      </c>
      <c r="G11875" s="13">
        <v>159575000</v>
      </c>
      <c r="H11875" s="14">
        <v>162196976825</v>
      </c>
      <c r="I11875" s="14" t="e">
        <f>=Round(901832.91760000,0)</f>
        <v>#VALUE!</v>
      </c>
      <c r="J11875" s="14" t="e">
        <f>=Round(409923.64350000,0)</f>
        <v>#VALUE!</v>
      </c>
    </row>
    <row r="11876">
      <c r="A11876" s="11" t="s">
        <v>44</v>
      </c>
      <c r="B11876" s="12">
        <v>1018.406</v>
      </c>
      <c r="C11876" s="12">
        <v>0</v>
      </c>
      <c r="D11876" s="13">
        <v>0</v>
      </c>
      <c r="E11876" s="12">
        <v>0</v>
      </c>
      <c r="F11876" s="14">
        <v>0</v>
      </c>
      <c r="G11876" s="13">
        <v>159575000</v>
      </c>
      <c r="H11876" s="14">
        <v>162512137450</v>
      </c>
      <c r="I11876" s="14" t="e">
        <f>=Round(901832.91760000,0)</f>
        <v>#VALUE!</v>
      </c>
      <c r="J11876" s="14" t="e">
        <f>=Round(409923.64350000,0)</f>
        <v>#VALUE!</v>
      </c>
    </row>
    <row r="11877">
      <c r="A11877" s="11" t="s">
        <v>45</v>
      </c>
      <c r="B11877" s="12">
        <v>1018.631</v>
      </c>
      <c r="C11877" s="12">
        <v>0</v>
      </c>
      <c r="D11877" s="13">
        <v>0</v>
      </c>
      <c r="E11877" s="12">
        <v>0</v>
      </c>
      <c r="F11877" s="14">
        <v>0</v>
      </c>
      <c r="G11877" s="13">
        <v>159575000</v>
      </c>
      <c r="H11877" s="14">
        <v>162548041825</v>
      </c>
      <c r="I11877" s="14" t="e">
        <f>=Round(903585.24510000,0)</f>
        <v>#VALUE!</v>
      </c>
      <c r="J11877" s="14" t="e">
        <f>=Round(410720.15520000,0)</f>
        <v>#VALUE!</v>
      </c>
    </row>
    <row r="11878">
      <c r="A11878" s="11" t="s">
        <v>46</v>
      </c>
      <c r="B11878" s="12">
        <v>1019.129</v>
      </c>
      <c r="C11878" s="12">
        <v>0</v>
      </c>
      <c r="D11878" s="13">
        <v>0</v>
      </c>
      <c r="E11878" s="12">
        <v>0</v>
      </c>
      <c r="F11878" s="14">
        <v>0</v>
      </c>
      <c r="G11878" s="13">
        <v>159575000</v>
      </c>
      <c r="H11878" s="14">
        <v>162627510175</v>
      </c>
      <c r="I11878" s="14" t="e">
        <f>=Round(903784.87740000,0)</f>
        <v>#VALUE!</v>
      </c>
      <c r="J11878" s="14" t="e">
        <f>=Round(410810.89710000,0)</f>
        <v>#VALUE!</v>
      </c>
    </row>
    <row r="11879">
      <c r="A11879" s="11" t="s">
        <v>47</v>
      </c>
      <c r="B11879" s="12">
        <v>1019.322</v>
      </c>
      <c r="C11879" s="12">
        <v>0</v>
      </c>
      <c r="D11879" s="13">
        <v>0</v>
      </c>
      <c r="E11879" s="12">
        <v>0</v>
      </c>
      <c r="F11879" s="14">
        <v>0</v>
      </c>
      <c r="G11879" s="13">
        <v>159575000</v>
      </c>
      <c r="H11879" s="14">
        <v>162658308150</v>
      </c>
      <c r="I11879" s="14" t="e">
        <f>=Round(904226.73010000,0)</f>
        <v>#VALUE!</v>
      </c>
      <c r="J11879" s="14" t="e">
        <f>=Round(411011.73900000,0)</f>
        <v>#VALUE!</v>
      </c>
    </row>
    <row r="11880">
      <c r="A11880" s="11" t="s">
        <v>48</v>
      </c>
      <c r="B11880" s="12">
        <v>1019.652</v>
      </c>
      <c r="C11880" s="12">
        <v>0</v>
      </c>
      <c r="D11880" s="13">
        <v>0</v>
      </c>
      <c r="E11880" s="12">
        <v>0</v>
      </c>
      <c r="F11880" s="14">
        <v>0</v>
      </c>
      <c r="G11880" s="13">
        <v>159575000</v>
      </c>
      <c r="H11880" s="14">
        <v>162710967900</v>
      </c>
      <c r="I11880" s="14" t="e">
        <f>=Round(904397.97020000,0)</f>
        <v>#VALUE!</v>
      </c>
      <c r="J11880" s="14" t="e">
        <f>=Round(411089.57540000,0)</f>
        <v>#VALUE!</v>
      </c>
    </row>
    <row r="11881">
      <c r="A11881" s="11" t="s">
        <v>49</v>
      </c>
      <c r="B11881" s="12">
        <v>1019.652</v>
      </c>
      <c r="C11881" s="12">
        <v>0</v>
      </c>
      <c r="D11881" s="13">
        <v>0</v>
      </c>
      <c r="E11881" s="12">
        <v>0</v>
      </c>
      <c r="F11881" s="14">
        <v>0</v>
      </c>
      <c r="G11881" s="13">
        <v>159575000</v>
      </c>
      <c r="H11881" s="14">
        <v>162710967900</v>
      </c>
      <c r="I11881" s="14" t="e">
        <f>=Round(904690.76410000,0)</f>
        <v>#VALUE!</v>
      </c>
      <c r="J11881" s="14" t="e">
        <f>=Round(411222.66340000,0)</f>
        <v>#VALUE!</v>
      </c>
    </row>
    <row r="11882">
      <c r="A11882" s="11" t="s">
        <v>50</v>
      </c>
      <c r="B11882" s="12">
        <v>1019.652</v>
      </c>
      <c r="C11882" s="12">
        <v>0</v>
      </c>
      <c r="D11882" s="13">
        <v>0</v>
      </c>
      <c r="E11882" s="12">
        <v>0</v>
      </c>
      <c r="F11882" s="14">
        <v>0</v>
      </c>
      <c r="G11882" s="13">
        <v>159575000</v>
      </c>
      <c r="H11882" s="14">
        <v>162710967900</v>
      </c>
      <c r="I11882" s="14" t="e">
        <f>=Round(904690.76410000,0)</f>
        <v>#VALUE!</v>
      </c>
      <c r="J11882" s="14" t="e">
        <f>=Round(411222.66340000,0)</f>
        <v>#VALUE!</v>
      </c>
    </row>
    <row r="11883">
      <c r="A11883" s="11" t="s">
        <v>51</v>
      </c>
      <c r="B11883" s="12">
        <v>1020.626</v>
      </c>
      <c r="C11883" s="12">
        <v>0</v>
      </c>
      <c r="D11883" s="13">
        <v>0</v>
      </c>
      <c r="E11883" s="12">
        <v>0</v>
      </c>
      <c r="F11883" s="14">
        <v>0</v>
      </c>
      <c r="G11883" s="13">
        <v>159575000</v>
      </c>
      <c r="H11883" s="14">
        <v>162866393950</v>
      </c>
      <c r="I11883" s="14" t="e">
        <f>=Round(904690.76410000,0)</f>
        <v>#VALUE!</v>
      </c>
      <c r="J11883" s="14" t="e">
        <f>=Round(411222.66340000,0)</f>
        <v>#VALUE!</v>
      </c>
    </row>
    <row r="11884">
      <c r="A11884" s="11" t="s">
        <v>52</v>
      </c>
      <c r="B11884" s="12">
        <v>1020.782</v>
      </c>
      <c r="C11884" s="12">
        <v>0</v>
      </c>
      <c r="D11884" s="13">
        <v>0</v>
      </c>
      <c r="E11884" s="12">
        <v>0</v>
      </c>
      <c r="F11884" s="14">
        <v>0</v>
      </c>
      <c r="G11884" s="13">
        <v>159575000</v>
      </c>
      <c r="H11884" s="14">
        <v>162891287650</v>
      </c>
      <c r="I11884" s="14" t="e">
        <f>=Round(905554.95000000,0)</f>
        <v>#VALUE!</v>
      </c>
      <c r="J11884" s="14" t="e">
        <f>=Round(411615.47470000,0)</f>
        <v>#VALUE!</v>
      </c>
    </row>
    <row r="11885">
      <c r="A11885" s="11" t="s">
        <v>53</v>
      </c>
      <c r="B11885" s="12">
        <v>1021.141</v>
      </c>
      <c r="C11885" s="12">
        <v>0</v>
      </c>
      <c r="D11885" s="13">
        <v>0</v>
      </c>
      <c r="E11885" s="12">
        <v>0</v>
      </c>
      <c r="F11885" s="14">
        <v>0</v>
      </c>
      <c r="G11885" s="13">
        <v>159575000</v>
      </c>
      <c r="H11885" s="14">
        <v>162948575075</v>
      </c>
      <c r="I11885" s="14" t="e">
        <f>=Round(905693.36170000,0)</f>
        <v>#VALUE!</v>
      </c>
      <c r="J11885" s="14" t="e">
        <f>=Round(411678.38910000,0)</f>
        <v>#VALUE!</v>
      </c>
    </row>
    <row r="11886">
      <c r="A11886" s="11" t="s">
        <v>54</v>
      </c>
      <c r="B11886" s="12">
        <v>1021.44</v>
      </c>
      <c r="C11886" s="12">
        <v>0</v>
      </c>
      <c r="D11886" s="13">
        <v>0</v>
      </c>
      <c r="E11886" s="12">
        <v>0</v>
      </c>
      <c r="F11886" s="14">
        <v>0</v>
      </c>
      <c r="G11886" s="13">
        <v>159575000</v>
      </c>
      <c r="H11886" s="14">
        <v>162996288000</v>
      </c>
      <c r="I11886" s="14" t="e">
        <f>=Round(906011.88600000,0)</f>
        <v>#VALUE!</v>
      </c>
      <c r="J11886" s="14" t="e">
        <f>=Round(411823.17270000,0)</f>
        <v>#VALUE!</v>
      </c>
    </row>
    <row r="11887">
      <c r="A11887" s="11" t="s">
        <v>55</v>
      </c>
      <c r="B11887" s="12">
        <v>1021.736</v>
      </c>
      <c r="C11887" s="12">
        <v>0</v>
      </c>
      <c r="D11887" s="13">
        <v>0</v>
      </c>
      <c r="E11887" s="12">
        <v>0</v>
      </c>
      <c r="F11887" s="14">
        <v>0</v>
      </c>
      <c r="G11887" s="13">
        <v>159575000</v>
      </c>
      <c r="H11887" s="14">
        <v>163043522200</v>
      </c>
      <c r="I11887" s="14" t="e">
        <f>=Round(906277.17510000,0)</f>
        <v>#VALUE!</v>
      </c>
      <c r="J11887" s="14" t="e">
        <f>=Round(411943.75850000,0)</f>
        <v>#VALUE!</v>
      </c>
    </row>
    <row r="11888" ht="-1">
      <c r="A11888" s="15"/>
      <c r="B11888" s="16" t="s">
        <v>56</v>
      </c>
      <c r="C11888" s="15"/>
      <c r="D11888" s="15"/>
      <c r="E11888" s="15"/>
      <c r="F11888" s="15"/>
      <c r="G11888" s="15"/>
      <c r="H11888" s="15"/>
      <c r="I11888" s="17" t="e">
        <f>=Round(SUM(I11862:I11887),0)</f>
        <v>#VALUE!</v>
      </c>
      <c r="J11888" s="17" t="e">
        <f>=Round(SUM(J11862:J11887),0)</f>
        <v>#VALUE!</v>
      </c>
    </row>
    <row r="11889">
      <c r="A11889" s="1" t="s">
        <v>0</v>
      </c>
      <c r="B11889" s="1"/>
      <c r="C11889" s="1"/>
      <c r="D11889" s="1"/>
    </row>
    <row r="11890">
      <c r="A11890" s="0" t="s">
        <v>1</v>
      </c>
      <c r="C11890" s="0" t="s">
        <v>408</v>
      </c>
      <c r="H11890" s="2" t="s">
        <v>3</v>
      </c>
    </row>
    <row r="11891">
      <c r="A11891" s="0" t="s">
        <v>4</v>
      </c>
      <c r="C11891" s="0" t="s">
        <v>109</v>
      </c>
      <c r="H11891" s="3" t="s">
        <v>6</v>
      </c>
    </row>
    <row r="11892">
      <c r="A11892" s="0" t="s">
        <v>7</v>
      </c>
      <c r="C11892" s="4" t="s">
        <v>185</v>
      </c>
      <c r="H11892" s="2" t="s">
        <v>9</v>
      </c>
    </row>
    <row r="11893">
      <c r="A11893" s="0" t="s">
        <v>10</v>
      </c>
      <c r="C11893" s="4" t="s">
        <v>11</v>
      </c>
      <c r="H11893" s="2" t="s">
        <v>12</v>
      </c>
    </row>
    <row r="11894">
      <c r="A11894" s="0" t="s">
        <v>13</v>
      </c>
      <c r="C11894" s="0" t="s">
        <v>14</v>
      </c>
    </row>
    <row r="11895">
      <c r="A11895" s="0" t="s">
        <v>15</v>
      </c>
      <c r="C11895" s="0" t="s">
        <v>16</v>
      </c>
    </row>
    <row r="11896">
      <c r="A11896" s="0" t="s">
        <v>17</v>
      </c>
      <c r="C11896" s="0" t="s">
        <v>18</v>
      </c>
    </row>
    <row r="11899">
      <c r="A11899" s="5" t="s">
        <v>19</v>
      </c>
      <c r="B11899" s="5" t="s">
        <v>20</v>
      </c>
      <c r="C11899" s="7" t="s">
        <v>21</v>
      </c>
      <c r="D11899" s="9"/>
      <c r="E11899" s="7" t="s">
        <v>22</v>
      </c>
      <c r="F11899" s="9"/>
      <c r="G11899" s="5" t="s">
        <v>23</v>
      </c>
      <c r="H11899" s="5" t="s">
        <v>24</v>
      </c>
      <c r="I11899" s="5" t="s">
        <v>186</v>
      </c>
      <c r="J11899" s="5" t="s">
        <v>26</v>
      </c>
    </row>
    <row r="11900">
      <c r="A11900" s="6"/>
      <c r="B11900" s="6"/>
      <c r="C11900" s="8" t="s">
        <v>27</v>
      </c>
      <c r="D11900" s="8" t="s">
        <v>28</v>
      </c>
      <c r="E11900" s="8" t="s">
        <v>27</v>
      </c>
      <c r="F11900" s="8" t="s">
        <v>28</v>
      </c>
      <c r="G11900" s="6"/>
      <c r="H11900" s="6"/>
      <c r="I11900" s="10" t="s">
        <v>29</v>
      </c>
      <c r="J11900" s="6"/>
    </row>
    <row r="11901">
      <c r="A11901" s="11" t="s">
        <v>30</v>
      </c>
      <c r="B11901" s="12">
        <v>1044.7838</v>
      </c>
      <c r="C11901" s="12">
        <v>0</v>
      </c>
      <c r="D11901" s="13">
        <v>0</v>
      </c>
      <c r="E11901" s="12">
        <v>0</v>
      </c>
      <c r="F11901" s="14">
        <v>0</v>
      </c>
      <c r="G11901" s="13">
        <v>211184571.89380002</v>
      </c>
      <c r="H11901" s="14">
        <v>220642219524.57758</v>
      </c>
      <c r="I11901" s="14" t="e">
        <f>=Round(1160965.12360000,0)</f>
        <v>#VALUE!</v>
      </c>
      <c r="J11901" s="14" t="e">
        <f>=Round(0.00000000,0)</f>
        <v>#VALUE!</v>
      </c>
    </row>
    <row r="11902">
      <c r="A11902" s="11" t="s">
        <v>31</v>
      </c>
      <c r="B11902" s="12">
        <v>1047.4103</v>
      </c>
      <c r="C11902" s="12">
        <v>0</v>
      </c>
      <c r="D11902" s="13">
        <v>0</v>
      </c>
      <c r="E11902" s="12">
        <v>0</v>
      </c>
      <c r="F11902" s="14">
        <v>0</v>
      </c>
      <c r="G11902" s="13">
        <v>211184571.89380002</v>
      </c>
      <c r="H11902" s="14">
        <v>221196895802.65665</v>
      </c>
      <c r="I11902" s="14" t="e">
        <f>=Round(1160481.61910000,0)</f>
        <v>#VALUE!</v>
      </c>
      <c r="J11902" s="14" t="e">
        <f>=Round(0.00000000,0)</f>
        <v>#VALUE!</v>
      </c>
    </row>
    <row r="11903">
      <c r="A11903" s="11" t="s">
        <v>32</v>
      </c>
      <c r="B11903" s="12">
        <v>1047.2852</v>
      </c>
      <c r="C11903" s="12">
        <v>0</v>
      </c>
      <c r="D11903" s="13">
        <v>0</v>
      </c>
      <c r="E11903" s="12">
        <v>0</v>
      </c>
      <c r="F11903" s="14">
        <v>0</v>
      </c>
      <c r="G11903" s="13">
        <v>211184571.89380002</v>
      </c>
      <c r="H11903" s="14">
        <v>221170476612.71271</v>
      </c>
      <c r="I11903" s="14" t="e">
        <f>=Round(1163398.97380000,0)</f>
        <v>#VALUE!</v>
      </c>
      <c r="J11903" s="14" t="e">
        <f>=Round(0.00000000,0)</f>
        <v>#VALUE!</v>
      </c>
    </row>
    <row r="11904">
      <c r="A11904" s="11" t="s">
        <v>33</v>
      </c>
      <c r="B11904" s="12">
        <v>1047.0938</v>
      </c>
      <c r="C11904" s="12">
        <v>0</v>
      </c>
      <c r="D11904" s="13">
        <v>0</v>
      </c>
      <c r="E11904" s="12">
        <v>0</v>
      </c>
      <c r="F11904" s="14">
        <v>0</v>
      </c>
      <c r="G11904" s="13">
        <v>211184571.89380002</v>
      </c>
      <c r="H11904" s="14">
        <v>221130055885.65222</v>
      </c>
      <c r="I11904" s="14" t="e">
        <f>=Round(1163260.02040000,0)</f>
        <v>#VALUE!</v>
      </c>
      <c r="J11904" s="14" t="e">
        <f>=Round(0.00000000,0)</f>
        <v>#VALUE!</v>
      </c>
    </row>
    <row r="11905">
      <c r="A11905" s="11" t="s">
        <v>34</v>
      </c>
      <c r="B11905" s="12">
        <v>1050.4858</v>
      </c>
      <c r="C11905" s="12">
        <v>0</v>
      </c>
      <c r="D11905" s="13">
        <v>0</v>
      </c>
      <c r="E11905" s="12">
        <v>0</v>
      </c>
      <c r="F11905" s="14">
        <v>0</v>
      </c>
      <c r="G11905" s="13">
        <v>211184571.89380002</v>
      </c>
      <c r="H11905" s="14">
        <v>221846393953.516</v>
      </c>
      <c r="I11905" s="14" t="e">
        <f>=Round(1163047.42510000,0)</f>
        <v>#VALUE!</v>
      </c>
      <c r="J11905" s="14" t="e">
        <f>=Round(0.00000000,0)</f>
        <v>#VALUE!</v>
      </c>
    </row>
    <row r="11906">
      <c r="A11906" s="11" t="s">
        <v>35</v>
      </c>
      <c r="B11906" s="12">
        <v>1050.4858</v>
      </c>
      <c r="C11906" s="12">
        <v>0</v>
      </c>
      <c r="D11906" s="13">
        <v>0</v>
      </c>
      <c r="E11906" s="12">
        <v>0</v>
      </c>
      <c r="F11906" s="14">
        <v>0</v>
      </c>
      <c r="G11906" s="13">
        <v>211184571.89380002</v>
      </c>
      <c r="H11906" s="14">
        <v>221846393953.516</v>
      </c>
      <c r="I11906" s="14" t="e">
        <f>=Round(1166815.05020000,0)</f>
        <v>#VALUE!</v>
      </c>
      <c r="J11906" s="14" t="e">
        <f>=Round(0.00000000,0)</f>
        <v>#VALUE!</v>
      </c>
    </row>
    <row r="11907">
      <c r="A11907" s="11" t="s">
        <v>36</v>
      </c>
      <c r="B11907" s="12">
        <v>1050.4858</v>
      </c>
      <c r="C11907" s="12">
        <v>0</v>
      </c>
      <c r="D11907" s="13">
        <v>0</v>
      </c>
      <c r="E11907" s="12">
        <v>0</v>
      </c>
      <c r="F11907" s="14">
        <v>0</v>
      </c>
      <c r="G11907" s="13">
        <v>211184571.89380002</v>
      </c>
      <c r="H11907" s="14">
        <v>221846393953.516</v>
      </c>
      <c r="I11907" s="14" t="e">
        <f>=Round(1166815.05020000,0)</f>
        <v>#VALUE!</v>
      </c>
      <c r="J11907" s="14" t="e">
        <f>=Round(0.00000000,0)</f>
        <v>#VALUE!</v>
      </c>
    </row>
    <row r="11908">
      <c r="A11908" s="11" t="s">
        <v>37</v>
      </c>
      <c r="B11908" s="12">
        <v>1050.6332</v>
      </c>
      <c r="C11908" s="12">
        <v>0</v>
      </c>
      <c r="D11908" s="13">
        <v>0</v>
      </c>
      <c r="E11908" s="12">
        <v>0</v>
      </c>
      <c r="F11908" s="14">
        <v>0</v>
      </c>
      <c r="G11908" s="13">
        <v>211184571.89380002</v>
      </c>
      <c r="H11908" s="14">
        <v>221877522559.41315</v>
      </c>
      <c r="I11908" s="14" t="e">
        <f>=Round(1166815.05020000,0)</f>
        <v>#VALUE!</v>
      </c>
      <c r="J11908" s="14" t="e">
        <f>=Round(0.00000000,0)</f>
        <v>#VALUE!</v>
      </c>
    </row>
    <row r="11909">
      <c r="A11909" s="11" t="s">
        <v>38</v>
      </c>
      <c r="B11909" s="12">
        <v>1050.1643</v>
      </c>
      <c r="C11909" s="12">
        <v>0</v>
      </c>
      <c r="D11909" s="13">
        <v>0</v>
      </c>
      <c r="E11909" s="12">
        <v>0</v>
      </c>
      <c r="F11909" s="14">
        <v>0</v>
      </c>
      <c r="G11909" s="13">
        <v>211184571.89380002</v>
      </c>
      <c r="H11909" s="14">
        <v>221778498113.65216</v>
      </c>
      <c r="I11909" s="14" t="e">
        <f>=Round(1166978.77300000,0)</f>
        <v>#VALUE!</v>
      </c>
      <c r="J11909" s="14" t="e">
        <f>=Round(0.00000000,0)</f>
        <v>#VALUE!</v>
      </c>
    </row>
    <row r="11910">
      <c r="A11910" s="11" t="s">
        <v>39</v>
      </c>
      <c r="B11910" s="12">
        <v>1055.8877</v>
      </c>
      <c r="C11910" s="12">
        <v>0</v>
      </c>
      <c r="D11910" s="13">
        <v>0</v>
      </c>
      <c r="E11910" s="12">
        <v>0</v>
      </c>
      <c r="F11910" s="14">
        <v>0</v>
      </c>
      <c r="G11910" s="13">
        <v>211184571.89380002</v>
      </c>
      <c r="H11910" s="14">
        <v>222987191892.42911</v>
      </c>
      <c r="I11910" s="14" t="e">
        <f>=Round(1166457.94770000,0)</f>
        <v>#VALUE!</v>
      </c>
      <c r="J11910" s="14" t="e">
        <f>=Round(0.00000000,0)</f>
        <v>#VALUE!</v>
      </c>
    </row>
    <row r="11911">
      <c r="A11911" s="11" t="s">
        <v>40</v>
      </c>
      <c r="B11911" s="12">
        <v>1056.0654</v>
      </c>
      <c r="C11911" s="12">
        <v>0</v>
      </c>
      <c r="D11911" s="13">
        <v>0</v>
      </c>
      <c r="E11911" s="12">
        <v>0</v>
      </c>
      <c r="F11911" s="14">
        <v>0</v>
      </c>
      <c r="G11911" s="13">
        <v>211184571.89380002</v>
      </c>
      <c r="H11911" s="14">
        <v>223024719390.85465</v>
      </c>
      <c r="I11911" s="14" t="e">
        <f>=Round(1172815.14860000,0)</f>
        <v>#VALUE!</v>
      </c>
      <c r="J11911" s="14" t="e">
        <f>=Round(0.00000000,0)</f>
        <v>#VALUE!</v>
      </c>
    </row>
    <row r="11912">
      <c r="A11912" s="11" t="s">
        <v>41</v>
      </c>
      <c r="B11912" s="12">
        <v>1057.0082</v>
      </c>
      <c r="C11912" s="12">
        <v>0</v>
      </c>
      <c r="D11912" s="13">
        <v>0</v>
      </c>
      <c r="E11912" s="12">
        <v>0</v>
      </c>
      <c r="F11912" s="14">
        <v>0</v>
      </c>
      <c r="G11912" s="13">
        <v>211184571.89380002</v>
      </c>
      <c r="H11912" s="14">
        <v>223223824205.23611</v>
      </c>
      <c r="I11912" s="14" t="e">
        <f>=Round(1173012.52690000,0)</f>
        <v>#VALUE!</v>
      </c>
      <c r="J11912" s="14" t="e">
        <f>=Round(0.00000000,0)</f>
        <v>#VALUE!</v>
      </c>
    </row>
    <row r="11913">
      <c r="A11913" s="11" t="s">
        <v>42</v>
      </c>
      <c r="B11913" s="12">
        <v>1057.0082</v>
      </c>
      <c r="C11913" s="12">
        <v>0</v>
      </c>
      <c r="D11913" s="13">
        <v>0</v>
      </c>
      <c r="E11913" s="12">
        <v>0</v>
      </c>
      <c r="F11913" s="14">
        <v>0</v>
      </c>
      <c r="G11913" s="13">
        <v>211184571.89380002</v>
      </c>
      <c r="H11913" s="14">
        <v>223223824205.23611</v>
      </c>
      <c r="I11913" s="14" t="e">
        <f>=Round(1174059.73110000,0)</f>
        <v>#VALUE!</v>
      </c>
      <c r="J11913" s="14" t="e">
        <f>=Round(0.00000000,0)</f>
        <v>#VALUE!</v>
      </c>
    </row>
    <row r="11914">
      <c r="A11914" s="11" t="s">
        <v>43</v>
      </c>
      <c r="B11914" s="12">
        <v>1057.0082</v>
      </c>
      <c r="C11914" s="12">
        <v>0</v>
      </c>
      <c r="D11914" s="13">
        <v>0</v>
      </c>
      <c r="E11914" s="12">
        <v>0</v>
      </c>
      <c r="F11914" s="14">
        <v>0</v>
      </c>
      <c r="G11914" s="13">
        <v>211184571.89380002</v>
      </c>
      <c r="H11914" s="14">
        <v>223223824205.23611</v>
      </c>
      <c r="I11914" s="14" t="e">
        <f>=Round(1174059.73110000,0)</f>
        <v>#VALUE!</v>
      </c>
      <c r="J11914" s="14" t="e">
        <f>=Round(0.00000000,0)</f>
        <v>#VALUE!</v>
      </c>
    </row>
    <row r="11915">
      <c r="A11915" s="11" t="s">
        <v>44</v>
      </c>
      <c r="B11915" s="12">
        <v>1056.6178</v>
      </c>
      <c r="C11915" s="12">
        <v>0</v>
      </c>
      <c r="D11915" s="13">
        <v>0</v>
      </c>
      <c r="E11915" s="12">
        <v>0</v>
      </c>
      <c r="F11915" s="14">
        <v>0</v>
      </c>
      <c r="G11915" s="13">
        <v>211184571.89380002</v>
      </c>
      <c r="H11915" s="14">
        <v>223141377748.36881</v>
      </c>
      <c r="I11915" s="14" t="e">
        <f>=Round(1174059.73110000,0)</f>
        <v>#VALUE!</v>
      </c>
      <c r="J11915" s="14" t="e">
        <f>=Round(0.00000000,0)</f>
        <v>#VALUE!</v>
      </c>
    </row>
    <row r="11916">
      <c r="A11916" s="11" t="s">
        <v>45</v>
      </c>
      <c r="B11916" s="12">
        <v>1057.0565</v>
      </c>
      <c r="C11916" s="12">
        <v>0</v>
      </c>
      <c r="D11916" s="13">
        <v>0</v>
      </c>
      <c r="E11916" s="12">
        <v>0</v>
      </c>
      <c r="F11916" s="14">
        <v>0</v>
      </c>
      <c r="G11916" s="13">
        <v>211184571.89380002</v>
      </c>
      <c r="H11916" s="14">
        <v>223234024420.05859</v>
      </c>
      <c r="I11916" s="14" t="e">
        <f>=Round(1173626.09880000,0)</f>
        <v>#VALUE!</v>
      </c>
      <c r="J11916" s="14" t="e">
        <f>=Round(0.00000000,0)</f>
        <v>#VALUE!</v>
      </c>
    </row>
    <row r="11917">
      <c r="A11917" s="11" t="s">
        <v>46</v>
      </c>
      <c r="B11917" s="12">
        <v>1059.7328</v>
      </c>
      <c r="C11917" s="12">
        <v>0</v>
      </c>
      <c r="D11917" s="13">
        <v>0</v>
      </c>
      <c r="E11917" s="12">
        <v>0</v>
      </c>
      <c r="F11917" s="14">
        <v>0</v>
      </c>
      <c r="G11917" s="13">
        <v>211184571.89380002</v>
      </c>
      <c r="H11917" s="14">
        <v>223799217689.818</v>
      </c>
      <c r="I11917" s="14" t="e">
        <f>=Round(1174113.37980000,0)</f>
        <v>#VALUE!</v>
      </c>
      <c r="J11917" s="14" t="e">
        <f>=Round(0.00000000,0)</f>
        <v>#VALUE!</v>
      </c>
    </row>
    <row r="11918">
      <c r="A11918" s="11" t="s">
        <v>47</v>
      </c>
      <c r="B11918" s="12">
        <v>1060.7399</v>
      </c>
      <c r="C11918" s="12">
        <v>0</v>
      </c>
      <c r="D11918" s="13">
        <v>0</v>
      </c>
      <c r="E11918" s="12">
        <v>0</v>
      </c>
      <c r="F11918" s="14">
        <v>0</v>
      </c>
      <c r="G11918" s="13">
        <v>211184571.89380002</v>
      </c>
      <c r="H11918" s="14">
        <v>224011901672.17221</v>
      </c>
      <c r="I11918" s="14" t="e">
        <f>=Round(1177086.04930000,0)</f>
        <v>#VALUE!</v>
      </c>
      <c r="J11918" s="14" t="e">
        <f>=Round(0.00000000,0)</f>
        <v>#VALUE!</v>
      </c>
    </row>
    <row r="11919">
      <c r="A11919" s="11" t="s">
        <v>48</v>
      </c>
      <c r="B11919" s="12">
        <v>1061.0299</v>
      </c>
      <c r="C11919" s="12">
        <v>0</v>
      </c>
      <c r="D11919" s="13">
        <v>0</v>
      </c>
      <c r="E11919" s="12">
        <v>0</v>
      </c>
      <c r="F11919" s="14">
        <v>0</v>
      </c>
      <c r="G11919" s="13">
        <v>211184571.89380002</v>
      </c>
      <c r="H11919" s="14">
        <v>224073145198.02145</v>
      </c>
      <c r="I11919" s="14" t="e">
        <f>=Round(1178204.67410000,0)</f>
        <v>#VALUE!</v>
      </c>
      <c r="J11919" s="14" t="e">
        <f>=Round(0.00000000,0)</f>
        <v>#VALUE!</v>
      </c>
    </row>
    <row r="11920">
      <c r="A11920" s="11" t="s">
        <v>49</v>
      </c>
      <c r="B11920" s="12">
        <v>1061.0299</v>
      </c>
      <c r="C11920" s="12">
        <v>0</v>
      </c>
      <c r="D11920" s="13">
        <v>0</v>
      </c>
      <c r="E11920" s="12">
        <v>0</v>
      </c>
      <c r="F11920" s="14">
        <v>0</v>
      </c>
      <c r="G11920" s="13">
        <v>211184571.89380002</v>
      </c>
      <c r="H11920" s="14">
        <v>224073145198.02145</v>
      </c>
      <c r="I11920" s="14" t="e">
        <f>=Round(1178526.78830000,0)</f>
        <v>#VALUE!</v>
      </c>
      <c r="J11920" s="14" t="e">
        <f>=Round(0.00000000,0)</f>
        <v>#VALUE!</v>
      </c>
    </row>
    <row r="11921">
      <c r="A11921" s="11" t="s">
        <v>50</v>
      </c>
      <c r="B11921" s="12">
        <v>1061.0299</v>
      </c>
      <c r="C11921" s="12">
        <v>0</v>
      </c>
      <c r="D11921" s="13">
        <v>0</v>
      </c>
      <c r="E11921" s="12">
        <v>0</v>
      </c>
      <c r="F11921" s="14">
        <v>0</v>
      </c>
      <c r="G11921" s="13">
        <v>211184571.89380002</v>
      </c>
      <c r="H11921" s="14">
        <v>224073145198.02145</v>
      </c>
      <c r="I11921" s="14" t="e">
        <f>=Round(1178526.78830000,0)</f>
        <v>#VALUE!</v>
      </c>
      <c r="J11921" s="14" t="e">
        <f>=Round(0.00000000,0)</f>
        <v>#VALUE!</v>
      </c>
    </row>
    <row r="11922">
      <c r="A11922" s="11" t="s">
        <v>51</v>
      </c>
      <c r="B11922" s="12">
        <v>1059.7062</v>
      </c>
      <c r="C11922" s="12">
        <v>0</v>
      </c>
      <c r="D11922" s="13">
        <v>0</v>
      </c>
      <c r="E11922" s="12">
        <v>0</v>
      </c>
      <c r="F11922" s="14">
        <v>0</v>
      </c>
      <c r="G11922" s="13">
        <v>211184571.89380002</v>
      </c>
      <c r="H11922" s="14">
        <v>223793600180.2056</v>
      </c>
      <c r="I11922" s="14" t="e">
        <f>=Round(1178526.78830000,0)</f>
        <v>#VALUE!</v>
      </c>
      <c r="J11922" s="14" t="e">
        <f>=Round(0.00000000,0)</f>
        <v>#VALUE!</v>
      </c>
    </row>
    <row r="11923">
      <c r="A11923" s="11" t="s">
        <v>52</v>
      </c>
      <c r="B11923" s="12">
        <v>1059.5685</v>
      </c>
      <c r="C11923" s="12">
        <v>0</v>
      </c>
      <c r="D11923" s="13">
        <v>0</v>
      </c>
      <c r="E11923" s="12">
        <v>0</v>
      </c>
      <c r="F11923" s="14">
        <v>0</v>
      </c>
      <c r="G11923" s="13">
        <v>211184571.89380002</v>
      </c>
      <c r="H11923" s="14">
        <v>223764520064.65585</v>
      </c>
      <c r="I11923" s="14" t="e">
        <f>=Round(1177056.50370000,0)</f>
        <v>#VALUE!</v>
      </c>
      <c r="J11923" s="14" t="e">
        <f>=Round(0.00000000,0)</f>
        <v>#VALUE!</v>
      </c>
    </row>
    <row r="11924">
      <c r="A11924" s="11" t="s">
        <v>53</v>
      </c>
      <c r="B11924" s="12">
        <v>1058.8818</v>
      </c>
      <c r="C11924" s="12">
        <v>0</v>
      </c>
      <c r="D11924" s="13">
        <v>0</v>
      </c>
      <c r="E11924" s="12">
        <v>0</v>
      </c>
      <c r="F11924" s="14">
        <v>0</v>
      </c>
      <c r="G11924" s="13">
        <v>211184571.89380002</v>
      </c>
      <c r="H11924" s="14">
        <v>223619499619.13635</v>
      </c>
      <c r="I11924" s="14" t="e">
        <f>=Round(1176903.55500000,0)</f>
        <v>#VALUE!</v>
      </c>
      <c r="J11924" s="14" t="e">
        <f>=Round(0.00000000,0)</f>
        <v>#VALUE!</v>
      </c>
    </row>
    <row r="11925">
      <c r="A11925" s="11" t="s">
        <v>54</v>
      </c>
      <c r="B11925" s="12">
        <v>1057.1109</v>
      </c>
      <c r="C11925" s="12">
        <v>0</v>
      </c>
      <c r="D11925" s="13">
        <v>0</v>
      </c>
      <c r="E11925" s="12">
        <v>0</v>
      </c>
      <c r="F11925" s="14">
        <v>0</v>
      </c>
      <c r="G11925" s="13">
        <v>211184571.89380002</v>
      </c>
      <c r="H11925" s="14">
        <v>223245512860.76962</v>
      </c>
      <c r="I11925" s="14" t="e">
        <f>=Round(1176140.81080000,0)</f>
        <v>#VALUE!</v>
      </c>
      <c r="J11925" s="14" t="e">
        <f>=Round(0.00000000,0)</f>
        <v>#VALUE!</v>
      </c>
    </row>
    <row r="11926">
      <c r="A11926" s="11" t="s">
        <v>55</v>
      </c>
      <c r="B11926" s="12">
        <v>1052.0411</v>
      </c>
      <c r="C11926" s="12">
        <v>0</v>
      </c>
      <c r="D11926" s="13">
        <v>0</v>
      </c>
      <c r="E11926" s="12">
        <v>0</v>
      </c>
      <c r="F11926" s="14">
        <v>0</v>
      </c>
      <c r="G11926" s="13">
        <v>211184571.89380002</v>
      </c>
      <c r="H11926" s="14">
        <v>222174849318.18243</v>
      </c>
      <c r="I11926" s="14" t="e">
        <f>=Round(1174173.80400000,0)</f>
        <v>#VALUE!</v>
      </c>
      <c r="J11926" s="14" t="e">
        <f>=Round(0.00000000,0)</f>
        <v>#VALUE!</v>
      </c>
    </row>
    <row r="11927" ht="-1">
      <c r="A11927" s="15"/>
      <c r="B11927" s="16" t="s">
        <v>56</v>
      </c>
      <c r="C11927" s="15"/>
      <c r="D11927" s="15"/>
      <c r="E11927" s="15"/>
      <c r="F11927" s="15"/>
      <c r="G11927" s="15"/>
      <c r="H11927" s="15"/>
      <c r="I11927" s="17" t="e">
        <f>=Round(SUM(I11901:I11926),0)</f>
        <v>#VALUE!</v>
      </c>
      <c r="J11927" s="17" t="e">
        <f>=Round(SUM(J11901:J11926),0)</f>
        <v>#VALUE!</v>
      </c>
    </row>
    <row r="11928">
      <c r="A11928" s="1" t="s">
        <v>0</v>
      </c>
      <c r="B11928" s="1"/>
      <c r="C11928" s="1"/>
      <c r="D11928" s="1"/>
    </row>
    <row r="11929">
      <c r="A11929" s="0" t="s">
        <v>1</v>
      </c>
      <c r="C11929" s="0" t="s">
        <v>409</v>
      </c>
      <c r="H11929" s="2" t="s">
        <v>3</v>
      </c>
    </row>
    <row r="11930">
      <c r="A11930" s="0" t="s">
        <v>4</v>
      </c>
      <c r="C11930" s="0" t="s">
        <v>210</v>
      </c>
      <c r="H11930" s="3" t="s">
        <v>6</v>
      </c>
    </row>
    <row r="11931">
      <c r="A11931" s="0" t="s">
        <v>7</v>
      </c>
      <c r="C11931" s="4" t="s">
        <v>410</v>
      </c>
      <c r="H11931" s="2" t="s">
        <v>9</v>
      </c>
    </row>
    <row r="11932">
      <c r="A11932" s="0" t="s">
        <v>10</v>
      </c>
      <c r="C11932" s="4" t="s">
        <v>11</v>
      </c>
      <c r="H11932" s="2" t="s">
        <v>12</v>
      </c>
    </row>
    <row r="11933">
      <c r="A11933" s="0" t="s">
        <v>13</v>
      </c>
      <c r="C11933" s="0" t="s">
        <v>14</v>
      </c>
    </row>
    <row r="11934">
      <c r="A11934" s="0" t="s">
        <v>15</v>
      </c>
      <c r="C11934" s="0" t="s">
        <v>16</v>
      </c>
    </row>
    <row r="11935">
      <c r="A11935" s="0" t="s">
        <v>17</v>
      </c>
      <c r="C11935" s="0" t="s">
        <v>18</v>
      </c>
    </row>
    <row r="11938">
      <c r="A11938" s="5" t="s">
        <v>19</v>
      </c>
      <c r="B11938" s="5" t="s">
        <v>20</v>
      </c>
      <c r="C11938" s="7" t="s">
        <v>21</v>
      </c>
      <c r="D11938" s="9"/>
      <c r="E11938" s="7" t="s">
        <v>22</v>
      </c>
      <c r="F11938" s="9"/>
      <c r="G11938" s="5" t="s">
        <v>23</v>
      </c>
      <c r="H11938" s="5" t="s">
        <v>24</v>
      </c>
      <c r="I11938" s="5" t="s">
        <v>411</v>
      </c>
      <c r="J11938" s="5" t="s">
        <v>26</v>
      </c>
    </row>
    <row r="11939">
      <c r="A11939" s="6"/>
      <c r="B11939" s="6"/>
      <c r="C11939" s="8" t="s">
        <v>27</v>
      </c>
      <c r="D11939" s="8" t="s">
        <v>28</v>
      </c>
      <c r="E11939" s="8" t="s">
        <v>27</v>
      </c>
      <c r="F11939" s="8" t="s">
        <v>28</v>
      </c>
      <c r="G11939" s="6"/>
      <c r="H11939" s="6"/>
      <c r="I11939" s="10" t="s">
        <v>29</v>
      </c>
      <c r="J11939" s="6"/>
    </row>
    <row r="11940">
      <c r="A11940" s="11" t="s">
        <v>30</v>
      </c>
      <c r="B11940" s="12">
        <v>1023.8296</v>
      </c>
      <c r="C11940" s="12">
        <v>0</v>
      </c>
      <c r="D11940" s="13">
        <v>0</v>
      </c>
      <c r="E11940" s="12">
        <v>0</v>
      </c>
      <c r="F11940" s="14">
        <v>0</v>
      </c>
      <c r="G11940" s="13">
        <v>10000000</v>
      </c>
      <c r="H11940" s="14">
        <v>10238296000</v>
      </c>
      <c r="I11940" s="14" t="e">
        <f>=Round(147591.95540000,0)</f>
        <v>#VALUE!</v>
      </c>
      <c r="J11940" s="14" t="e">
        <f>=Round(0.00000000,0)</f>
        <v>#VALUE!</v>
      </c>
    </row>
    <row r="11941">
      <c r="A11941" s="11" t="s">
        <v>31</v>
      </c>
      <c r="B11941" s="12">
        <v>1024.079</v>
      </c>
      <c r="C11941" s="12">
        <v>0</v>
      </c>
      <c r="D11941" s="13">
        <v>0</v>
      </c>
      <c r="E11941" s="12">
        <v>0</v>
      </c>
      <c r="F11941" s="14">
        <v>0</v>
      </c>
      <c r="G11941" s="13">
        <v>10000000</v>
      </c>
      <c r="H11941" s="14">
        <v>10240790000</v>
      </c>
      <c r="I11941" s="14" t="e">
        <f>=Round(147700.00790000,0)</f>
        <v>#VALUE!</v>
      </c>
      <c r="J11941" s="14" t="e">
        <f>=Round(0.00000000,0)</f>
        <v>#VALUE!</v>
      </c>
    </row>
    <row r="11942">
      <c r="A11942" s="11" t="s">
        <v>32</v>
      </c>
      <c r="B11942" s="12">
        <v>1024.3281</v>
      </c>
      <c r="C11942" s="12">
        <v>0</v>
      </c>
      <c r="D11942" s="13">
        <v>0</v>
      </c>
      <c r="E11942" s="12">
        <v>0</v>
      </c>
      <c r="F11942" s="14">
        <v>0</v>
      </c>
      <c r="G11942" s="13">
        <v>10000000</v>
      </c>
      <c r="H11942" s="14">
        <v>10243281000</v>
      </c>
      <c r="I11942" s="14" t="e">
        <f>=Round(147735.98690000,0)</f>
        <v>#VALUE!</v>
      </c>
      <c r="J11942" s="14" t="e">
        <f>=Round(0.00000000,0)</f>
        <v>#VALUE!</v>
      </c>
    </row>
    <row r="11943">
      <c r="A11943" s="11" t="s">
        <v>33</v>
      </c>
      <c r="B11943" s="12">
        <v>1025.0189</v>
      </c>
      <c r="C11943" s="12">
        <v>0</v>
      </c>
      <c r="D11943" s="13">
        <v>0</v>
      </c>
      <c r="E11943" s="12">
        <v>0</v>
      </c>
      <c r="F11943" s="14">
        <v>0</v>
      </c>
      <c r="G11943" s="13">
        <v>10000000</v>
      </c>
      <c r="H11943" s="14">
        <v>10250189000</v>
      </c>
      <c r="I11943" s="14" t="e">
        <f>=Round(147771.92260000,0)</f>
        <v>#VALUE!</v>
      </c>
      <c r="J11943" s="14" t="e">
        <f>=Round(0.00000000,0)</f>
        <v>#VALUE!</v>
      </c>
    </row>
    <row r="11944">
      <c r="A11944" s="11" t="s">
        <v>34</v>
      </c>
      <c r="B11944" s="12">
        <v>1025.2685</v>
      </c>
      <c r="C11944" s="12">
        <v>0</v>
      </c>
      <c r="D11944" s="13">
        <v>0</v>
      </c>
      <c r="E11944" s="12">
        <v>0</v>
      </c>
      <c r="F11944" s="14">
        <v>0</v>
      </c>
      <c r="G11944" s="13">
        <v>10000000</v>
      </c>
      <c r="H11944" s="14">
        <v>10252685000</v>
      </c>
      <c r="I11944" s="14" t="e">
        <f>=Round(147871.57900000,0)</f>
        <v>#VALUE!</v>
      </c>
      <c r="J11944" s="14" t="e">
        <f>=Round(0.00000000,0)</f>
        <v>#VALUE!</v>
      </c>
    </row>
    <row r="11945">
      <c r="A11945" s="11" t="s">
        <v>35</v>
      </c>
      <c r="B11945" s="12">
        <v>1025.2685</v>
      </c>
      <c r="C11945" s="12">
        <v>0</v>
      </c>
      <c r="D11945" s="13">
        <v>0</v>
      </c>
      <c r="E11945" s="12">
        <v>0</v>
      </c>
      <c r="F11945" s="14">
        <v>0</v>
      </c>
      <c r="G11945" s="13">
        <v>10000000</v>
      </c>
      <c r="H11945" s="14">
        <v>10252685000</v>
      </c>
      <c r="I11945" s="14" t="e">
        <f>=Round(147907.58690000,0)</f>
        <v>#VALUE!</v>
      </c>
      <c r="J11945" s="14" t="e">
        <f>=Round(0.00000000,0)</f>
        <v>#VALUE!</v>
      </c>
    </row>
    <row r="11946">
      <c r="A11946" s="11" t="s">
        <v>36</v>
      </c>
      <c r="B11946" s="12">
        <v>1025.2685</v>
      </c>
      <c r="C11946" s="12">
        <v>0</v>
      </c>
      <c r="D11946" s="13">
        <v>0</v>
      </c>
      <c r="E11946" s="12">
        <v>0</v>
      </c>
      <c r="F11946" s="14">
        <v>0</v>
      </c>
      <c r="G11946" s="13">
        <v>10000000</v>
      </c>
      <c r="H11946" s="14">
        <v>10252685000</v>
      </c>
      <c r="I11946" s="14" t="e">
        <f>=Round(147907.58690000,0)</f>
        <v>#VALUE!</v>
      </c>
      <c r="J11946" s="14" t="e">
        <f>=Round(0.00000000,0)</f>
        <v>#VALUE!</v>
      </c>
    </row>
    <row r="11947">
      <c r="A11947" s="11" t="s">
        <v>37</v>
      </c>
      <c r="B11947" s="12">
        <v>1026.0172</v>
      </c>
      <c r="C11947" s="12">
        <v>0</v>
      </c>
      <c r="D11947" s="13">
        <v>0</v>
      </c>
      <c r="E11947" s="12">
        <v>0</v>
      </c>
      <c r="F11947" s="14">
        <v>0</v>
      </c>
      <c r="G11947" s="13">
        <v>10000000</v>
      </c>
      <c r="H11947" s="14">
        <v>10260172000</v>
      </c>
      <c r="I11947" s="14" t="e">
        <f>=Round(147907.58690000,0)</f>
        <v>#VALUE!</v>
      </c>
      <c r="J11947" s="14" t="e">
        <f>=Round(0.00000000,0)</f>
        <v>#VALUE!</v>
      </c>
    </row>
    <row r="11948">
      <c r="A11948" s="11" t="s">
        <v>38</v>
      </c>
      <c r="B11948" s="12">
        <v>1026.2668</v>
      </c>
      <c r="C11948" s="12">
        <v>0</v>
      </c>
      <c r="D11948" s="13">
        <v>0</v>
      </c>
      <c r="E11948" s="12">
        <v>0</v>
      </c>
      <c r="F11948" s="14">
        <v>0</v>
      </c>
      <c r="G11948" s="13">
        <v>10000000</v>
      </c>
      <c r="H11948" s="14">
        <v>10262668000</v>
      </c>
      <c r="I11948" s="14" t="e">
        <f>=Round(148015.59610000,0)</f>
        <v>#VALUE!</v>
      </c>
      <c r="J11948" s="14" t="e">
        <f>=Round(0.00000000,0)</f>
        <v>#VALUE!</v>
      </c>
    </row>
    <row r="11949">
      <c r="A11949" s="11" t="s">
        <v>39</v>
      </c>
      <c r="B11949" s="12">
        <v>1026.5486</v>
      </c>
      <c r="C11949" s="12">
        <v>0</v>
      </c>
      <c r="D11949" s="13">
        <v>0</v>
      </c>
      <c r="E11949" s="12">
        <v>0</v>
      </c>
      <c r="F11949" s="14">
        <v>0</v>
      </c>
      <c r="G11949" s="13">
        <v>10000000</v>
      </c>
      <c r="H11949" s="14">
        <v>10265486000</v>
      </c>
      <c r="I11949" s="14" t="e">
        <f>=Round(148051.60390000,0)</f>
        <v>#VALUE!</v>
      </c>
      <c r="J11949" s="14" t="e">
        <f>=Round(0.00000000,0)</f>
        <v>#VALUE!</v>
      </c>
    </row>
    <row r="11950">
      <c r="A11950" s="11" t="s">
        <v>40</v>
      </c>
      <c r="B11950" s="12">
        <v>1027.2093</v>
      </c>
      <c r="C11950" s="12">
        <v>0</v>
      </c>
      <c r="D11950" s="13">
        <v>0</v>
      </c>
      <c r="E11950" s="12">
        <v>0</v>
      </c>
      <c r="F11950" s="14">
        <v>0</v>
      </c>
      <c r="G11950" s="13">
        <v>10000000</v>
      </c>
      <c r="H11950" s="14">
        <v>10272093000</v>
      </c>
      <c r="I11950" s="14" t="e">
        <f>=Round(148092.25700000,0)</f>
        <v>#VALUE!</v>
      </c>
      <c r="J11950" s="14" t="e">
        <f>=Round(0.00000000,0)</f>
        <v>#VALUE!</v>
      </c>
    </row>
    <row r="11951">
      <c r="A11951" s="11" t="s">
        <v>41</v>
      </c>
      <c r="B11951" s="12">
        <v>1028.5243</v>
      </c>
      <c r="C11951" s="12">
        <v>0</v>
      </c>
      <c r="D11951" s="13">
        <v>0</v>
      </c>
      <c r="E11951" s="12">
        <v>0</v>
      </c>
      <c r="F11951" s="14">
        <v>0</v>
      </c>
      <c r="G11951" s="13">
        <v>10000000</v>
      </c>
      <c r="H11951" s="14">
        <v>10285243000</v>
      </c>
      <c r="I11951" s="14" t="e">
        <f>=Round(148187.57110000,0)</f>
        <v>#VALUE!</v>
      </c>
      <c r="J11951" s="14" t="e">
        <f>=Round(0.00000000,0)</f>
        <v>#VALUE!</v>
      </c>
    </row>
    <row r="11952">
      <c r="A11952" s="11" t="s">
        <v>42</v>
      </c>
      <c r="B11952" s="12">
        <v>1028.5243</v>
      </c>
      <c r="C11952" s="12">
        <v>0</v>
      </c>
      <c r="D11952" s="13">
        <v>0</v>
      </c>
      <c r="E11952" s="12">
        <v>0</v>
      </c>
      <c r="F11952" s="14">
        <v>0</v>
      </c>
      <c r="G11952" s="13">
        <v>10000000</v>
      </c>
      <c r="H11952" s="14">
        <v>10285243000</v>
      </c>
      <c r="I11952" s="14" t="e">
        <f>=Round(148377.27610000,0)</f>
        <v>#VALUE!</v>
      </c>
      <c r="J11952" s="14" t="e">
        <f>=Round(0.00000000,0)</f>
        <v>#VALUE!</v>
      </c>
    </row>
    <row r="11953">
      <c r="A11953" s="11" t="s">
        <v>43</v>
      </c>
      <c r="B11953" s="12">
        <v>1028.5243</v>
      </c>
      <c r="C11953" s="12">
        <v>0</v>
      </c>
      <c r="D11953" s="13">
        <v>0</v>
      </c>
      <c r="E11953" s="12">
        <v>0</v>
      </c>
      <c r="F11953" s="14">
        <v>0</v>
      </c>
      <c r="G11953" s="13">
        <v>10000000</v>
      </c>
      <c r="H11953" s="14">
        <v>10285243000</v>
      </c>
      <c r="I11953" s="14" t="e">
        <f>=Round(148377.27610000,0)</f>
        <v>#VALUE!</v>
      </c>
      <c r="J11953" s="14" t="e">
        <f>=Round(0.00000000,0)</f>
        <v>#VALUE!</v>
      </c>
    </row>
    <row r="11954">
      <c r="A11954" s="11" t="s">
        <v>44</v>
      </c>
      <c r="B11954" s="12">
        <v>1029.9499</v>
      </c>
      <c r="C11954" s="12">
        <v>0</v>
      </c>
      <c r="D11954" s="13">
        <v>0</v>
      </c>
      <c r="E11954" s="12">
        <v>0</v>
      </c>
      <c r="F11954" s="14">
        <v>0</v>
      </c>
      <c r="G11954" s="13">
        <v>10000000</v>
      </c>
      <c r="H11954" s="14">
        <v>10299499000</v>
      </c>
      <c r="I11954" s="14" t="e">
        <f>=Round(148377.27610000,0)</f>
        <v>#VALUE!</v>
      </c>
      <c r="J11954" s="14" t="e">
        <f>=Round(0.00000000,0)</f>
        <v>#VALUE!</v>
      </c>
    </row>
    <row r="11955">
      <c r="A11955" s="11" t="s">
        <v>45</v>
      </c>
      <c r="B11955" s="12">
        <v>1030.2041</v>
      </c>
      <c r="C11955" s="12">
        <v>0</v>
      </c>
      <c r="D11955" s="13">
        <v>0</v>
      </c>
      <c r="E11955" s="12">
        <v>0</v>
      </c>
      <c r="F11955" s="14">
        <v>0</v>
      </c>
      <c r="G11955" s="13">
        <v>10000000</v>
      </c>
      <c r="H11955" s="14">
        <v>10302041000</v>
      </c>
      <c r="I11955" s="14" t="e">
        <f>=Round(148582.93640000,0)</f>
        <v>#VALUE!</v>
      </c>
      <c r="J11955" s="14" t="e">
        <f>=Round(0.00000000,0)</f>
        <v>#VALUE!</v>
      </c>
    </row>
    <row r="11956">
      <c r="A11956" s="11" t="s">
        <v>46</v>
      </c>
      <c r="B11956" s="12">
        <v>1030.8477</v>
      </c>
      <c r="C11956" s="12">
        <v>0</v>
      </c>
      <c r="D11956" s="13">
        <v>0</v>
      </c>
      <c r="E11956" s="12">
        <v>0</v>
      </c>
      <c r="F11956" s="14">
        <v>0</v>
      </c>
      <c r="G11956" s="13">
        <v>10000000</v>
      </c>
      <c r="H11956" s="14">
        <v>10308477000</v>
      </c>
      <c r="I11956" s="14" t="e">
        <f>=Round(148619.60790000,0)</f>
        <v>#VALUE!</v>
      </c>
      <c r="J11956" s="14" t="e">
        <f>=Round(0.00000000,0)</f>
        <v>#VALUE!</v>
      </c>
    </row>
    <row r="11957">
      <c r="A11957" s="11" t="s">
        <v>47</v>
      </c>
      <c r="B11957" s="12">
        <v>1031.0973</v>
      </c>
      <c r="C11957" s="12">
        <v>0</v>
      </c>
      <c r="D11957" s="13">
        <v>0</v>
      </c>
      <c r="E11957" s="12">
        <v>0</v>
      </c>
      <c r="F11957" s="14">
        <v>0</v>
      </c>
      <c r="G11957" s="13">
        <v>10000000</v>
      </c>
      <c r="H11957" s="14">
        <v>10310973000</v>
      </c>
      <c r="I11957" s="14" t="e">
        <f>=Round(148712.45510000,0)</f>
        <v>#VALUE!</v>
      </c>
      <c r="J11957" s="14" t="e">
        <f>=Round(0.00000000,0)</f>
        <v>#VALUE!</v>
      </c>
    </row>
    <row r="11958">
      <c r="A11958" s="11" t="s">
        <v>48</v>
      </c>
      <c r="B11958" s="12">
        <v>1031.5106</v>
      </c>
      <c r="C11958" s="12">
        <v>0</v>
      </c>
      <c r="D11958" s="13">
        <v>0</v>
      </c>
      <c r="E11958" s="12">
        <v>0</v>
      </c>
      <c r="F11958" s="14">
        <v>0</v>
      </c>
      <c r="G11958" s="13">
        <v>10000000</v>
      </c>
      <c r="H11958" s="14">
        <v>10315106000</v>
      </c>
      <c r="I11958" s="14" t="e">
        <f>=Round(148748.46300000,0)</f>
        <v>#VALUE!</v>
      </c>
      <c r="J11958" s="14" t="e">
        <f>=Round(0.00000000,0)</f>
        <v>#VALUE!</v>
      </c>
    </row>
    <row r="11959">
      <c r="A11959" s="11" t="s">
        <v>49</v>
      </c>
      <c r="B11959" s="12">
        <v>1031.5106</v>
      </c>
      <c r="C11959" s="12">
        <v>0</v>
      </c>
      <c r="D11959" s="13">
        <v>0</v>
      </c>
      <c r="E11959" s="12">
        <v>0</v>
      </c>
      <c r="F11959" s="14">
        <v>0</v>
      </c>
      <c r="G11959" s="13">
        <v>10000000</v>
      </c>
      <c r="H11959" s="14">
        <v>10315106000</v>
      </c>
      <c r="I11959" s="14" t="e">
        <f>=Round(148808.08660000,0)</f>
        <v>#VALUE!</v>
      </c>
      <c r="J11959" s="14" t="e">
        <f>=Round(0.00000000,0)</f>
        <v>#VALUE!</v>
      </c>
    </row>
    <row r="11960">
      <c r="A11960" s="11" t="s">
        <v>50</v>
      </c>
      <c r="B11960" s="12">
        <v>1031.5106</v>
      </c>
      <c r="C11960" s="12">
        <v>0</v>
      </c>
      <c r="D11960" s="13">
        <v>0</v>
      </c>
      <c r="E11960" s="12">
        <v>0</v>
      </c>
      <c r="F11960" s="14">
        <v>0</v>
      </c>
      <c r="G11960" s="13">
        <v>10000000</v>
      </c>
      <c r="H11960" s="14">
        <v>10315106000</v>
      </c>
      <c r="I11960" s="14" t="e">
        <f>=Round(148808.08660000,0)</f>
        <v>#VALUE!</v>
      </c>
      <c r="J11960" s="14" t="e">
        <f>=Round(0.00000000,0)</f>
        <v>#VALUE!</v>
      </c>
    </row>
    <row r="11961">
      <c r="A11961" s="11" t="s">
        <v>51</v>
      </c>
      <c r="B11961" s="12">
        <v>1032.3042</v>
      </c>
      <c r="C11961" s="12">
        <v>0</v>
      </c>
      <c r="D11961" s="13">
        <v>0</v>
      </c>
      <c r="E11961" s="12">
        <v>0</v>
      </c>
      <c r="F11961" s="14">
        <v>0</v>
      </c>
      <c r="G11961" s="13">
        <v>10000000</v>
      </c>
      <c r="H11961" s="14">
        <v>10323042000</v>
      </c>
      <c r="I11961" s="14" t="e">
        <f>=Round(148808.08660000,0)</f>
        <v>#VALUE!</v>
      </c>
      <c r="J11961" s="14" t="e">
        <f>=Round(0.00000000,0)</f>
        <v>#VALUE!</v>
      </c>
    </row>
    <row r="11962">
      <c r="A11962" s="11" t="s">
        <v>52</v>
      </c>
      <c r="B11962" s="12">
        <v>1011.0982</v>
      </c>
      <c r="C11962" s="12">
        <v>0</v>
      </c>
      <c r="D11962" s="13">
        <v>0</v>
      </c>
      <c r="E11962" s="12">
        <v>0</v>
      </c>
      <c r="F11962" s="14">
        <v>0</v>
      </c>
      <c r="G11962" s="13">
        <v>10000000</v>
      </c>
      <c r="H11962" s="14">
        <v>10110982000</v>
      </c>
      <c r="I11962" s="14" t="e">
        <f>=Round(148922.57310000,0)</f>
        <v>#VALUE!</v>
      </c>
      <c r="J11962" s="14" t="e">
        <f>=Round(0.00000000,0)</f>
        <v>#VALUE!</v>
      </c>
    </row>
    <row r="11963">
      <c r="A11963" s="11" t="s">
        <v>53</v>
      </c>
      <c r="B11963" s="12">
        <v>1011.358</v>
      </c>
      <c r="C11963" s="12">
        <v>0</v>
      </c>
      <c r="D11963" s="13">
        <v>0</v>
      </c>
      <c r="E11963" s="12">
        <v>0</v>
      </c>
      <c r="F11963" s="14">
        <v>0</v>
      </c>
      <c r="G11963" s="13">
        <v>10000000</v>
      </c>
      <c r="H11963" s="14">
        <v>10113580000</v>
      </c>
      <c r="I11963" s="14" t="e">
        <f>=Round(145863.34690000,0)</f>
        <v>#VALUE!</v>
      </c>
      <c r="J11963" s="14" t="e">
        <f>=Round(0.00000000,0)</f>
        <v>#VALUE!</v>
      </c>
    </row>
    <row r="11964">
      <c r="A11964" s="11" t="s">
        <v>54</v>
      </c>
      <c r="B11964" s="12">
        <v>1011.6165</v>
      </c>
      <c r="C11964" s="12">
        <v>0</v>
      </c>
      <c r="D11964" s="13">
        <v>0</v>
      </c>
      <c r="E11964" s="12">
        <v>0</v>
      </c>
      <c r="F11964" s="14">
        <v>0</v>
      </c>
      <c r="G11964" s="13">
        <v>10000000</v>
      </c>
      <c r="H11964" s="14">
        <v>10116165000</v>
      </c>
      <c r="I11964" s="14" t="e">
        <f>=Round(145900.82620000,0)</f>
        <v>#VALUE!</v>
      </c>
      <c r="J11964" s="14" t="e">
        <f>=Round(0.00000000,0)</f>
        <v>#VALUE!</v>
      </c>
    </row>
    <row r="11965">
      <c r="A11965" s="11" t="s">
        <v>55</v>
      </c>
      <c r="B11965" s="12">
        <v>1011.8832</v>
      </c>
      <c r="C11965" s="12">
        <v>0</v>
      </c>
      <c r="D11965" s="13">
        <v>0</v>
      </c>
      <c r="E11965" s="12">
        <v>0</v>
      </c>
      <c r="F11965" s="14">
        <v>0</v>
      </c>
      <c r="G11965" s="13">
        <v>10000000</v>
      </c>
      <c r="H11965" s="14">
        <v>10118832000</v>
      </c>
      <c r="I11965" s="14" t="e">
        <f>=Round(145938.11800000,0)</f>
        <v>#VALUE!</v>
      </c>
      <c r="J11965" s="14" t="e">
        <f>=Round(0.00000000,0)</f>
        <v>#VALUE!</v>
      </c>
    </row>
    <row r="11966" ht="-1">
      <c r="A11966" s="15"/>
      <c r="B11966" s="16" t="s">
        <v>56</v>
      </c>
      <c r="C11966" s="15"/>
      <c r="D11966" s="15"/>
      <c r="E11966" s="15"/>
      <c r="F11966" s="15"/>
      <c r="G11966" s="15"/>
      <c r="H11966" s="15"/>
      <c r="I11966" s="17" t="e">
        <f>=Round(SUM(I11940:I11965),0)</f>
        <v>#VALUE!</v>
      </c>
      <c r="J11966" s="17" t="e">
        <f>=Round(SUM(J11940:J11965),0)</f>
        <v>#VALUE!</v>
      </c>
    </row>
    <row r="11967">
      <c r="A11967" s="1" t="s">
        <v>0</v>
      </c>
      <c r="B11967" s="1"/>
      <c r="C11967" s="1"/>
      <c r="D11967" s="1"/>
    </row>
    <row r="11968">
      <c r="A11968" s="0" t="s">
        <v>1</v>
      </c>
      <c r="C11968" s="0" t="s">
        <v>409</v>
      </c>
      <c r="H11968" s="2" t="s">
        <v>3</v>
      </c>
    </row>
    <row r="11969">
      <c r="A11969" s="0" t="s">
        <v>4</v>
      </c>
      <c r="C11969" s="0" t="s">
        <v>127</v>
      </c>
      <c r="H11969" s="3" t="s">
        <v>6</v>
      </c>
    </row>
    <row r="11970">
      <c r="A11970" s="0" t="s">
        <v>7</v>
      </c>
      <c r="C11970" s="4" t="s">
        <v>410</v>
      </c>
      <c r="H11970" s="2" t="s">
        <v>9</v>
      </c>
    </row>
    <row r="11971">
      <c r="A11971" s="0" t="s">
        <v>10</v>
      </c>
      <c r="C11971" s="4" t="s">
        <v>124</v>
      </c>
      <c r="H11971" s="2" t="s">
        <v>12</v>
      </c>
    </row>
    <row r="11972">
      <c r="A11972" s="0" t="s">
        <v>13</v>
      </c>
      <c r="C11972" s="0" t="s">
        <v>14</v>
      </c>
    </row>
    <row r="11973">
      <c r="A11973" s="0" t="s">
        <v>15</v>
      </c>
      <c r="C11973" s="0" t="s">
        <v>16</v>
      </c>
    </row>
    <row r="11974">
      <c r="A11974" s="0" t="s">
        <v>17</v>
      </c>
      <c r="C11974" s="0" t="s">
        <v>18</v>
      </c>
    </row>
    <row r="11977">
      <c r="A11977" s="5" t="s">
        <v>19</v>
      </c>
      <c r="B11977" s="5" t="s">
        <v>20</v>
      </c>
      <c r="C11977" s="7" t="s">
        <v>21</v>
      </c>
      <c r="D11977" s="9"/>
      <c r="E11977" s="7" t="s">
        <v>22</v>
      </c>
      <c r="F11977" s="9"/>
      <c r="G11977" s="5" t="s">
        <v>23</v>
      </c>
      <c r="H11977" s="5" t="s">
        <v>24</v>
      </c>
      <c r="I11977" s="5" t="s">
        <v>411</v>
      </c>
      <c r="J11977" s="5" t="s">
        <v>125</v>
      </c>
    </row>
    <row r="11978">
      <c r="A11978" s="6"/>
      <c r="B11978" s="6"/>
      <c r="C11978" s="8" t="s">
        <v>27</v>
      </c>
      <c r="D11978" s="8" t="s">
        <v>28</v>
      </c>
      <c r="E11978" s="8" t="s">
        <v>27</v>
      </c>
      <c r="F11978" s="8" t="s">
        <v>28</v>
      </c>
      <c r="G11978" s="6"/>
      <c r="H11978" s="6"/>
      <c r="I11978" s="10" t="s">
        <v>29</v>
      </c>
      <c r="J11978" s="6"/>
    </row>
    <row r="11979">
      <c r="A11979" s="11" t="s">
        <v>30</v>
      </c>
      <c r="B11979" s="12">
        <v>1023.8296</v>
      </c>
      <c r="C11979" s="12">
        <v>0</v>
      </c>
      <c r="D11979" s="13">
        <v>0</v>
      </c>
      <c r="E11979" s="12">
        <v>0</v>
      </c>
      <c r="F11979" s="14">
        <v>0</v>
      </c>
      <c r="G11979" s="13">
        <v>213865</v>
      </c>
      <c r="H11979" s="14">
        <v>218961317.404</v>
      </c>
      <c r="I11979" s="14" t="e">
        <f>=Round(3156.47540000,0)</f>
        <v>#VALUE!</v>
      </c>
      <c r="J11979" s="14" t="e">
        <f>=Round(1434.76010000,0)</f>
        <v>#VALUE!</v>
      </c>
    </row>
    <row r="11980">
      <c r="A11980" s="11" t="s">
        <v>31</v>
      </c>
      <c r="B11980" s="12">
        <v>1024.079</v>
      </c>
      <c r="C11980" s="12">
        <v>0</v>
      </c>
      <c r="D11980" s="13">
        <v>0</v>
      </c>
      <c r="E11980" s="12">
        <v>0</v>
      </c>
      <c r="F11980" s="14">
        <v>0</v>
      </c>
      <c r="G11980" s="13">
        <v>213865</v>
      </c>
      <c r="H11980" s="14">
        <v>219014655.335</v>
      </c>
      <c r="I11980" s="14" t="e">
        <f>=Round(3158.78620000,0)</f>
        <v>#VALUE!</v>
      </c>
      <c r="J11980" s="14" t="e">
        <f>=Round(1435.81050000,0)</f>
        <v>#VALUE!</v>
      </c>
    </row>
    <row r="11981">
      <c r="A11981" s="11" t="s">
        <v>32</v>
      </c>
      <c r="B11981" s="12">
        <v>1024.3281</v>
      </c>
      <c r="C11981" s="12">
        <v>0</v>
      </c>
      <c r="D11981" s="13">
        <v>0</v>
      </c>
      <c r="E11981" s="12">
        <v>0</v>
      </c>
      <c r="F11981" s="14">
        <v>0</v>
      </c>
      <c r="G11981" s="13">
        <v>213865</v>
      </c>
      <c r="H11981" s="14">
        <v>219067929.1065</v>
      </c>
      <c r="I11981" s="14" t="e">
        <f>=Round(3159.55570000,0)</f>
        <v>#VALUE!</v>
      </c>
      <c r="J11981" s="14" t="e">
        <f>=Round(1436.16020000,0)</f>
        <v>#VALUE!</v>
      </c>
    </row>
    <row r="11982">
      <c r="A11982" s="11" t="s">
        <v>33</v>
      </c>
      <c r="B11982" s="12">
        <v>1025.0189</v>
      </c>
      <c r="C11982" s="12">
        <v>0</v>
      </c>
      <c r="D11982" s="13">
        <v>0</v>
      </c>
      <c r="E11982" s="12">
        <v>0</v>
      </c>
      <c r="F11982" s="14">
        <v>0</v>
      </c>
      <c r="G11982" s="13">
        <v>213865</v>
      </c>
      <c r="H11982" s="14">
        <v>219215667.0485</v>
      </c>
      <c r="I11982" s="14" t="e">
        <f>=Round(3160.32420000,0)</f>
        <v>#VALUE!</v>
      </c>
      <c r="J11982" s="14" t="e">
        <f>=Round(1436.50960000,0)</f>
        <v>#VALUE!</v>
      </c>
    </row>
    <row r="11983">
      <c r="A11983" s="11" t="s">
        <v>34</v>
      </c>
      <c r="B11983" s="12">
        <v>1025.2685</v>
      </c>
      <c r="C11983" s="12">
        <v>0</v>
      </c>
      <c r="D11983" s="13">
        <v>0</v>
      </c>
      <c r="E11983" s="12">
        <v>0</v>
      </c>
      <c r="F11983" s="14">
        <v>0</v>
      </c>
      <c r="G11983" s="13">
        <v>213865</v>
      </c>
      <c r="H11983" s="14">
        <v>219269047.7525</v>
      </c>
      <c r="I11983" s="14" t="e">
        <f>=Round(3162.45550000,0)</f>
        <v>#VALUE!</v>
      </c>
      <c r="J11983" s="14" t="e">
        <f>=Round(1437.47830000,0)</f>
        <v>#VALUE!</v>
      </c>
    </row>
    <row r="11984">
      <c r="A11984" s="11" t="s">
        <v>35</v>
      </c>
      <c r="B11984" s="12">
        <v>1025.2685</v>
      </c>
      <c r="C11984" s="12">
        <v>0</v>
      </c>
      <c r="D11984" s="13">
        <v>0</v>
      </c>
      <c r="E11984" s="12">
        <v>0</v>
      </c>
      <c r="F11984" s="14">
        <v>0</v>
      </c>
      <c r="G11984" s="13">
        <v>213865</v>
      </c>
      <c r="H11984" s="14">
        <v>219269047.7525</v>
      </c>
      <c r="I11984" s="14" t="e">
        <f>=Round(3163.22560000,0)</f>
        <v>#VALUE!</v>
      </c>
      <c r="J11984" s="14" t="e">
        <f>=Round(1437.82840000,0)</f>
        <v>#VALUE!</v>
      </c>
    </row>
    <row r="11985">
      <c r="A11985" s="11" t="s">
        <v>36</v>
      </c>
      <c r="B11985" s="12">
        <v>1025.2685</v>
      </c>
      <c r="C11985" s="12">
        <v>0</v>
      </c>
      <c r="D11985" s="13">
        <v>0</v>
      </c>
      <c r="E11985" s="12">
        <v>0</v>
      </c>
      <c r="F11985" s="14">
        <v>0</v>
      </c>
      <c r="G11985" s="13">
        <v>213865</v>
      </c>
      <c r="H11985" s="14">
        <v>219269047.7525</v>
      </c>
      <c r="I11985" s="14" t="e">
        <f>=Round(3163.22560000,0)</f>
        <v>#VALUE!</v>
      </c>
      <c r="J11985" s="14" t="e">
        <f>=Round(1437.82840000,0)</f>
        <v>#VALUE!</v>
      </c>
    </row>
    <row r="11986">
      <c r="A11986" s="11" t="s">
        <v>37</v>
      </c>
      <c r="B11986" s="12">
        <v>1026.0172</v>
      </c>
      <c r="C11986" s="12">
        <v>0</v>
      </c>
      <c r="D11986" s="13">
        <v>0</v>
      </c>
      <c r="E11986" s="12">
        <v>0</v>
      </c>
      <c r="F11986" s="14">
        <v>0</v>
      </c>
      <c r="G11986" s="13">
        <v>213865</v>
      </c>
      <c r="H11986" s="14">
        <v>219429168.478</v>
      </c>
      <c r="I11986" s="14" t="e">
        <f>=Round(3163.22560000,0)</f>
        <v>#VALUE!</v>
      </c>
      <c r="J11986" s="14" t="e">
        <f>=Round(1437.82840000,0)</f>
        <v>#VALUE!</v>
      </c>
    </row>
    <row r="11987">
      <c r="A11987" s="11" t="s">
        <v>38</v>
      </c>
      <c r="B11987" s="12">
        <v>1026.2668</v>
      </c>
      <c r="C11987" s="12">
        <v>0</v>
      </c>
      <c r="D11987" s="13">
        <v>0</v>
      </c>
      <c r="E11987" s="12">
        <v>0</v>
      </c>
      <c r="F11987" s="14">
        <v>0</v>
      </c>
      <c r="G11987" s="13">
        <v>213865</v>
      </c>
      <c r="H11987" s="14">
        <v>219482549.182</v>
      </c>
      <c r="I11987" s="14" t="e">
        <f>=Round(3165.53550000,0)</f>
        <v>#VALUE!</v>
      </c>
      <c r="J11987" s="14" t="e">
        <f>=Round(1438.87840000,0)</f>
        <v>#VALUE!</v>
      </c>
    </row>
    <row r="11988">
      <c r="A11988" s="11" t="s">
        <v>39</v>
      </c>
      <c r="B11988" s="12">
        <v>1026.5486</v>
      </c>
      <c r="C11988" s="12">
        <v>0</v>
      </c>
      <c r="D11988" s="13">
        <v>0</v>
      </c>
      <c r="E11988" s="12">
        <v>0</v>
      </c>
      <c r="F11988" s="14">
        <v>0</v>
      </c>
      <c r="G11988" s="13">
        <v>213865</v>
      </c>
      <c r="H11988" s="14">
        <v>219542816.339</v>
      </c>
      <c r="I11988" s="14" t="e">
        <f>=Round(3166.30560000,0)</f>
        <v>#VALUE!</v>
      </c>
      <c r="J11988" s="14" t="e">
        <f>=Round(1439.22840000,0)</f>
        <v>#VALUE!</v>
      </c>
    </row>
    <row r="11989">
      <c r="A11989" s="11" t="s">
        <v>40</v>
      </c>
      <c r="B11989" s="12">
        <v>1027.2093</v>
      </c>
      <c r="C11989" s="12">
        <v>0</v>
      </c>
      <c r="D11989" s="13">
        <v>0</v>
      </c>
      <c r="E11989" s="12">
        <v>0</v>
      </c>
      <c r="F11989" s="14">
        <v>0</v>
      </c>
      <c r="G11989" s="13">
        <v>213865</v>
      </c>
      <c r="H11989" s="14">
        <v>219684116.9445</v>
      </c>
      <c r="I11989" s="14" t="e">
        <f>=Round(3167.17510000,0)</f>
        <v>#VALUE!</v>
      </c>
      <c r="J11989" s="14" t="e">
        <f>=Round(1439.62360000,0)</f>
        <v>#VALUE!</v>
      </c>
    </row>
    <row r="11990">
      <c r="A11990" s="11" t="s">
        <v>41</v>
      </c>
      <c r="B11990" s="12">
        <v>1028.5243</v>
      </c>
      <c r="C11990" s="12">
        <v>0</v>
      </c>
      <c r="D11990" s="13">
        <v>0</v>
      </c>
      <c r="E11990" s="12">
        <v>0</v>
      </c>
      <c r="F11990" s="14">
        <v>0</v>
      </c>
      <c r="G11990" s="13">
        <v>213865</v>
      </c>
      <c r="H11990" s="14">
        <v>219965349.4195</v>
      </c>
      <c r="I11990" s="14" t="e">
        <f>=Round(3169.21350000,0)</f>
        <v>#VALUE!</v>
      </c>
      <c r="J11990" s="14" t="e">
        <f>=Round(1440.55010000,0)</f>
        <v>#VALUE!</v>
      </c>
    </row>
    <row r="11991">
      <c r="A11991" s="11" t="s">
        <v>42</v>
      </c>
      <c r="B11991" s="12">
        <v>1028.5243</v>
      </c>
      <c r="C11991" s="12">
        <v>0</v>
      </c>
      <c r="D11991" s="13">
        <v>0</v>
      </c>
      <c r="E11991" s="12">
        <v>0</v>
      </c>
      <c r="F11991" s="14">
        <v>0</v>
      </c>
      <c r="G11991" s="13">
        <v>213865</v>
      </c>
      <c r="H11991" s="14">
        <v>219965349.4195</v>
      </c>
      <c r="I11991" s="14" t="e">
        <f>=Round(3173.27060000,0)</f>
        <v>#VALUE!</v>
      </c>
      <c r="J11991" s="14" t="e">
        <f>=Round(1442.39430000,0)</f>
        <v>#VALUE!</v>
      </c>
    </row>
    <row r="11992">
      <c r="A11992" s="11" t="s">
        <v>43</v>
      </c>
      <c r="B11992" s="12">
        <v>1028.5243</v>
      </c>
      <c r="C11992" s="12">
        <v>0</v>
      </c>
      <c r="D11992" s="13">
        <v>0</v>
      </c>
      <c r="E11992" s="12">
        <v>0</v>
      </c>
      <c r="F11992" s="14">
        <v>0</v>
      </c>
      <c r="G11992" s="13">
        <v>213865</v>
      </c>
      <c r="H11992" s="14">
        <v>219965349.4195</v>
      </c>
      <c r="I11992" s="14" t="e">
        <f>=Round(3173.27060000,0)</f>
        <v>#VALUE!</v>
      </c>
      <c r="J11992" s="14" t="e">
        <f>=Round(1442.39430000,0)</f>
        <v>#VALUE!</v>
      </c>
    </row>
    <row r="11993">
      <c r="A11993" s="11" t="s">
        <v>44</v>
      </c>
      <c r="B11993" s="12">
        <v>1029.9499</v>
      </c>
      <c r="C11993" s="12">
        <v>0</v>
      </c>
      <c r="D11993" s="13">
        <v>0</v>
      </c>
      <c r="E11993" s="12">
        <v>0</v>
      </c>
      <c r="F11993" s="14">
        <v>0</v>
      </c>
      <c r="G11993" s="13">
        <v>213865</v>
      </c>
      <c r="H11993" s="14">
        <v>220270235.3635</v>
      </c>
      <c r="I11993" s="14" t="e">
        <f>=Round(3173.27060000,0)</f>
        <v>#VALUE!</v>
      </c>
      <c r="J11993" s="14" t="e">
        <f>=Round(1442.39430000,0)</f>
        <v>#VALUE!</v>
      </c>
    </row>
    <row r="11994">
      <c r="A11994" s="11" t="s">
        <v>45</v>
      </c>
      <c r="B11994" s="12">
        <v>1030.2041</v>
      </c>
      <c r="C11994" s="12">
        <v>0</v>
      </c>
      <c r="D11994" s="13">
        <v>0</v>
      </c>
      <c r="E11994" s="12">
        <v>0</v>
      </c>
      <c r="F11994" s="14">
        <v>0</v>
      </c>
      <c r="G11994" s="13">
        <v>213865</v>
      </c>
      <c r="H11994" s="14">
        <v>220324599.8465</v>
      </c>
      <c r="I11994" s="14" t="e">
        <f>=Round(3177.66900000,0)</f>
        <v>#VALUE!</v>
      </c>
      <c r="J11994" s="14" t="e">
        <f>=Round(1444.39350000,0)</f>
        <v>#VALUE!</v>
      </c>
    </row>
    <row r="11995">
      <c r="A11995" s="11" t="s">
        <v>46</v>
      </c>
      <c r="B11995" s="12">
        <v>1030.8477</v>
      </c>
      <c r="C11995" s="12">
        <v>0</v>
      </c>
      <c r="D11995" s="13">
        <v>0</v>
      </c>
      <c r="E11995" s="12">
        <v>0</v>
      </c>
      <c r="F11995" s="14">
        <v>0</v>
      </c>
      <c r="G11995" s="13">
        <v>213865</v>
      </c>
      <c r="H11995" s="14">
        <v>220462243.3605</v>
      </c>
      <c r="I11995" s="14" t="e">
        <f>=Round(3178.45320000,0)</f>
        <v>#VALUE!</v>
      </c>
      <c r="J11995" s="14" t="e">
        <f>=Round(1444.75000000,0)</f>
        <v>#VALUE!</v>
      </c>
    </row>
    <row r="11996">
      <c r="A11996" s="11" t="s">
        <v>47</v>
      </c>
      <c r="B11996" s="12">
        <v>1031.0973</v>
      </c>
      <c r="C11996" s="12">
        <v>0</v>
      </c>
      <c r="D11996" s="13">
        <v>0</v>
      </c>
      <c r="E11996" s="12">
        <v>0</v>
      </c>
      <c r="F11996" s="14">
        <v>0</v>
      </c>
      <c r="G11996" s="13">
        <v>213865</v>
      </c>
      <c r="H11996" s="14">
        <v>220515624.0645</v>
      </c>
      <c r="I11996" s="14" t="e">
        <f>=Round(3180.43890000,0)</f>
        <v>#VALUE!</v>
      </c>
      <c r="J11996" s="14" t="e">
        <f>=Round(1445.65260000,0)</f>
        <v>#VALUE!</v>
      </c>
    </row>
    <row r="11997">
      <c r="A11997" s="11" t="s">
        <v>48</v>
      </c>
      <c r="B11997" s="12">
        <v>1031.5106</v>
      </c>
      <c r="C11997" s="12">
        <v>0</v>
      </c>
      <c r="D11997" s="13">
        <v>0</v>
      </c>
      <c r="E11997" s="12">
        <v>0</v>
      </c>
      <c r="F11997" s="14">
        <v>0</v>
      </c>
      <c r="G11997" s="13">
        <v>213865</v>
      </c>
      <c r="H11997" s="14">
        <v>220604014.469</v>
      </c>
      <c r="I11997" s="14" t="e">
        <f>=Round(3181.20900000,0)</f>
        <v>#VALUE!</v>
      </c>
      <c r="J11997" s="14" t="e">
        <f>=Round(1446.00260000,0)</f>
        <v>#VALUE!</v>
      </c>
    </row>
    <row r="11998">
      <c r="A11998" s="11" t="s">
        <v>49</v>
      </c>
      <c r="B11998" s="12">
        <v>1031.5106</v>
      </c>
      <c r="C11998" s="12">
        <v>0</v>
      </c>
      <c r="D11998" s="13">
        <v>0</v>
      </c>
      <c r="E11998" s="12">
        <v>0</v>
      </c>
      <c r="F11998" s="14">
        <v>0</v>
      </c>
      <c r="G11998" s="13">
        <v>213865</v>
      </c>
      <c r="H11998" s="14">
        <v>220604014.469</v>
      </c>
      <c r="I11998" s="14" t="e">
        <f>=Round(3182.48410000,0)</f>
        <v>#VALUE!</v>
      </c>
      <c r="J11998" s="14" t="e">
        <f>=Round(1446.58230000,0)</f>
        <v>#VALUE!</v>
      </c>
    </row>
    <row r="11999">
      <c r="A11999" s="11" t="s">
        <v>50</v>
      </c>
      <c r="B11999" s="12">
        <v>1031.5106</v>
      </c>
      <c r="C11999" s="12">
        <v>0</v>
      </c>
      <c r="D11999" s="13">
        <v>0</v>
      </c>
      <c r="E11999" s="12">
        <v>0</v>
      </c>
      <c r="F11999" s="14">
        <v>0</v>
      </c>
      <c r="G11999" s="13">
        <v>213865</v>
      </c>
      <c r="H11999" s="14">
        <v>220604014.469</v>
      </c>
      <c r="I11999" s="14" t="e">
        <f>=Round(3182.48410000,0)</f>
        <v>#VALUE!</v>
      </c>
      <c r="J11999" s="14" t="e">
        <f>=Round(1446.58230000,0)</f>
        <v>#VALUE!</v>
      </c>
    </row>
    <row r="12000">
      <c r="A12000" s="11" t="s">
        <v>51</v>
      </c>
      <c r="B12000" s="12">
        <v>1032.3042</v>
      </c>
      <c r="C12000" s="12">
        <v>0</v>
      </c>
      <c r="D12000" s="13">
        <v>0</v>
      </c>
      <c r="E12000" s="12">
        <v>0</v>
      </c>
      <c r="F12000" s="14">
        <v>0</v>
      </c>
      <c r="G12000" s="13">
        <v>213865</v>
      </c>
      <c r="H12000" s="14">
        <v>220773737.733</v>
      </c>
      <c r="I12000" s="14" t="e">
        <f>=Round(3182.48410000,0)</f>
        <v>#VALUE!</v>
      </c>
      <c r="J12000" s="14" t="e">
        <f>=Round(1446.58230000,0)</f>
        <v>#VALUE!</v>
      </c>
    </row>
    <row r="12001">
      <c r="A12001" s="11" t="s">
        <v>52</v>
      </c>
      <c r="B12001" s="12">
        <v>1011.0982</v>
      </c>
      <c r="C12001" s="12">
        <v>0</v>
      </c>
      <c r="D12001" s="13">
        <v>0</v>
      </c>
      <c r="E12001" s="12">
        <v>0</v>
      </c>
      <c r="F12001" s="14">
        <v>0</v>
      </c>
      <c r="G12001" s="13">
        <v>213865</v>
      </c>
      <c r="H12001" s="14">
        <v>216238516.543</v>
      </c>
      <c r="I12001" s="14" t="e">
        <f>=Round(3184.93260000,0)</f>
        <v>#VALUE!</v>
      </c>
      <c r="J12001" s="14" t="e">
        <f>=Round(1447.69520000,0)</f>
        <v>#VALUE!</v>
      </c>
    </row>
    <row r="12002">
      <c r="A12002" s="11" t="s">
        <v>53</v>
      </c>
      <c r="B12002" s="12">
        <v>1011.358</v>
      </c>
      <c r="C12002" s="12">
        <v>0</v>
      </c>
      <c r="D12002" s="13">
        <v>0</v>
      </c>
      <c r="E12002" s="12">
        <v>0</v>
      </c>
      <c r="F12002" s="14">
        <v>0</v>
      </c>
      <c r="G12002" s="13">
        <v>213865</v>
      </c>
      <c r="H12002" s="14">
        <v>216294078.67</v>
      </c>
      <c r="I12002" s="14" t="e">
        <f>=Round(3119.50650000,0)</f>
        <v>#VALUE!</v>
      </c>
      <c r="J12002" s="14" t="e">
        <f>=Round(1417.95610000,0)</f>
        <v>#VALUE!</v>
      </c>
    </row>
    <row r="12003">
      <c r="A12003" s="11" t="s">
        <v>54</v>
      </c>
      <c r="B12003" s="12">
        <v>1011.6165</v>
      </c>
      <c r="C12003" s="12">
        <v>0</v>
      </c>
      <c r="D12003" s="13">
        <v>0</v>
      </c>
      <c r="E12003" s="12">
        <v>1005</v>
      </c>
      <c r="F12003" s="14">
        <v>1016675</v>
      </c>
      <c r="G12003" s="13">
        <v>213865</v>
      </c>
      <c r="H12003" s="14">
        <v>216349362.7725</v>
      </c>
      <c r="I12003" s="14" t="e">
        <f>=Round(3120.30800000,0)</f>
        <v>#VALUE!</v>
      </c>
      <c r="J12003" s="14" t="e">
        <f>=Round(1418.32040000,0)</f>
        <v>#VALUE!</v>
      </c>
    </row>
    <row r="12004">
      <c r="A12004" s="11" t="s">
        <v>55</v>
      </c>
      <c r="B12004" s="12">
        <v>1011.8832</v>
      </c>
      <c r="C12004" s="12">
        <v>0</v>
      </c>
      <c r="D12004" s="13">
        <v>0</v>
      </c>
      <c r="E12004" s="12">
        <v>0</v>
      </c>
      <c r="F12004" s="14">
        <v>0</v>
      </c>
      <c r="G12004" s="13">
        <v>212860</v>
      </c>
      <c r="H12004" s="14">
        <v>215389457.952</v>
      </c>
      <c r="I12004" s="14" t="e">
        <f>=Round(3121.10560000,0)</f>
        <v>#VALUE!</v>
      </c>
      <c r="J12004" s="14" t="e">
        <f>=Round(1418.68290000,0)</f>
        <v>#VALUE!</v>
      </c>
    </row>
    <row r="12005" ht="-1">
      <c r="A12005" s="15"/>
      <c r="B12005" s="16" t="s">
        <v>56</v>
      </c>
      <c r="C12005" s="15"/>
      <c r="D12005" s="15"/>
      <c r="E12005" s="15"/>
      <c r="F12005" s="15"/>
      <c r="G12005" s="15"/>
      <c r="H12005" s="15"/>
      <c r="I12005" s="17" t="e">
        <f>=Round(SUM(I11979:I12004),0)</f>
        <v>#VALUE!</v>
      </c>
      <c r="J12005" s="17" t="e">
        <f>=Round(SUM(J11979:J12004),0)</f>
        <v>#VALUE!</v>
      </c>
    </row>
    <row r="12006">
      <c r="A12006" s="1" t="s">
        <v>0</v>
      </c>
      <c r="B12006" s="1"/>
      <c r="C12006" s="1"/>
      <c r="D12006" s="1"/>
    </row>
    <row r="12007">
      <c r="A12007" s="0" t="s">
        <v>1</v>
      </c>
      <c r="C12007" s="0" t="s">
        <v>409</v>
      </c>
      <c r="H12007" s="2" t="s">
        <v>3</v>
      </c>
    </row>
    <row r="12008">
      <c r="A12008" s="0" t="s">
        <v>4</v>
      </c>
      <c r="C12008" s="0" t="s">
        <v>132</v>
      </c>
      <c r="H12008" s="3" t="s">
        <v>6</v>
      </c>
    </row>
    <row r="12009">
      <c r="A12009" s="0" t="s">
        <v>7</v>
      </c>
      <c r="C12009" s="4" t="s">
        <v>410</v>
      </c>
      <c r="H12009" s="2" t="s">
        <v>9</v>
      </c>
    </row>
    <row r="12010">
      <c r="A12010" s="0" t="s">
        <v>10</v>
      </c>
      <c r="C12010" s="4" t="s">
        <v>124</v>
      </c>
      <c r="H12010" s="2" t="s">
        <v>12</v>
      </c>
    </row>
    <row r="12011">
      <c r="A12011" s="0" t="s">
        <v>13</v>
      </c>
      <c r="C12011" s="0" t="s">
        <v>14</v>
      </c>
    </row>
    <row r="12012">
      <c r="A12012" s="0" t="s">
        <v>15</v>
      </c>
      <c r="C12012" s="0" t="s">
        <v>16</v>
      </c>
    </row>
    <row r="12013">
      <c r="A12013" s="0" t="s">
        <v>17</v>
      </c>
      <c r="C12013" s="0" t="s">
        <v>18</v>
      </c>
    </row>
    <row r="12016">
      <c r="A12016" s="5" t="s">
        <v>19</v>
      </c>
      <c r="B12016" s="5" t="s">
        <v>20</v>
      </c>
      <c r="C12016" s="7" t="s">
        <v>21</v>
      </c>
      <c r="D12016" s="9"/>
      <c r="E12016" s="7" t="s">
        <v>22</v>
      </c>
      <c r="F12016" s="9"/>
      <c r="G12016" s="5" t="s">
        <v>23</v>
      </c>
      <c r="H12016" s="5" t="s">
        <v>24</v>
      </c>
      <c r="I12016" s="5" t="s">
        <v>411</v>
      </c>
      <c r="J12016" s="5" t="s">
        <v>125</v>
      </c>
    </row>
    <row r="12017">
      <c r="A12017" s="6"/>
      <c r="B12017" s="6"/>
      <c r="C12017" s="8" t="s">
        <v>27</v>
      </c>
      <c r="D12017" s="8" t="s">
        <v>28</v>
      </c>
      <c r="E12017" s="8" t="s">
        <v>27</v>
      </c>
      <c r="F12017" s="8" t="s">
        <v>28</v>
      </c>
      <c r="G12017" s="6"/>
      <c r="H12017" s="6"/>
      <c r="I12017" s="10" t="s">
        <v>29</v>
      </c>
      <c r="J12017" s="6"/>
    </row>
    <row r="12018">
      <c r="A12018" s="11" t="s">
        <v>30</v>
      </c>
      <c r="B12018" s="12">
        <v>1023.8296</v>
      </c>
      <c r="C12018" s="12">
        <v>0</v>
      </c>
      <c r="D12018" s="13">
        <v>0</v>
      </c>
      <c r="E12018" s="12">
        <v>0</v>
      </c>
      <c r="F12018" s="14">
        <v>0</v>
      </c>
      <c r="G12018" s="13">
        <v>2598936.114</v>
      </c>
      <c r="H12018" s="14">
        <v>2660867722.0221739</v>
      </c>
      <c r="I12018" s="14" t="e">
        <f>=Round(38358.20630000,0)</f>
        <v>#VALUE!</v>
      </c>
      <c r="J12018" s="14" t="e">
        <f>=Round(17435.53090000,0)</f>
        <v>#VALUE!</v>
      </c>
    </row>
    <row r="12019">
      <c r="A12019" s="11" t="s">
        <v>31</v>
      </c>
      <c r="B12019" s="12">
        <v>1024.079</v>
      </c>
      <c r="C12019" s="12">
        <v>0</v>
      </c>
      <c r="D12019" s="13">
        <v>0</v>
      </c>
      <c r="E12019" s="12">
        <v>0</v>
      </c>
      <c r="F12019" s="14">
        <v>0</v>
      </c>
      <c r="G12019" s="13">
        <v>2598936.114</v>
      </c>
      <c r="H12019" s="14">
        <v>2661515896.6890059</v>
      </c>
      <c r="I12019" s="14" t="e">
        <f>=Round(38386.28840000,0)</f>
        <v>#VALUE!</v>
      </c>
      <c r="J12019" s="14" t="e">
        <f>=Round(17448.29550000,0)</f>
        <v>#VALUE!</v>
      </c>
    </row>
    <row r="12020">
      <c r="A12020" s="11" t="s">
        <v>32</v>
      </c>
      <c r="B12020" s="12">
        <v>1024.3281</v>
      </c>
      <c r="C12020" s="12">
        <v>0</v>
      </c>
      <c r="D12020" s="13">
        <v>0</v>
      </c>
      <c r="E12020" s="12">
        <v>0</v>
      </c>
      <c r="F12020" s="14">
        <v>0</v>
      </c>
      <c r="G12020" s="13">
        <v>2598936.114</v>
      </c>
      <c r="H12020" s="14">
        <v>2662163291.6750031</v>
      </c>
      <c r="I12020" s="14" t="e">
        <f>=Round(38395.63920000,0)</f>
        <v>#VALUE!</v>
      </c>
      <c r="J12020" s="14" t="e">
        <f>=Round(17452.54580000,0)</f>
        <v>#VALUE!</v>
      </c>
    </row>
    <row r="12021">
      <c r="A12021" s="11" t="s">
        <v>33</v>
      </c>
      <c r="B12021" s="12">
        <v>1025.0189</v>
      </c>
      <c r="C12021" s="12">
        <v>0</v>
      </c>
      <c r="D12021" s="13">
        <v>0</v>
      </c>
      <c r="E12021" s="12">
        <v>0</v>
      </c>
      <c r="F12021" s="14">
        <v>0</v>
      </c>
      <c r="G12021" s="13">
        <v>2598936.114</v>
      </c>
      <c r="H12021" s="14">
        <v>2663958636.7425551</v>
      </c>
      <c r="I12021" s="14" t="e">
        <f>=Round(38404.97860000,0)</f>
        <v>#VALUE!</v>
      </c>
      <c r="J12021" s="14" t="e">
        <f>=Round(17456.79100000,0)</f>
        <v>#VALUE!</v>
      </c>
    </row>
    <row r="12022">
      <c r="A12022" s="11" t="s">
        <v>34</v>
      </c>
      <c r="B12022" s="12">
        <v>1025.2685</v>
      </c>
      <c r="C12022" s="12">
        <v>0</v>
      </c>
      <c r="D12022" s="13">
        <v>0</v>
      </c>
      <c r="E12022" s="12">
        <v>0</v>
      </c>
      <c r="F12022" s="14">
        <v>0</v>
      </c>
      <c r="G12022" s="13">
        <v>2598936.114</v>
      </c>
      <c r="H12022" s="14">
        <v>2664607331.196609</v>
      </c>
      <c r="I12022" s="14" t="e">
        <f>=Round(38430.87870000,0)</f>
        <v>#VALUE!</v>
      </c>
      <c r="J12022" s="14" t="e">
        <f>=Round(17468.56380000,0)</f>
        <v>#VALUE!</v>
      </c>
    </row>
    <row r="12023">
      <c r="A12023" s="11" t="s">
        <v>35</v>
      </c>
      <c r="B12023" s="12">
        <v>1025.2685</v>
      </c>
      <c r="C12023" s="12">
        <v>0</v>
      </c>
      <c r="D12023" s="13">
        <v>0</v>
      </c>
      <c r="E12023" s="12">
        <v>0</v>
      </c>
      <c r="F12023" s="14">
        <v>0</v>
      </c>
      <c r="G12023" s="13">
        <v>2598936.114</v>
      </c>
      <c r="H12023" s="14">
        <v>2664607331.196609</v>
      </c>
      <c r="I12023" s="14" t="e">
        <f>=Round(38440.23690000,0)</f>
        <v>#VALUE!</v>
      </c>
      <c r="J12023" s="14" t="e">
        <f>=Round(17472.81750000,0)</f>
        <v>#VALUE!</v>
      </c>
    </row>
    <row r="12024">
      <c r="A12024" s="11" t="s">
        <v>36</v>
      </c>
      <c r="B12024" s="12">
        <v>1025.2685</v>
      </c>
      <c r="C12024" s="12">
        <v>0</v>
      </c>
      <c r="D12024" s="13">
        <v>0</v>
      </c>
      <c r="E12024" s="12">
        <v>0</v>
      </c>
      <c r="F12024" s="14">
        <v>0</v>
      </c>
      <c r="G12024" s="13">
        <v>2598936.114</v>
      </c>
      <c r="H12024" s="14">
        <v>2664607331.196609</v>
      </c>
      <c r="I12024" s="14" t="e">
        <f>=Round(38440.23690000,0)</f>
        <v>#VALUE!</v>
      </c>
      <c r="J12024" s="14" t="e">
        <f>=Round(17472.81750000,0)</f>
        <v>#VALUE!</v>
      </c>
    </row>
    <row r="12025">
      <c r="A12025" s="11" t="s">
        <v>37</v>
      </c>
      <c r="B12025" s="12">
        <v>1026.0172</v>
      </c>
      <c r="C12025" s="12">
        <v>0</v>
      </c>
      <c r="D12025" s="13">
        <v>0</v>
      </c>
      <c r="E12025" s="12">
        <v>0</v>
      </c>
      <c r="F12025" s="14">
        <v>0</v>
      </c>
      <c r="G12025" s="13">
        <v>2598936.114</v>
      </c>
      <c r="H12025" s="14">
        <v>2666553154.6651611</v>
      </c>
      <c r="I12025" s="14" t="e">
        <f>=Round(38440.23690000,0)</f>
        <v>#VALUE!</v>
      </c>
      <c r="J12025" s="14" t="e">
        <f>=Round(17472.81750000,0)</f>
        <v>#VALUE!</v>
      </c>
    </row>
    <row r="12026">
      <c r="A12026" s="11" t="s">
        <v>38</v>
      </c>
      <c r="B12026" s="12">
        <v>1026.2668</v>
      </c>
      <c r="C12026" s="12">
        <v>0</v>
      </c>
      <c r="D12026" s="13">
        <v>0</v>
      </c>
      <c r="E12026" s="12">
        <v>0</v>
      </c>
      <c r="F12026" s="14">
        <v>0</v>
      </c>
      <c r="G12026" s="13">
        <v>2598936.114</v>
      </c>
      <c r="H12026" s="14">
        <v>2667201849.119215</v>
      </c>
      <c r="I12026" s="14" t="e">
        <f>=Round(38468.30780000,0)</f>
        <v>#VALUE!</v>
      </c>
      <c r="J12026" s="14" t="e">
        <f>=Round(17485.57700000,0)</f>
        <v>#VALUE!</v>
      </c>
    </row>
    <row r="12027">
      <c r="A12027" s="11" t="s">
        <v>39</v>
      </c>
      <c r="B12027" s="12">
        <v>1026.5486</v>
      </c>
      <c r="C12027" s="12">
        <v>0</v>
      </c>
      <c r="D12027" s="13">
        <v>0</v>
      </c>
      <c r="E12027" s="12">
        <v>0</v>
      </c>
      <c r="F12027" s="14">
        <v>0</v>
      </c>
      <c r="G12027" s="13">
        <v>2598936.114</v>
      </c>
      <c r="H12027" s="14">
        <v>2667934229.31614</v>
      </c>
      <c r="I12027" s="14" t="e">
        <f>=Round(38477.66600000,0)</f>
        <v>#VALUE!</v>
      </c>
      <c r="J12027" s="14" t="e">
        <f>=Round(17489.83070000,0)</f>
        <v>#VALUE!</v>
      </c>
    </row>
    <row r="12028">
      <c r="A12028" s="11" t="s">
        <v>40</v>
      </c>
      <c r="B12028" s="12">
        <v>1027.2093</v>
      </c>
      <c r="C12028" s="12">
        <v>0</v>
      </c>
      <c r="D12028" s="13">
        <v>0</v>
      </c>
      <c r="E12028" s="12">
        <v>0</v>
      </c>
      <c r="F12028" s="14">
        <v>0</v>
      </c>
      <c r="G12028" s="13">
        <v>2598936.114</v>
      </c>
      <c r="H12028" s="14">
        <v>2669651346.40666</v>
      </c>
      <c r="I12028" s="14" t="e">
        <f>=Round(38488.23150000,0)</f>
        <v>#VALUE!</v>
      </c>
      <c r="J12028" s="14" t="e">
        <f>=Round(17494.63320000,0)</f>
        <v>#VALUE!</v>
      </c>
    </row>
    <row r="12029">
      <c r="A12029" s="11" t="s">
        <v>41</v>
      </c>
      <c r="B12029" s="12">
        <v>1028.5243</v>
      </c>
      <c r="C12029" s="12">
        <v>0</v>
      </c>
      <c r="D12029" s="13">
        <v>0</v>
      </c>
      <c r="E12029" s="12">
        <v>0</v>
      </c>
      <c r="F12029" s="14">
        <v>0</v>
      </c>
      <c r="G12029" s="13">
        <v>2598936.114</v>
      </c>
      <c r="H12029" s="14">
        <v>2673068947.39657</v>
      </c>
      <c r="I12029" s="14" t="e">
        <f>=Round(38513.00300000,0)</f>
        <v>#VALUE!</v>
      </c>
      <c r="J12029" s="14" t="e">
        <f>=Round(17505.89300000,0)</f>
        <v>#VALUE!</v>
      </c>
    </row>
    <row r="12030">
      <c r="A12030" s="11" t="s">
        <v>42</v>
      </c>
      <c r="B12030" s="12">
        <v>1028.5243</v>
      </c>
      <c r="C12030" s="12">
        <v>0</v>
      </c>
      <c r="D12030" s="13">
        <v>0</v>
      </c>
      <c r="E12030" s="12">
        <v>0</v>
      </c>
      <c r="F12030" s="14">
        <v>0</v>
      </c>
      <c r="G12030" s="13">
        <v>2598936.114</v>
      </c>
      <c r="H12030" s="14">
        <v>2673068947.39657</v>
      </c>
      <c r="I12030" s="14" t="e">
        <f>=Round(38562.30610000,0)</f>
        <v>#VALUE!</v>
      </c>
      <c r="J12030" s="14" t="e">
        <f>=Round(17528.30340000,0)</f>
        <v>#VALUE!</v>
      </c>
    </row>
    <row r="12031">
      <c r="A12031" s="11" t="s">
        <v>43</v>
      </c>
      <c r="B12031" s="12">
        <v>1028.5243</v>
      </c>
      <c r="C12031" s="12">
        <v>0</v>
      </c>
      <c r="D12031" s="13">
        <v>0</v>
      </c>
      <c r="E12031" s="12">
        <v>0</v>
      </c>
      <c r="F12031" s="14">
        <v>0</v>
      </c>
      <c r="G12031" s="13">
        <v>2598936.114</v>
      </c>
      <c r="H12031" s="14">
        <v>2673068947.39657</v>
      </c>
      <c r="I12031" s="14" t="e">
        <f>=Round(38562.30610000,0)</f>
        <v>#VALUE!</v>
      </c>
      <c r="J12031" s="14" t="e">
        <f>=Round(17528.30340000,0)</f>
        <v>#VALUE!</v>
      </c>
    </row>
    <row r="12032">
      <c r="A12032" s="11" t="s">
        <v>44</v>
      </c>
      <c r="B12032" s="12">
        <v>1029.9499</v>
      </c>
      <c r="C12032" s="12">
        <v>0</v>
      </c>
      <c r="D12032" s="13">
        <v>0</v>
      </c>
      <c r="E12032" s="12">
        <v>0</v>
      </c>
      <c r="F12032" s="14">
        <v>0</v>
      </c>
      <c r="G12032" s="13">
        <v>2598936.114</v>
      </c>
      <c r="H12032" s="14">
        <v>2676773990.7206888</v>
      </c>
      <c r="I12032" s="14" t="e">
        <f>=Round(38562.30610000,0)</f>
        <v>#VALUE!</v>
      </c>
      <c r="J12032" s="14" t="e">
        <f>=Round(17528.30340000,0)</f>
        <v>#VALUE!</v>
      </c>
    </row>
    <row r="12033">
      <c r="A12033" s="11" t="s">
        <v>45</v>
      </c>
      <c r="B12033" s="12">
        <v>1030.2041</v>
      </c>
      <c r="C12033" s="12">
        <v>0</v>
      </c>
      <c r="D12033" s="13">
        <v>0</v>
      </c>
      <c r="E12033" s="12">
        <v>0</v>
      </c>
      <c r="F12033" s="14">
        <v>0</v>
      </c>
      <c r="G12033" s="13">
        <v>2598936.114</v>
      </c>
      <c r="H12033" s="14">
        <v>2677434640.2808671</v>
      </c>
      <c r="I12033" s="14" t="e">
        <f>=Round(38615.75590000,0)</f>
        <v>#VALUE!</v>
      </c>
      <c r="J12033" s="14" t="e">
        <f>=Round(17552.59880000,0)</f>
        <v>#VALUE!</v>
      </c>
    </row>
    <row r="12034">
      <c r="A12034" s="11" t="s">
        <v>46</v>
      </c>
      <c r="B12034" s="12">
        <v>1030.8477</v>
      </c>
      <c r="C12034" s="12">
        <v>0</v>
      </c>
      <c r="D12034" s="13">
        <v>0</v>
      </c>
      <c r="E12034" s="12">
        <v>0</v>
      </c>
      <c r="F12034" s="14">
        <v>0</v>
      </c>
      <c r="G12034" s="13">
        <v>2598936.114</v>
      </c>
      <c r="H12034" s="14">
        <v>2679107315.563838</v>
      </c>
      <c r="I12034" s="14" t="e">
        <f>=Round(38625.28660000,0)</f>
        <v>#VALUE!</v>
      </c>
      <c r="J12034" s="14" t="e">
        <f>=Round(17556.93090000,0)</f>
        <v>#VALUE!</v>
      </c>
    </row>
    <row r="12035">
      <c r="A12035" s="11" t="s">
        <v>47</v>
      </c>
      <c r="B12035" s="12">
        <v>1031.0973</v>
      </c>
      <c r="C12035" s="12">
        <v>0</v>
      </c>
      <c r="D12035" s="13">
        <v>0</v>
      </c>
      <c r="E12035" s="12">
        <v>0</v>
      </c>
      <c r="F12035" s="14">
        <v>0</v>
      </c>
      <c r="G12035" s="13">
        <v>2598936.114</v>
      </c>
      <c r="H12035" s="14">
        <v>2679756010.0178919</v>
      </c>
      <c r="I12035" s="14" t="e">
        <f>=Round(38649.41700000,0)</f>
        <v>#VALUE!</v>
      </c>
      <c r="J12035" s="14" t="e">
        <f>=Round(17567.89930000,0)</f>
        <v>#VALUE!</v>
      </c>
    </row>
    <row r="12036">
      <c r="A12036" s="11" t="s">
        <v>48</v>
      </c>
      <c r="B12036" s="12">
        <v>1031.5106</v>
      </c>
      <c r="C12036" s="12">
        <v>0</v>
      </c>
      <c r="D12036" s="13">
        <v>0</v>
      </c>
      <c r="E12036" s="12">
        <v>0</v>
      </c>
      <c r="F12036" s="14">
        <v>0</v>
      </c>
      <c r="G12036" s="13">
        <v>2598936.114</v>
      </c>
      <c r="H12036" s="14">
        <v>2680830150.313808</v>
      </c>
      <c r="I12036" s="14" t="e">
        <f>=Round(38658.77520000,0)</f>
        <v>#VALUE!</v>
      </c>
      <c r="J12036" s="14" t="e">
        <f>=Round(17572.15300000,0)</f>
        <v>#VALUE!</v>
      </c>
    </row>
    <row r="12037">
      <c r="A12037" s="11" t="s">
        <v>49</v>
      </c>
      <c r="B12037" s="12">
        <v>1031.5106</v>
      </c>
      <c r="C12037" s="12">
        <v>0</v>
      </c>
      <c r="D12037" s="13">
        <v>0</v>
      </c>
      <c r="E12037" s="12">
        <v>0</v>
      </c>
      <c r="F12037" s="14">
        <v>0</v>
      </c>
      <c r="G12037" s="13">
        <v>2598936.114</v>
      </c>
      <c r="H12037" s="14">
        <v>2680830150.313808</v>
      </c>
      <c r="I12037" s="14" t="e">
        <f>=Round(38674.27100000,0)</f>
        <v>#VALUE!</v>
      </c>
      <c r="J12037" s="14" t="e">
        <f>=Round(17579.19650000,0)</f>
        <v>#VALUE!</v>
      </c>
    </row>
    <row r="12038">
      <c r="A12038" s="11" t="s">
        <v>50</v>
      </c>
      <c r="B12038" s="12">
        <v>1031.5106</v>
      </c>
      <c r="C12038" s="12">
        <v>0</v>
      </c>
      <c r="D12038" s="13">
        <v>0</v>
      </c>
      <c r="E12038" s="12">
        <v>0</v>
      </c>
      <c r="F12038" s="14">
        <v>0</v>
      </c>
      <c r="G12038" s="13">
        <v>2598936.114</v>
      </c>
      <c r="H12038" s="14">
        <v>2680830150.313808</v>
      </c>
      <c r="I12038" s="14" t="e">
        <f>=Round(38674.27100000,0)</f>
        <v>#VALUE!</v>
      </c>
      <c r="J12038" s="14" t="e">
        <f>=Round(17579.19650000,0)</f>
        <v>#VALUE!</v>
      </c>
    </row>
    <row r="12039">
      <c r="A12039" s="11" t="s">
        <v>51</v>
      </c>
      <c r="B12039" s="12">
        <v>1032.3042</v>
      </c>
      <c r="C12039" s="12">
        <v>0</v>
      </c>
      <c r="D12039" s="13">
        <v>0</v>
      </c>
      <c r="E12039" s="12">
        <v>0</v>
      </c>
      <c r="F12039" s="14">
        <v>0</v>
      </c>
      <c r="G12039" s="13">
        <v>2598936.114</v>
      </c>
      <c r="H12039" s="14">
        <v>2682892666.0138788</v>
      </c>
      <c r="I12039" s="14" t="e">
        <f>=Round(38674.27100000,0)</f>
        <v>#VALUE!</v>
      </c>
      <c r="J12039" s="14" t="e">
        <f>=Round(17579.19650000,0)</f>
        <v>#VALUE!</v>
      </c>
    </row>
    <row r="12040">
      <c r="A12040" s="11" t="s">
        <v>52</v>
      </c>
      <c r="B12040" s="12">
        <v>1011.0982</v>
      </c>
      <c r="C12040" s="12">
        <v>0</v>
      </c>
      <c r="D12040" s="13">
        <v>0</v>
      </c>
      <c r="E12040" s="12">
        <v>0</v>
      </c>
      <c r="F12040" s="14">
        <v>0</v>
      </c>
      <c r="G12040" s="13">
        <v>2598936.114</v>
      </c>
      <c r="H12040" s="14">
        <v>2627779626.780395</v>
      </c>
      <c r="I12040" s="14" t="e">
        <f>=Round(38704.02530000,0)</f>
        <v>#VALUE!</v>
      </c>
      <c r="J12040" s="14" t="e">
        <f>=Round(17592.72120000,0)</f>
        <v>#VALUE!</v>
      </c>
    </row>
    <row r="12041">
      <c r="A12041" s="11" t="s">
        <v>53</v>
      </c>
      <c r="B12041" s="12">
        <v>1011.358</v>
      </c>
      <c r="C12041" s="12">
        <v>0</v>
      </c>
      <c r="D12041" s="13">
        <v>0</v>
      </c>
      <c r="E12041" s="12">
        <v>0</v>
      </c>
      <c r="F12041" s="14">
        <v>0</v>
      </c>
      <c r="G12041" s="13">
        <v>2598936.114</v>
      </c>
      <c r="H12041" s="14">
        <v>2628454830.382812</v>
      </c>
      <c r="I12041" s="14" t="e">
        <f>=Round(37908.95200000,0)</f>
        <v>#VALUE!</v>
      </c>
      <c r="J12041" s="14" t="e">
        <f>=Round(17231.32460000,0)</f>
        <v>#VALUE!</v>
      </c>
    </row>
    <row r="12042">
      <c r="A12042" s="11" t="s">
        <v>54</v>
      </c>
      <c r="B12042" s="12">
        <v>1011.6165</v>
      </c>
      <c r="C12042" s="12">
        <v>0</v>
      </c>
      <c r="D12042" s="13">
        <v>0</v>
      </c>
      <c r="E12042" s="12">
        <v>20050</v>
      </c>
      <c r="F12042" s="14">
        <v>20282911</v>
      </c>
      <c r="G12042" s="13">
        <v>2598936.114</v>
      </c>
      <c r="H12042" s="14">
        <v>2629126655.3682809</v>
      </c>
      <c r="I12042" s="14" t="e">
        <f>=Round(37918.69260000,0)</f>
        <v>#VALUE!</v>
      </c>
      <c r="J12042" s="14" t="e">
        <f>=Round(17235.75210000,0)</f>
        <v>#VALUE!</v>
      </c>
    </row>
    <row r="12043">
      <c r="A12043" s="11" t="s">
        <v>55</v>
      </c>
      <c r="B12043" s="12">
        <v>1011.8832</v>
      </c>
      <c r="C12043" s="12">
        <v>0</v>
      </c>
      <c r="D12043" s="13">
        <v>0</v>
      </c>
      <c r="E12043" s="12">
        <v>0</v>
      </c>
      <c r="F12043" s="14">
        <v>0</v>
      </c>
      <c r="G12043" s="13">
        <v>2578886.114</v>
      </c>
      <c r="H12043" s="14">
        <v>2609531533.4698849</v>
      </c>
      <c r="I12043" s="14" t="e">
        <f>=Round(37928.38450000,0)</f>
        <v>#VALUE!</v>
      </c>
      <c r="J12043" s="14" t="e">
        <f>=Round(17240.15750000,0)</f>
        <v>#VALUE!</v>
      </c>
    </row>
    <row r="12044" ht="-1">
      <c r="A12044" s="15"/>
      <c r="B12044" s="16" t="s">
        <v>56</v>
      </c>
      <c r="C12044" s="15"/>
      <c r="D12044" s="15"/>
      <c r="E12044" s="15"/>
      <c r="F12044" s="15"/>
      <c r="G12044" s="15"/>
      <c r="H12044" s="15"/>
      <c r="I12044" s="17" t="e">
        <f>=Round(SUM(I12018:I12043),0)</f>
        <v>#VALUE!</v>
      </c>
      <c r="J12044" s="17" t="e">
        <f>=Round(SUM(J12018:J12043),0)</f>
        <v>#VALUE!</v>
      </c>
    </row>
    <row r="12045">
      <c r="A12045" s="1" t="s">
        <v>0</v>
      </c>
      <c r="B12045" s="1"/>
      <c r="C12045" s="1"/>
      <c r="D12045" s="1"/>
    </row>
    <row r="12046">
      <c r="A12046" s="0" t="s">
        <v>1</v>
      </c>
      <c r="C12046" s="0" t="s">
        <v>412</v>
      </c>
      <c r="H12046" s="2" t="s">
        <v>3</v>
      </c>
    </row>
    <row r="12047">
      <c r="A12047" s="0" t="s">
        <v>4</v>
      </c>
      <c r="C12047" s="0" t="s">
        <v>413</v>
      </c>
      <c r="H12047" s="3" t="s">
        <v>6</v>
      </c>
    </row>
    <row r="12048">
      <c r="A12048" s="0" t="s">
        <v>7</v>
      </c>
      <c r="C12048" s="4" t="s">
        <v>287</v>
      </c>
      <c r="H12048" s="2" t="s">
        <v>9</v>
      </c>
    </row>
    <row r="12049">
      <c r="A12049" s="0" t="s">
        <v>10</v>
      </c>
      <c r="C12049" s="4" t="s">
        <v>124</v>
      </c>
      <c r="H12049" s="2" t="s">
        <v>12</v>
      </c>
    </row>
    <row r="12050">
      <c r="A12050" s="0" t="s">
        <v>13</v>
      </c>
      <c r="C12050" s="0" t="s">
        <v>14</v>
      </c>
    </row>
    <row r="12051">
      <c r="A12051" s="0" t="s">
        <v>15</v>
      </c>
      <c r="C12051" s="0" t="s">
        <v>16</v>
      </c>
    </row>
    <row r="12052">
      <c r="A12052" s="0" t="s">
        <v>17</v>
      </c>
      <c r="C12052" s="0" t="s">
        <v>18</v>
      </c>
    </row>
    <row r="12055">
      <c r="A12055" s="5" t="s">
        <v>19</v>
      </c>
      <c r="B12055" s="5" t="s">
        <v>20</v>
      </c>
      <c r="C12055" s="7" t="s">
        <v>21</v>
      </c>
      <c r="D12055" s="9"/>
      <c r="E12055" s="7" t="s">
        <v>22</v>
      </c>
      <c r="F12055" s="9"/>
      <c r="G12055" s="5" t="s">
        <v>23</v>
      </c>
      <c r="H12055" s="5" t="s">
        <v>24</v>
      </c>
      <c r="I12055" s="5" t="s">
        <v>288</v>
      </c>
      <c r="J12055" s="5" t="s">
        <v>125</v>
      </c>
    </row>
    <row r="12056">
      <c r="A12056" s="6"/>
      <c r="B12056" s="6"/>
      <c r="C12056" s="8" t="s">
        <v>27</v>
      </c>
      <c r="D12056" s="8" t="s">
        <v>28</v>
      </c>
      <c r="E12056" s="8" t="s">
        <v>27</v>
      </c>
      <c r="F12056" s="8" t="s">
        <v>28</v>
      </c>
      <c r="G12056" s="6"/>
      <c r="H12056" s="6"/>
      <c r="I12056" s="10" t="s">
        <v>29</v>
      </c>
      <c r="J12056" s="6"/>
    </row>
    <row r="12057">
      <c r="A12057" s="11" t="s">
        <v>30</v>
      </c>
      <c r="B12057" s="12">
        <v>979.925</v>
      </c>
      <c r="C12057" s="12">
        <v>0</v>
      </c>
      <c r="D12057" s="13">
        <v>0</v>
      </c>
      <c r="E12057" s="12">
        <v>0</v>
      </c>
      <c r="F12057" s="14">
        <v>0</v>
      </c>
      <c r="G12057" s="13">
        <v>73362575.362300009</v>
      </c>
      <c r="H12057" s="14">
        <v>71889821661.901825</v>
      </c>
      <c r="I12057" s="14" t="e">
        <f>=Round(323861.94530000,0)</f>
        <v>#VALUE!</v>
      </c>
      <c r="J12057" s="14" t="e">
        <f>=Round(147209.82790000,0)</f>
        <v>#VALUE!</v>
      </c>
    </row>
    <row r="12058">
      <c r="A12058" s="11" t="s">
        <v>31</v>
      </c>
      <c r="B12058" s="12">
        <v>980.155</v>
      </c>
      <c r="C12058" s="12">
        <v>0</v>
      </c>
      <c r="D12058" s="13">
        <v>0</v>
      </c>
      <c r="E12058" s="12">
        <v>0</v>
      </c>
      <c r="F12058" s="14">
        <v>0</v>
      </c>
      <c r="G12058" s="13">
        <v>73362575.362300009</v>
      </c>
      <c r="H12058" s="14">
        <v>71906695054.235153</v>
      </c>
      <c r="I12058" s="14" t="e">
        <f>=Round(324093.45830000,0)</f>
        <v>#VALUE!</v>
      </c>
      <c r="J12058" s="14" t="e">
        <f>=Round(147315.06100000,0)</f>
        <v>#VALUE!</v>
      </c>
    </row>
    <row r="12059">
      <c r="A12059" s="11" t="s">
        <v>32</v>
      </c>
      <c r="B12059" s="12">
        <v>980.385</v>
      </c>
      <c r="C12059" s="12">
        <v>0</v>
      </c>
      <c r="D12059" s="13">
        <v>0</v>
      </c>
      <c r="E12059" s="12">
        <v>0</v>
      </c>
      <c r="F12059" s="14">
        <v>0</v>
      </c>
      <c r="G12059" s="13">
        <v>73362575.362300009</v>
      </c>
      <c r="H12059" s="14">
        <v>71923568446.568481</v>
      </c>
      <c r="I12059" s="14" t="e">
        <f>=Round(324169.52690000,0)</f>
        <v>#VALUE!</v>
      </c>
      <c r="J12059" s="14" t="e">
        <f>=Round(147349.63760000,0)</f>
        <v>#VALUE!</v>
      </c>
    </row>
    <row r="12060">
      <c r="A12060" s="11" t="s">
        <v>33</v>
      </c>
      <c r="B12060" s="12">
        <v>980.615</v>
      </c>
      <c r="C12060" s="12">
        <v>0</v>
      </c>
      <c r="D12060" s="13">
        <v>0</v>
      </c>
      <c r="E12060" s="12">
        <v>0</v>
      </c>
      <c r="F12060" s="14">
        <v>0</v>
      </c>
      <c r="G12060" s="13">
        <v>73362575.362300009</v>
      </c>
      <c r="H12060" s="14">
        <v>71940441838.90181</v>
      </c>
      <c r="I12060" s="14" t="e">
        <f>=Round(324245.59550000,0)</f>
        <v>#VALUE!</v>
      </c>
      <c r="J12060" s="14" t="e">
        <f>=Round(147384.21420000,0)</f>
        <v>#VALUE!</v>
      </c>
    </row>
    <row r="12061">
      <c r="A12061" s="11" t="s">
        <v>34</v>
      </c>
      <c r="B12061" s="12">
        <v>980.844</v>
      </c>
      <c r="C12061" s="12">
        <v>0</v>
      </c>
      <c r="D12061" s="13">
        <v>0</v>
      </c>
      <c r="E12061" s="12">
        <v>0</v>
      </c>
      <c r="F12061" s="14">
        <v>0</v>
      </c>
      <c r="G12061" s="13">
        <v>73362575.362300009</v>
      </c>
      <c r="H12061" s="14">
        <v>71957241868.65979</v>
      </c>
      <c r="I12061" s="14" t="e">
        <f>=Round(324321.66400000,0)</f>
        <v>#VALUE!</v>
      </c>
      <c r="J12061" s="14" t="e">
        <f>=Round(147418.79080000,0)</f>
        <v>#VALUE!</v>
      </c>
    </row>
    <row r="12062">
      <c r="A12062" s="11" t="s">
        <v>35</v>
      </c>
      <c r="B12062" s="12">
        <v>980.844</v>
      </c>
      <c r="C12062" s="12">
        <v>0</v>
      </c>
      <c r="D12062" s="13">
        <v>0</v>
      </c>
      <c r="E12062" s="12">
        <v>0</v>
      </c>
      <c r="F12062" s="14">
        <v>0</v>
      </c>
      <c r="G12062" s="13">
        <v>73362575.362300009</v>
      </c>
      <c r="H12062" s="14">
        <v>71957241868.65979</v>
      </c>
      <c r="I12062" s="14" t="e">
        <f>=Round(324397.40190000,0)</f>
        <v>#VALUE!</v>
      </c>
      <c r="J12062" s="14" t="e">
        <f>=Round(147453.21700000,0)</f>
        <v>#VALUE!</v>
      </c>
    </row>
    <row r="12063">
      <c r="A12063" s="11" t="s">
        <v>36</v>
      </c>
      <c r="B12063" s="12">
        <v>980.844</v>
      </c>
      <c r="C12063" s="12">
        <v>0</v>
      </c>
      <c r="D12063" s="13">
        <v>0</v>
      </c>
      <c r="E12063" s="12">
        <v>0</v>
      </c>
      <c r="F12063" s="14">
        <v>0</v>
      </c>
      <c r="G12063" s="13">
        <v>73362575.362300009</v>
      </c>
      <c r="H12063" s="14">
        <v>71957241868.65979</v>
      </c>
      <c r="I12063" s="14" t="e">
        <f>=Round(324397.40190000,0)</f>
        <v>#VALUE!</v>
      </c>
      <c r="J12063" s="14" t="e">
        <f>=Round(147453.21700000,0)</f>
        <v>#VALUE!</v>
      </c>
    </row>
    <row r="12064">
      <c r="A12064" s="11" t="s">
        <v>37</v>
      </c>
      <c r="B12064" s="12">
        <v>981.528</v>
      </c>
      <c r="C12064" s="12">
        <v>0</v>
      </c>
      <c r="D12064" s="13">
        <v>0</v>
      </c>
      <c r="E12064" s="12">
        <v>0</v>
      </c>
      <c r="F12064" s="14">
        <v>0</v>
      </c>
      <c r="G12064" s="13">
        <v>73362575.362300009</v>
      </c>
      <c r="H12064" s="14">
        <v>72007421870.2076</v>
      </c>
      <c r="I12064" s="14" t="e">
        <f>=Round(324397.40190000,0)</f>
        <v>#VALUE!</v>
      </c>
      <c r="J12064" s="14" t="e">
        <f>=Round(147453.21700000,0)</f>
        <v>#VALUE!</v>
      </c>
    </row>
    <row r="12065">
      <c r="A12065" s="11" t="s">
        <v>38</v>
      </c>
      <c r="B12065" s="12">
        <v>981.758</v>
      </c>
      <c r="C12065" s="12">
        <v>0</v>
      </c>
      <c r="D12065" s="13">
        <v>0</v>
      </c>
      <c r="E12065" s="12">
        <v>0</v>
      </c>
      <c r="F12065" s="14">
        <v>0</v>
      </c>
      <c r="G12065" s="13">
        <v>73362575.362300009</v>
      </c>
      <c r="H12065" s="14">
        <v>72024295262.540924</v>
      </c>
      <c r="I12065" s="14" t="e">
        <f>=Round(324623.62320000,0)</f>
        <v>#VALUE!</v>
      </c>
      <c r="J12065" s="14" t="e">
        <f>=Round(147556.04480000,0)</f>
        <v>#VALUE!</v>
      </c>
    </row>
    <row r="12066">
      <c r="A12066" s="11" t="s">
        <v>39</v>
      </c>
      <c r="B12066" s="12">
        <v>981.988</v>
      </c>
      <c r="C12066" s="12">
        <v>0</v>
      </c>
      <c r="D12066" s="13">
        <v>0</v>
      </c>
      <c r="E12066" s="12">
        <v>0</v>
      </c>
      <c r="F12066" s="14">
        <v>0</v>
      </c>
      <c r="G12066" s="13">
        <v>73362575.362300009</v>
      </c>
      <c r="H12066" s="14">
        <v>72041168654.874252</v>
      </c>
      <c r="I12066" s="14" t="e">
        <f>=Round(324699.69180000,0)</f>
        <v>#VALUE!</v>
      </c>
      <c r="J12066" s="14" t="e">
        <f>=Round(147590.62140000,0)</f>
        <v>#VALUE!</v>
      </c>
    </row>
    <row r="12067">
      <c r="A12067" s="11" t="s">
        <v>40</v>
      </c>
      <c r="B12067" s="12">
        <v>982.234</v>
      </c>
      <c r="C12067" s="12">
        <v>0</v>
      </c>
      <c r="D12067" s="13">
        <v>0</v>
      </c>
      <c r="E12067" s="12">
        <v>0</v>
      </c>
      <c r="F12067" s="14">
        <v>0</v>
      </c>
      <c r="G12067" s="13">
        <v>73362575.362300009</v>
      </c>
      <c r="H12067" s="14">
        <v>72059215848.413376</v>
      </c>
      <c r="I12067" s="14" t="e">
        <f>=Round(324775.76030000,0)</f>
        <v>#VALUE!</v>
      </c>
      <c r="J12067" s="14" t="e">
        <f>=Round(147625.19800000,0)</f>
        <v>#VALUE!</v>
      </c>
    </row>
    <row r="12068">
      <c r="A12068" s="11" t="s">
        <v>41</v>
      </c>
      <c r="B12068" s="12">
        <v>982.464</v>
      </c>
      <c r="C12068" s="12">
        <v>0</v>
      </c>
      <c r="D12068" s="13">
        <v>0</v>
      </c>
      <c r="E12068" s="12">
        <v>0</v>
      </c>
      <c r="F12068" s="14">
        <v>0</v>
      </c>
      <c r="G12068" s="13">
        <v>73362575.362300009</v>
      </c>
      <c r="H12068" s="14">
        <v>72076089240.7467</v>
      </c>
      <c r="I12068" s="14" t="e">
        <f>=Round(324857.12060000,0)</f>
        <v>#VALUE!</v>
      </c>
      <c r="J12068" s="14" t="e">
        <f>=Round(147662.17990000,0)</f>
        <v>#VALUE!</v>
      </c>
    </row>
    <row r="12069">
      <c r="A12069" s="11" t="s">
        <v>42</v>
      </c>
      <c r="B12069" s="12">
        <v>982.464</v>
      </c>
      <c r="C12069" s="12">
        <v>0</v>
      </c>
      <c r="D12069" s="13">
        <v>0</v>
      </c>
      <c r="E12069" s="12">
        <v>0</v>
      </c>
      <c r="F12069" s="14">
        <v>0</v>
      </c>
      <c r="G12069" s="13">
        <v>73362575.362300009</v>
      </c>
      <c r="H12069" s="14">
        <v>72076089240.7467</v>
      </c>
      <c r="I12069" s="14" t="e">
        <f>=Round(324933.18920000,0)</f>
        <v>#VALUE!</v>
      </c>
      <c r="J12069" s="14" t="e">
        <f>=Round(147696.75650000,0)</f>
        <v>#VALUE!</v>
      </c>
    </row>
    <row r="12070">
      <c r="A12070" s="11" t="s">
        <v>43</v>
      </c>
      <c r="B12070" s="12">
        <v>982.464</v>
      </c>
      <c r="C12070" s="12">
        <v>0</v>
      </c>
      <c r="D12070" s="13">
        <v>0</v>
      </c>
      <c r="E12070" s="12">
        <v>0</v>
      </c>
      <c r="F12070" s="14">
        <v>0</v>
      </c>
      <c r="G12070" s="13">
        <v>73362575.362300009</v>
      </c>
      <c r="H12070" s="14">
        <v>72076089240.7467</v>
      </c>
      <c r="I12070" s="14" t="e">
        <f>=Round(324933.18920000,0)</f>
        <v>#VALUE!</v>
      </c>
      <c r="J12070" s="14" t="e">
        <f>=Round(147696.75650000,0)</f>
        <v>#VALUE!</v>
      </c>
    </row>
    <row r="12071">
      <c r="A12071" s="11" t="s">
        <v>44</v>
      </c>
      <c r="B12071" s="12">
        <v>983.746</v>
      </c>
      <c r="C12071" s="12">
        <v>0</v>
      </c>
      <c r="D12071" s="13">
        <v>0</v>
      </c>
      <c r="E12071" s="12">
        <v>0</v>
      </c>
      <c r="F12071" s="14">
        <v>0</v>
      </c>
      <c r="G12071" s="13">
        <v>73362575.362300009</v>
      </c>
      <c r="H12071" s="14">
        <v>72170140062.361191</v>
      </c>
      <c r="I12071" s="14" t="e">
        <f>=Round(324933.18920000,0)</f>
        <v>#VALUE!</v>
      </c>
      <c r="J12071" s="14" t="e">
        <f>=Round(147696.75650000,0)</f>
        <v>#VALUE!</v>
      </c>
    </row>
    <row r="12072">
      <c r="A12072" s="11" t="s">
        <v>45</v>
      </c>
      <c r="B12072" s="12">
        <v>983.975</v>
      </c>
      <c r="C12072" s="12">
        <v>0</v>
      </c>
      <c r="D12072" s="13">
        <v>0</v>
      </c>
      <c r="E12072" s="12">
        <v>0</v>
      </c>
      <c r="F12072" s="14">
        <v>0</v>
      </c>
      <c r="G12072" s="13">
        <v>73362575.362300009</v>
      </c>
      <c r="H12072" s="14">
        <v>72186940092.119141</v>
      </c>
      <c r="I12072" s="14" t="e">
        <f>=Round(325357.18880000,0)</f>
        <v>#VALUE!</v>
      </c>
      <c r="J12072" s="14" t="e">
        <f>=Round(147889.48340000,0)</f>
        <v>#VALUE!</v>
      </c>
    </row>
    <row r="12073">
      <c r="A12073" s="11" t="s">
        <v>46</v>
      </c>
      <c r="B12073" s="12">
        <v>984.498</v>
      </c>
      <c r="C12073" s="12">
        <v>0</v>
      </c>
      <c r="D12073" s="13">
        <v>0</v>
      </c>
      <c r="E12073" s="12">
        <v>0</v>
      </c>
      <c r="F12073" s="14">
        <v>0</v>
      </c>
      <c r="G12073" s="13">
        <v>73362575.362300009</v>
      </c>
      <c r="H12073" s="14">
        <v>72225308719.03363</v>
      </c>
      <c r="I12073" s="14" t="e">
        <f>=Round(325432.92660000,0)</f>
        <v>#VALUE!</v>
      </c>
      <c r="J12073" s="14" t="e">
        <f>=Round(147923.90960000,0)</f>
        <v>#VALUE!</v>
      </c>
    </row>
    <row r="12074">
      <c r="A12074" s="11" t="s">
        <v>47</v>
      </c>
      <c r="B12074" s="12">
        <v>984.854</v>
      </c>
      <c r="C12074" s="12">
        <v>0</v>
      </c>
      <c r="D12074" s="13">
        <v>0</v>
      </c>
      <c r="E12074" s="12">
        <v>0</v>
      </c>
      <c r="F12074" s="14">
        <v>0</v>
      </c>
      <c r="G12074" s="13">
        <v>73362575.362300009</v>
      </c>
      <c r="H12074" s="14">
        <v>72251425795.86261</v>
      </c>
      <c r="I12074" s="14" t="e">
        <f>=Round(325605.90000000,0)</f>
        <v>#VALUE!</v>
      </c>
      <c r="J12074" s="14" t="e">
        <f>=Round(148002.53380000,0)</f>
        <v>#VALUE!</v>
      </c>
    </row>
    <row r="12075">
      <c r="A12075" s="11" t="s">
        <v>48</v>
      </c>
      <c r="B12075" s="12">
        <v>985.349</v>
      </c>
      <c r="C12075" s="12">
        <v>0</v>
      </c>
      <c r="D12075" s="13">
        <v>0</v>
      </c>
      <c r="E12075" s="12">
        <v>0</v>
      </c>
      <c r="F12075" s="14">
        <v>0</v>
      </c>
      <c r="G12075" s="13">
        <v>73362575.362300009</v>
      </c>
      <c r="H12075" s="14">
        <v>72287740270.666946</v>
      </c>
      <c r="I12075" s="14" t="e">
        <f>=Round(325723.64090000,0)</f>
        <v>#VALUE!</v>
      </c>
      <c r="J12075" s="14" t="e">
        <f>=Round(148056.05230000,0)</f>
        <v>#VALUE!</v>
      </c>
    </row>
    <row r="12076">
      <c r="A12076" s="11" t="s">
        <v>49</v>
      </c>
      <c r="B12076" s="12">
        <v>985.349</v>
      </c>
      <c r="C12076" s="12">
        <v>0</v>
      </c>
      <c r="D12076" s="13">
        <v>0</v>
      </c>
      <c r="E12076" s="12">
        <v>0</v>
      </c>
      <c r="F12076" s="14">
        <v>0</v>
      </c>
      <c r="G12076" s="13">
        <v>73362575.362300009</v>
      </c>
      <c r="H12076" s="14">
        <v>72287740270.666946</v>
      </c>
      <c r="I12076" s="14" t="e">
        <f>=Round(325887.35370000,0)</f>
        <v>#VALUE!</v>
      </c>
      <c r="J12076" s="14" t="e">
        <f>=Round(148130.46720000,0)</f>
        <v>#VALUE!</v>
      </c>
    </row>
    <row r="12077">
      <c r="A12077" s="11" t="s">
        <v>50</v>
      </c>
      <c r="B12077" s="12">
        <v>985.349</v>
      </c>
      <c r="C12077" s="12">
        <v>0</v>
      </c>
      <c r="D12077" s="13">
        <v>0</v>
      </c>
      <c r="E12077" s="12">
        <v>0</v>
      </c>
      <c r="F12077" s="14">
        <v>0</v>
      </c>
      <c r="G12077" s="13">
        <v>73362575.362300009</v>
      </c>
      <c r="H12077" s="14">
        <v>72287740270.666946</v>
      </c>
      <c r="I12077" s="14" t="e">
        <f>=Round(325887.35370000,0)</f>
        <v>#VALUE!</v>
      </c>
      <c r="J12077" s="14" t="e">
        <f>=Round(148130.46720000,0)</f>
        <v>#VALUE!</v>
      </c>
    </row>
    <row r="12078">
      <c r="A12078" s="11" t="s">
        <v>51</v>
      </c>
      <c r="B12078" s="12">
        <v>986.053</v>
      </c>
      <c r="C12078" s="12">
        <v>0</v>
      </c>
      <c r="D12078" s="13">
        <v>0</v>
      </c>
      <c r="E12078" s="12">
        <v>0</v>
      </c>
      <c r="F12078" s="14">
        <v>0</v>
      </c>
      <c r="G12078" s="13">
        <v>73362575.362300009</v>
      </c>
      <c r="H12078" s="14">
        <v>72339387523.722</v>
      </c>
      <c r="I12078" s="14" t="e">
        <f>=Round(325887.35370000,0)</f>
        <v>#VALUE!</v>
      </c>
      <c r="J12078" s="14" t="e">
        <f>=Round(148130.46720000,0)</f>
        <v>#VALUE!</v>
      </c>
    </row>
    <row r="12079">
      <c r="A12079" s="11" t="s">
        <v>52</v>
      </c>
      <c r="B12079" s="12">
        <v>986.353</v>
      </c>
      <c r="C12079" s="12">
        <v>0</v>
      </c>
      <c r="D12079" s="13">
        <v>0</v>
      </c>
      <c r="E12079" s="12">
        <v>0</v>
      </c>
      <c r="F12079" s="14">
        <v>0</v>
      </c>
      <c r="G12079" s="13">
        <v>73362575.362300009</v>
      </c>
      <c r="H12079" s="14">
        <v>72361396296.330688</v>
      </c>
      <c r="I12079" s="14" t="e">
        <f>=Round(326120.18970000,0)</f>
        <v>#VALUE!</v>
      </c>
      <c r="J12079" s="14" t="e">
        <f>=Round(148236.30160000,0)</f>
        <v>#VALUE!</v>
      </c>
    </row>
    <row r="12080">
      <c r="A12080" s="11" t="s">
        <v>53</v>
      </c>
      <c r="B12080" s="12">
        <v>986.582</v>
      </c>
      <c r="C12080" s="12">
        <v>0</v>
      </c>
      <c r="D12080" s="13">
        <v>0</v>
      </c>
      <c r="E12080" s="12">
        <v>0</v>
      </c>
      <c r="F12080" s="14">
        <v>0</v>
      </c>
      <c r="G12080" s="13">
        <v>73362575.362300009</v>
      </c>
      <c r="H12080" s="14">
        <v>72378196326.088654</v>
      </c>
      <c r="I12080" s="14" t="e">
        <f>=Round(326219.40950000,0)</f>
        <v>#VALUE!</v>
      </c>
      <c r="J12080" s="14" t="e">
        <f>=Round(148281.40150000,0)</f>
        <v>#VALUE!</v>
      </c>
    </row>
    <row r="12081">
      <c r="A12081" s="11" t="s">
        <v>54</v>
      </c>
      <c r="B12081" s="12">
        <v>986.919</v>
      </c>
      <c r="C12081" s="12">
        <v>0</v>
      </c>
      <c r="D12081" s="13">
        <v>0</v>
      </c>
      <c r="E12081" s="12">
        <v>0</v>
      </c>
      <c r="F12081" s="14">
        <v>0</v>
      </c>
      <c r="G12081" s="13">
        <v>73362575.362300009</v>
      </c>
      <c r="H12081" s="14">
        <v>72402919513.985764</v>
      </c>
      <c r="I12081" s="14" t="e">
        <f>=Round(326295.14740000,0)</f>
        <v>#VALUE!</v>
      </c>
      <c r="J12081" s="14" t="e">
        <f>=Round(148315.82780000,0)</f>
        <v>#VALUE!</v>
      </c>
    </row>
    <row r="12082">
      <c r="A12082" s="11" t="s">
        <v>55</v>
      </c>
      <c r="B12082" s="12">
        <v>987.148</v>
      </c>
      <c r="C12082" s="12">
        <v>0</v>
      </c>
      <c r="D12082" s="13">
        <v>0</v>
      </c>
      <c r="E12082" s="12">
        <v>0</v>
      </c>
      <c r="F12082" s="14">
        <v>0</v>
      </c>
      <c r="G12082" s="13">
        <v>73362575.362300009</v>
      </c>
      <c r="H12082" s="14">
        <v>72419719543.743713</v>
      </c>
      <c r="I12082" s="14" t="e">
        <f>=Round(326406.60440000,0)</f>
        <v>#VALUE!</v>
      </c>
      <c r="J12082" s="14" t="e">
        <f>=Round(148366.49000000,0)</f>
        <v>#VALUE!</v>
      </c>
    </row>
    <row r="12083" ht="-1">
      <c r="A12083" s="15"/>
      <c r="B12083" s="16" t="s">
        <v>56</v>
      </c>
      <c r="C12083" s="15"/>
      <c r="D12083" s="15"/>
      <c r="E12083" s="15"/>
      <c r="F12083" s="15"/>
      <c r="G12083" s="15"/>
      <c r="H12083" s="15"/>
      <c r="I12083" s="17" t="e">
        <f>=Round(SUM(I12057:I12082),0)</f>
        <v>#VALUE!</v>
      </c>
      <c r="J12083" s="17" t="e">
        <f>=Round(SUM(J12057:J12082),0)</f>
        <v>#VALUE!</v>
      </c>
    </row>
    <row r="12084">
      <c r="A12084" s="1" t="s">
        <v>0</v>
      </c>
      <c r="B12084" s="1"/>
      <c r="C12084" s="1"/>
      <c r="D12084" s="1"/>
    </row>
    <row r="12085">
      <c r="A12085" s="0" t="s">
        <v>1</v>
      </c>
      <c r="C12085" s="0" t="s">
        <v>414</v>
      </c>
      <c r="H12085" s="2" t="s">
        <v>3</v>
      </c>
    </row>
    <row r="12086">
      <c r="A12086" s="0" t="s">
        <v>4</v>
      </c>
      <c r="C12086" s="0" t="s">
        <v>415</v>
      </c>
      <c r="H12086" s="3" t="s">
        <v>6</v>
      </c>
    </row>
    <row r="12087">
      <c r="A12087" s="0" t="s">
        <v>7</v>
      </c>
      <c r="C12087" s="4" t="s">
        <v>301</v>
      </c>
      <c r="H12087" s="2" t="s">
        <v>9</v>
      </c>
    </row>
    <row r="12088">
      <c r="A12088" s="0" t="s">
        <v>10</v>
      </c>
      <c r="C12088" s="4" t="s">
        <v>11</v>
      </c>
      <c r="H12088" s="2" t="s">
        <v>12</v>
      </c>
    </row>
    <row r="12089">
      <c r="A12089" s="0" t="s">
        <v>13</v>
      </c>
      <c r="C12089" s="0" t="s">
        <v>14</v>
      </c>
    </row>
    <row r="12090">
      <c r="A12090" s="0" t="s">
        <v>15</v>
      </c>
      <c r="C12090" s="0" t="s">
        <v>16</v>
      </c>
    </row>
    <row r="12091">
      <c r="A12091" s="0" t="s">
        <v>17</v>
      </c>
      <c r="C12091" s="0" t="s">
        <v>18</v>
      </c>
    </row>
    <row r="12094">
      <c r="A12094" s="5" t="s">
        <v>19</v>
      </c>
      <c r="B12094" s="5" t="s">
        <v>20</v>
      </c>
      <c r="C12094" s="7" t="s">
        <v>21</v>
      </c>
      <c r="D12094" s="9"/>
      <c r="E12094" s="7" t="s">
        <v>22</v>
      </c>
      <c r="F12094" s="9"/>
      <c r="G12094" s="5" t="s">
        <v>23</v>
      </c>
      <c r="H12094" s="5" t="s">
        <v>24</v>
      </c>
      <c r="I12094" s="5" t="s">
        <v>302</v>
      </c>
      <c r="J12094" s="5" t="s">
        <v>26</v>
      </c>
    </row>
    <row r="12095">
      <c r="A12095" s="6"/>
      <c r="B12095" s="6"/>
      <c r="C12095" s="8" t="s">
        <v>27</v>
      </c>
      <c r="D12095" s="8" t="s">
        <v>28</v>
      </c>
      <c r="E12095" s="8" t="s">
        <v>27</v>
      </c>
      <c r="F12095" s="8" t="s">
        <v>28</v>
      </c>
      <c r="G12095" s="6"/>
      <c r="H12095" s="6"/>
      <c r="I12095" s="10" t="s">
        <v>29</v>
      </c>
      <c r="J12095" s="6"/>
    </row>
    <row r="12096">
      <c r="A12096" s="11" t="s">
        <v>30</v>
      </c>
      <c r="B12096" s="12">
        <v>1065.43</v>
      </c>
      <c r="C12096" s="12">
        <v>0</v>
      </c>
      <c r="D12096" s="13">
        <v>0</v>
      </c>
      <c r="E12096" s="12">
        <v>0</v>
      </c>
      <c r="F12096" s="14">
        <v>0</v>
      </c>
      <c r="G12096" s="13">
        <v>50000000</v>
      </c>
      <c r="H12096" s="14">
        <v>53271500000</v>
      </c>
      <c r="I12096" s="14" t="e">
        <f>=Round(160170.96990000,0)</f>
        <v>#VALUE!</v>
      </c>
      <c r="J12096" s="14" t="e">
        <f>=Round(0.00000000,0)</f>
        <v>#VALUE!</v>
      </c>
    </row>
    <row r="12097">
      <c r="A12097" s="11" t="s">
        <v>31</v>
      </c>
      <c r="B12097" s="12">
        <v>1067.379</v>
      </c>
      <c r="C12097" s="12">
        <v>0</v>
      </c>
      <c r="D12097" s="13">
        <v>0</v>
      </c>
      <c r="E12097" s="12">
        <v>0</v>
      </c>
      <c r="F12097" s="14">
        <v>0</v>
      </c>
      <c r="G12097" s="13">
        <v>50000000</v>
      </c>
      <c r="H12097" s="14">
        <v>53368950000</v>
      </c>
      <c r="I12097" s="14" t="e">
        <f>=Round(160105.60110000,0)</f>
        <v>#VALUE!</v>
      </c>
      <c r="J12097" s="14" t="e">
        <f>=Round(0.00000000,0)</f>
        <v>#VALUE!</v>
      </c>
    </row>
    <row r="12098">
      <c r="A12098" s="11" t="s">
        <v>32</v>
      </c>
      <c r="B12098" s="12">
        <v>1067.146</v>
      </c>
      <c r="C12098" s="12">
        <v>0</v>
      </c>
      <c r="D12098" s="13">
        <v>0</v>
      </c>
      <c r="E12098" s="12">
        <v>0</v>
      </c>
      <c r="F12098" s="14">
        <v>0</v>
      </c>
      <c r="G12098" s="13">
        <v>50000000</v>
      </c>
      <c r="H12098" s="14">
        <v>53357300000</v>
      </c>
      <c r="I12098" s="14" t="e">
        <f>=Round(160398.48360000,0)</f>
        <v>#VALUE!</v>
      </c>
      <c r="J12098" s="14" t="e">
        <f>=Round(0.00000000,0)</f>
        <v>#VALUE!</v>
      </c>
    </row>
    <row r="12099">
      <c r="A12099" s="11" t="s">
        <v>33</v>
      </c>
      <c r="B12099" s="12">
        <v>1068.31</v>
      </c>
      <c r="C12099" s="12">
        <v>0</v>
      </c>
      <c r="D12099" s="13">
        <v>0</v>
      </c>
      <c r="E12099" s="12">
        <v>0</v>
      </c>
      <c r="F12099" s="14">
        <v>0</v>
      </c>
      <c r="G12099" s="13">
        <v>50000000</v>
      </c>
      <c r="H12099" s="14">
        <v>53415500000</v>
      </c>
      <c r="I12099" s="14" t="e">
        <f>=Round(160363.46990000,0)</f>
        <v>#VALUE!</v>
      </c>
      <c r="J12099" s="14" t="e">
        <f>=Round(0.00000000,0)</f>
        <v>#VALUE!</v>
      </c>
    </row>
    <row r="12100">
      <c r="A12100" s="11" t="s">
        <v>34</v>
      </c>
      <c r="B12100" s="12">
        <v>1071.415</v>
      </c>
      <c r="C12100" s="12">
        <v>0</v>
      </c>
      <c r="D12100" s="13">
        <v>0</v>
      </c>
      <c r="E12100" s="12">
        <v>0</v>
      </c>
      <c r="F12100" s="14">
        <v>0</v>
      </c>
      <c r="G12100" s="13">
        <v>50000000</v>
      </c>
      <c r="H12100" s="14">
        <v>53570750000</v>
      </c>
      <c r="I12100" s="14" t="e">
        <f>=Round(160538.38800000,0)</f>
        <v>#VALUE!</v>
      </c>
      <c r="J12100" s="14" t="e">
        <f>=Round(0.00000000,0)</f>
        <v>#VALUE!</v>
      </c>
    </row>
    <row r="12101">
      <c r="A12101" s="11" t="s">
        <v>35</v>
      </c>
      <c r="B12101" s="12">
        <v>1071.415</v>
      </c>
      <c r="C12101" s="12">
        <v>0</v>
      </c>
      <c r="D12101" s="13">
        <v>0</v>
      </c>
      <c r="E12101" s="12">
        <v>0</v>
      </c>
      <c r="F12101" s="14">
        <v>0</v>
      </c>
      <c r="G12101" s="13">
        <v>50000000</v>
      </c>
      <c r="H12101" s="14">
        <v>53570750000</v>
      </c>
      <c r="I12101" s="14" t="e">
        <f>=Round(161004.98630000,0)</f>
        <v>#VALUE!</v>
      </c>
      <c r="J12101" s="14" t="e">
        <f>=Round(0.00000000,0)</f>
        <v>#VALUE!</v>
      </c>
    </row>
    <row r="12102">
      <c r="A12102" s="11" t="s">
        <v>36</v>
      </c>
      <c r="B12102" s="12">
        <v>1071.415</v>
      </c>
      <c r="C12102" s="12">
        <v>0</v>
      </c>
      <c r="D12102" s="13">
        <v>0</v>
      </c>
      <c r="E12102" s="12">
        <v>0</v>
      </c>
      <c r="F12102" s="14">
        <v>0</v>
      </c>
      <c r="G12102" s="13">
        <v>50000000</v>
      </c>
      <c r="H12102" s="14">
        <v>53570750000</v>
      </c>
      <c r="I12102" s="14" t="e">
        <f>=Round(161004.98630000,0)</f>
        <v>#VALUE!</v>
      </c>
      <c r="J12102" s="14" t="e">
        <f>=Round(0.00000000,0)</f>
        <v>#VALUE!</v>
      </c>
    </row>
    <row r="12103">
      <c r="A12103" s="11" t="s">
        <v>37</v>
      </c>
      <c r="B12103" s="12">
        <v>1072.425</v>
      </c>
      <c r="C12103" s="12">
        <v>0</v>
      </c>
      <c r="D12103" s="13">
        <v>0</v>
      </c>
      <c r="E12103" s="12">
        <v>0</v>
      </c>
      <c r="F12103" s="14">
        <v>0</v>
      </c>
      <c r="G12103" s="13">
        <v>50000000</v>
      </c>
      <c r="H12103" s="14">
        <v>53621250000</v>
      </c>
      <c r="I12103" s="14" t="e">
        <f>=Round(161004.98630000,0)</f>
        <v>#VALUE!</v>
      </c>
      <c r="J12103" s="14" t="e">
        <f>=Round(0.00000000,0)</f>
        <v>#VALUE!</v>
      </c>
    </row>
    <row r="12104">
      <c r="A12104" s="11" t="s">
        <v>38</v>
      </c>
      <c r="B12104" s="12">
        <v>1072.434</v>
      </c>
      <c r="C12104" s="12">
        <v>0</v>
      </c>
      <c r="D12104" s="13">
        <v>0</v>
      </c>
      <c r="E12104" s="12">
        <v>0</v>
      </c>
      <c r="F12104" s="14">
        <v>0</v>
      </c>
      <c r="G12104" s="13">
        <v>50000000</v>
      </c>
      <c r="H12104" s="14">
        <v>53621700000</v>
      </c>
      <c r="I12104" s="14" t="e">
        <f>=Round(161156.76230000,0)</f>
        <v>#VALUE!</v>
      </c>
      <c r="J12104" s="14" t="e">
        <f>=Round(0.00000000,0)</f>
        <v>#VALUE!</v>
      </c>
    </row>
    <row r="12105">
      <c r="A12105" s="11" t="s">
        <v>39</v>
      </c>
      <c r="B12105" s="12">
        <v>1076.149</v>
      </c>
      <c r="C12105" s="12">
        <v>0</v>
      </c>
      <c r="D12105" s="13">
        <v>0</v>
      </c>
      <c r="E12105" s="12">
        <v>0</v>
      </c>
      <c r="F12105" s="14">
        <v>0</v>
      </c>
      <c r="G12105" s="13">
        <v>50000000</v>
      </c>
      <c r="H12105" s="14">
        <v>53807450000</v>
      </c>
      <c r="I12105" s="14" t="e">
        <f>=Round(161158.11480000,0)</f>
        <v>#VALUE!</v>
      </c>
      <c r="J12105" s="14" t="e">
        <f>=Round(0.00000000,0)</f>
        <v>#VALUE!</v>
      </c>
    </row>
    <row r="12106">
      <c r="A12106" s="11" t="s">
        <v>40</v>
      </c>
      <c r="B12106" s="12">
        <v>1077.416</v>
      </c>
      <c r="C12106" s="12">
        <v>0</v>
      </c>
      <c r="D12106" s="13">
        <v>0</v>
      </c>
      <c r="E12106" s="12">
        <v>0</v>
      </c>
      <c r="F12106" s="14">
        <v>0</v>
      </c>
      <c r="G12106" s="13">
        <v>50000000</v>
      </c>
      <c r="H12106" s="14">
        <v>53870800000</v>
      </c>
      <c r="I12106" s="14" t="e">
        <f>=Round(161716.37980000,0)</f>
        <v>#VALUE!</v>
      </c>
      <c r="J12106" s="14" t="e">
        <f>=Round(0.00000000,0)</f>
        <v>#VALUE!</v>
      </c>
    </row>
    <row r="12107">
      <c r="A12107" s="11" t="s">
        <v>41</v>
      </c>
      <c r="B12107" s="12">
        <v>1077.58</v>
      </c>
      <c r="C12107" s="12">
        <v>0</v>
      </c>
      <c r="D12107" s="13">
        <v>0</v>
      </c>
      <c r="E12107" s="12">
        <v>0</v>
      </c>
      <c r="F12107" s="14">
        <v>0</v>
      </c>
      <c r="G12107" s="13">
        <v>50000000</v>
      </c>
      <c r="H12107" s="14">
        <v>53879000000</v>
      </c>
      <c r="I12107" s="14" t="e">
        <f>=Round(161906.77600000,0)</f>
        <v>#VALUE!</v>
      </c>
      <c r="J12107" s="14" t="e">
        <f>=Round(0.00000000,0)</f>
        <v>#VALUE!</v>
      </c>
    </row>
    <row r="12108">
      <c r="A12108" s="11" t="s">
        <v>42</v>
      </c>
      <c r="B12108" s="12">
        <v>1077.58</v>
      </c>
      <c r="C12108" s="12">
        <v>0</v>
      </c>
      <c r="D12108" s="13">
        <v>0</v>
      </c>
      <c r="E12108" s="12">
        <v>0</v>
      </c>
      <c r="F12108" s="14">
        <v>0</v>
      </c>
      <c r="G12108" s="13">
        <v>50000000</v>
      </c>
      <c r="H12108" s="14">
        <v>53879000000</v>
      </c>
      <c r="I12108" s="14" t="e">
        <f>=Round(161931.42080000,0)</f>
        <v>#VALUE!</v>
      </c>
      <c r="J12108" s="14" t="e">
        <f>=Round(0.00000000,0)</f>
        <v>#VALUE!</v>
      </c>
    </row>
    <row r="12109">
      <c r="A12109" s="11" t="s">
        <v>43</v>
      </c>
      <c r="B12109" s="12">
        <v>1077.58</v>
      </c>
      <c r="C12109" s="12">
        <v>0</v>
      </c>
      <c r="D12109" s="13">
        <v>0</v>
      </c>
      <c r="E12109" s="12">
        <v>0</v>
      </c>
      <c r="F12109" s="14">
        <v>0</v>
      </c>
      <c r="G12109" s="13">
        <v>50000000</v>
      </c>
      <c r="H12109" s="14">
        <v>53879000000</v>
      </c>
      <c r="I12109" s="14" t="e">
        <f>=Round(161931.42080000,0)</f>
        <v>#VALUE!</v>
      </c>
      <c r="J12109" s="14" t="e">
        <f>=Round(0.00000000,0)</f>
        <v>#VALUE!</v>
      </c>
    </row>
    <row r="12110">
      <c r="A12110" s="11" t="s">
        <v>44</v>
      </c>
      <c r="B12110" s="12">
        <v>1058.646</v>
      </c>
      <c r="C12110" s="12">
        <v>0</v>
      </c>
      <c r="D12110" s="13">
        <v>0</v>
      </c>
      <c r="E12110" s="12">
        <v>0</v>
      </c>
      <c r="F12110" s="14">
        <v>0</v>
      </c>
      <c r="G12110" s="13">
        <v>50000000</v>
      </c>
      <c r="H12110" s="14">
        <v>52932300000</v>
      </c>
      <c r="I12110" s="14" t="e">
        <f>=Round(161931.42080000,0)</f>
        <v>#VALUE!</v>
      </c>
      <c r="J12110" s="14" t="e">
        <f>=Round(0.00000000,0)</f>
        <v>#VALUE!</v>
      </c>
    </row>
    <row r="12111">
      <c r="A12111" s="11" t="s">
        <v>45</v>
      </c>
      <c r="B12111" s="12">
        <v>1058.478</v>
      </c>
      <c r="C12111" s="12">
        <v>0</v>
      </c>
      <c r="D12111" s="13">
        <v>0</v>
      </c>
      <c r="E12111" s="12">
        <v>0</v>
      </c>
      <c r="F12111" s="14">
        <v>0</v>
      </c>
      <c r="G12111" s="13">
        <v>50000000</v>
      </c>
      <c r="H12111" s="14">
        <v>52923900000</v>
      </c>
      <c r="I12111" s="14" t="e">
        <f>=Round(159086.14750000,0)</f>
        <v>#VALUE!</v>
      </c>
      <c r="J12111" s="14" t="e">
        <f>=Round(0.00000000,0)</f>
        <v>#VALUE!</v>
      </c>
    </row>
    <row r="12112">
      <c r="A12112" s="11" t="s">
        <v>46</v>
      </c>
      <c r="B12112" s="12">
        <v>1058.884</v>
      </c>
      <c r="C12112" s="12">
        <v>0</v>
      </c>
      <c r="D12112" s="13">
        <v>0</v>
      </c>
      <c r="E12112" s="12">
        <v>0</v>
      </c>
      <c r="F12112" s="14">
        <v>0</v>
      </c>
      <c r="G12112" s="13">
        <v>50000000</v>
      </c>
      <c r="H12112" s="14">
        <v>52944200000</v>
      </c>
      <c r="I12112" s="14" t="e">
        <f>=Round(159060.90160000,0)</f>
        <v>#VALUE!</v>
      </c>
      <c r="J12112" s="14" t="e">
        <f>=Round(0.00000000,0)</f>
        <v>#VALUE!</v>
      </c>
    </row>
    <row r="12113">
      <c r="A12113" s="11" t="s">
        <v>47</v>
      </c>
      <c r="B12113" s="12">
        <v>1060.454</v>
      </c>
      <c r="C12113" s="12">
        <v>0</v>
      </c>
      <c r="D12113" s="13">
        <v>0</v>
      </c>
      <c r="E12113" s="12">
        <v>0</v>
      </c>
      <c r="F12113" s="14">
        <v>0</v>
      </c>
      <c r="G12113" s="13">
        <v>50000000</v>
      </c>
      <c r="H12113" s="14">
        <v>53022700000</v>
      </c>
      <c r="I12113" s="14" t="e">
        <f>=Round(159121.91260000,0)</f>
        <v>#VALUE!</v>
      </c>
      <c r="J12113" s="14" t="e">
        <f>=Round(0.00000000,0)</f>
        <v>#VALUE!</v>
      </c>
    </row>
    <row r="12114">
      <c r="A12114" s="11" t="s">
        <v>48</v>
      </c>
      <c r="B12114" s="12">
        <v>1061.439</v>
      </c>
      <c r="C12114" s="12">
        <v>0</v>
      </c>
      <c r="D12114" s="13">
        <v>0</v>
      </c>
      <c r="E12114" s="12">
        <v>0</v>
      </c>
      <c r="F12114" s="14">
        <v>0</v>
      </c>
      <c r="G12114" s="13">
        <v>50000000</v>
      </c>
      <c r="H12114" s="14">
        <v>53071950000</v>
      </c>
      <c r="I12114" s="14" t="e">
        <f>=Round(159357.84150000,0)</f>
        <v>#VALUE!</v>
      </c>
      <c r="J12114" s="14" t="e">
        <f>=Round(0.00000000,0)</f>
        <v>#VALUE!</v>
      </c>
    </row>
    <row r="12115">
      <c r="A12115" s="11" t="s">
        <v>49</v>
      </c>
      <c r="B12115" s="12">
        <v>1061.439</v>
      </c>
      <c r="C12115" s="12">
        <v>0</v>
      </c>
      <c r="D12115" s="13">
        <v>0</v>
      </c>
      <c r="E12115" s="12">
        <v>0</v>
      </c>
      <c r="F12115" s="14">
        <v>0</v>
      </c>
      <c r="G12115" s="13">
        <v>50000000</v>
      </c>
      <c r="H12115" s="14">
        <v>53071950000</v>
      </c>
      <c r="I12115" s="14" t="e">
        <f>=Round(159505.86070000,0)</f>
        <v>#VALUE!</v>
      </c>
      <c r="J12115" s="14" t="e">
        <f>=Round(0.00000000,0)</f>
        <v>#VALUE!</v>
      </c>
    </row>
    <row r="12116">
      <c r="A12116" s="11" t="s">
        <v>50</v>
      </c>
      <c r="B12116" s="12">
        <v>1061.439</v>
      </c>
      <c r="C12116" s="12">
        <v>0</v>
      </c>
      <c r="D12116" s="13">
        <v>0</v>
      </c>
      <c r="E12116" s="12">
        <v>0</v>
      </c>
      <c r="F12116" s="14">
        <v>0</v>
      </c>
      <c r="G12116" s="13">
        <v>50000000</v>
      </c>
      <c r="H12116" s="14">
        <v>53071950000</v>
      </c>
      <c r="I12116" s="14" t="e">
        <f>=Round(159505.86070000,0)</f>
        <v>#VALUE!</v>
      </c>
      <c r="J12116" s="14" t="e">
        <f>=Round(0.00000000,0)</f>
        <v>#VALUE!</v>
      </c>
    </row>
    <row r="12117">
      <c r="A12117" s="11" t="s">
        <v>51</v>
      </c>
      <c r="B12117" s="12">
        <v>1060.884</v>
      </c>
      <c r="C12117" s="12">
        <v>0</v>
      </c>
      <c r="D12117" s="13">
        <v>0</v>
      </c>
      <c r="E12117" s="12">
        <v>0</v>
      </c>
      <c r="F12117" s="14">
        <v>0</v>
      </c>
      <c r="G12117" s="13">
        <v>50000000</v>
      </c>
      <c r="H12117" s="14">
        <v>53044200000</v>
      </c>
      <c r="I12117" s="14" t="e">
        <f>=Round(159505.86070000,0)</f>
        <v>#VALUE!</v>
      </c>
      <c r="J12117" s="14" t="e">
        <f>=Round(0.00000000,0)</f>
        <v>#VALUE!</v>
      </c>
    </row>
    <row r="12118">
      <c r="A12118" s="11" t="s">
        <v>52</v>
      </c>
      <c r="B12118" s="12">
        <v>1060.712</v>
      </c>
      <c r="C12118" s="12">
        <v>0</v>
      </c>
      <c r="D12118" s="13">
        <v>0</v>
      </c>
      <c r="E12118" s="12">
        <v>0</v>
      </c>
      <c r="F12118" s="14">
        <v>0</v>
      </c>
      <c r="G12118" s="13">
        <v>50000000</v>
      </c>
      <c r="H12118" s="14">
        <v>53035600000</v>
      </c>
      <c r="I12118" s="14" t="e">
        <f>=Round(159422.45900000,0)</f>
        <v>#VALUE!</v>
      </c>
      <c r="J12118" s="14" t="e">
        <f>=Round(0.00000000,0)</f>
        <v>#VALUE!</v>
      </c>
    </row>
    <row r="12119">
      <c r="A12119" s="11" t="s">
        <v>53</v>
      </c>
      <c r="B12119" s="12">
        <v>1061.113</v>
      </c>
      <c r="C12119" s="12">
        <v>0</v>
      </c>
      <c r="D12119" s="13">
        <v>0</v>
      </c>
      <c r="E12119" s="12">
        <v>0</v>
      </c>
      <c r="F12119" s="14">
        <v>0</v>
      </c>
      <c r="G12119" s="13">
        <v>50000000</v>
      </c>
      <c r="H12119" s="14">
        <v>53055650000</v>
      </c>
      <c r="I12119" s="14" t="e">
        <f>=Round(159396.61200000,0)</f>
        <v>#VALUE!</v>
      </c>
      <c r="J12119" s="14" t="e">
        <f>=Round(0.00000000,0)</f>
        <v>#VALUE!</v>
      </c>
    </row>
    <row r="12120">
      <c r="A12120" s="11" t="s">
        <v>54</v>
      </c>
      <c r="B12120" s="12">
        <v>1060.703</v>
      </c>
      <c r="C12120" s="12">
        <v>0</v>
      </c>
      <c r="D12120" s="13">
        <v>0</v>
      </c>
      <c r="E12120" s="12">
        <v>0</v>
      </c>
      <c r="F12120" s="14">
        <v>0</v>
      </c>
      <c r="G12120" s="13">
        <v>50000000</v>
      </c>
      <c r="H12120" s="14">
        <v>53035150000</v>
      </c>
      <c r="I12120" s="14" t="e">
        <f>=Round(159456.87160000,0)</f>
        <v>#VALUE!</v>
      </c>
      <c r="J12120" s="14" t="e">
        <f>=Round(0.00000000,0)</f>
        <v>#VALUE!</v>
      </c>
    </row>
    <row r="12121">
      <c r="A12121" s="11" t="s">
        <v>55</v>
      </c>
      <c r="B12121" s="12">
        <v>1058.739</v>
      </c>
      <c r="C12121" s="12">
        <v>0</v>
      </c>
      <c r="D12121" s="13">
        <v>0</v>
      </c>
      <c r="E12121" s="12">
        <v>0</v>
      </c>
      <c r="F12121" s="14">
        <v>0</v>
      </c>
      <c r="G12121" s="13">
        <v>50000000</v>
      </c>
      <c r="H12121" s="14">
        <v>52936950000</v>
      </c>
      <c r="I12121" s="14" t="e">
        <f>=Round(159395.25960000,0)</f>
        <v>#VALUE!</v>
      </c>
      <c r="J12121" s="14" t="e">
        <f>=Round(0.00000000,0)</f>
        <v>#VALUE!</v>
      </c>
    </row>
    <row r="12122" ht="-1">
      <c r="A12122" s="15"/>
      <c r="B12122" s="16" t="s">
        <v>56</v>
      </c>
      <c r="C12122" s="15"/>
      <c r="D12122" s="15"/>
      <c r="E12122" s="15"/>
      <c r="F12122" s="15"/>
      <c r="G12122" s="15"/>
      <c r="H12122" s="15"/>
      <c r="I12122" s="17" t="e">
        <f>=Round(SUM(I12096:I12121),0)</f>
        <v>#VALUE!</v>
      </c>
      <c r="J12122" s="17" t="e">
        <f>=Round(SUM(J12096:J12121),0)</f>
        <v>#VALUE!</v>
      </c>
    </row>
    <row r="12123">
      <c r="A12123" s="1" t="s">
        <v>0</v>
      </c>
      <c r="B12123" s="1"/>
      <c r="C12123" s="1"/>
      <c r="D12123" s="1"/>
    </row>
    <row r="12124">
      <c r="A12124" s="0" t="s">
        <v>1</v>
      </c>
      <c r="C12124" s="0" t="s">
        <v>416</v>
      </c>
      <c r="H12124" s="2" t="s">
        <v>3</v>
      </c>
    </row>
    <row r="12125">
      <c r="A12125" s="0" t="s">
        <v>4</v>
      </c>
      <c r="C12125" s="0" t="s">
        <v>127</v>
      </c>
      <c r="H12125" s="3" t="s">
        <v>6</v>
      </c>
    </row>
    <row r="12126">
      <c r="A12126" s="0" t="s">
        <v>7</v>
      </c>
      <c r="C12126" s="4" t="s">
        <v>417</v>
      </c>
      <c r="H12126" s="2" t="s">
        <v>9</v>
      </c>
    </row>
    <row r="12127">
      <c r="A12127" s="0" t="s">
        <v>10</v>
      </c>
      <c r="C12127" s="4" t="s">
        <v>124</v>
      </c>
      <c r="H12127" s="2" t="s">
        <v>12</v>
      </c>
    </row>
    <row r="12128">
      <c r="A12128" s="0" t="s">
        <v>13</v>
      </c>
      <c r="C12128" s="0" t="s">
        <v>14</v>
      </c>
    </row>
    <row r="12129">
      <c r="A12129" s="0" t="s">
        <v>15</v>
      </c>
      <c r="C12129" s="0" t="s">
        <v>16</v>
      </c>
    </row>
    <row r="12130">
      <c r="A12130" s="0" t="s">
        <v>17</v>
      </c>
      <c r="C12130" s="0" t="s">
        <v>18</v>
      </c>
    </row>
    <row r="12133">
      <c r="A12133" s="5" t="s">
        <v>19</v>
      </c>
      <c r="B12133" s="5" t="s">
        <v>20</v>
      </c>
      <c r="C12133" s="7" t="s">
        <v>21</v>
      </c>
      <c r="D12133" s="9"/>
      <c r="E12133" s="7" t="s">
        <v>22</v>
      </c>
      <c r="F12133" s="9"/>
      <c r="G12133" s="5" t="s">
        <v>23</v>
      </c>
      <c r="H12133" s="5" t="s">
        <v>24</v>
      </c>
      <c r="I12133" s="5" t="s">
        <v>418</v>
      </c>
      <c r="J12133" s="5" t="s">
        <v>125</v>
      </c>
    </row>
    <row r="12134">
      <c r="A12134" s="6"/>
      <c r="B12134" s="6"/>
      <c r="C12134" s="8" t="s">
        <v>27</v>
      </c>
      <c r="D12134" s="8" t="s">
        <v>28</v>
      </c>
      <c r="E12134" s="8" t="s">
        <v>27</v>
      </c>
      <c r="F12134" s="8" t="s">
        <v>28</v>
      </c>
      <c r="G12134" s="6"/>
      <c r="H12134" s="6"/>
      <c r="I12134" s="10" t="s">
        <v>29</v>
      </c>
      <c r="J12134" s="6"/>
    </row>
    <row r="12135">
      <c r="A12135" s="11" t="s">
        <v>30</v>
      </c>
      <c r="B12135" s="12">
        <v>1006.743</v>
      </c>
      <c r="C12135" s="12">
        <v>0</v>
      </c>
      <c r="D12135" s="13">
        <v>0</v>
      </c>
      <c r="E12135" s="12">
        <v>0</v>
      </c>
      <c r="F12135" s="14">
        <v>0</v>
      </c>
      <c r="G12135" s="13">
        <v>39000</v>
      </c>
      <c r="H12135" s="14">
        <v>39262977</v>
      </c>
      <c r="I12135" s="14" t="e">
        <f>=Round(70.75280000,0)</f>
        <v>#VALUE!</v>
      </c>
      <c r="J12135" s="14" t="e">
        <f>=Round(32.16030000,0)</f>
        <v>#VALUE!</v>
      </c>
    </row>
    <row r="12136">
      <c r="A12136" s="11" t="s">
        <v>31</v>
      </c>
      <c r="B12136" s="12">
        <v>1006.969</v>
      </c>
      <c r="C12136" s="12">
        <v>0</v>
      </c>
      <c r="D12136" s="13">
        <v>0</v>
      </c>
      <c r="E12136" s="12">
        <v>0</v>
      </c>
      <c r="F12136" s="14">
        <v>0</v>
      </c>
      <c r="G12136" s="13">
        <v>39000</v>
      </c>
      <c r="H12136" s="14">
        <v>39271791</v>
      </c>
      <c r="I12136" s="14" t="e">
        <f>=Round(70.80210000,0)</f>
        <v>#VALUE!</v>
      </c>
      <c r="J12136" s="14" t="e">
        <f>=Round(32.18270000,0)</f>
        <v>#VALUE!</v>
      </c>
    </row>
    <row r="12137">
      <c r="A12137" s="11" t="s">
        <v>32</v>
      </c>
      <c r="B12137" s="12">
        <v>1007.196</v>
      </c>
      <c r="C12137" s="12">
        <v>0</v>
      </c>
      <c r="D12137" s="13">
        <v>0</v>
      </c>
      <c r="E12137" s="12">
        <v>0</v>
      </c>
      <c r="F12137" s="14">
        <v>0</v>
      </c>
      <c r="G12137" s="13">
        <v>39000</v>
      </c>
      <c r="H12137" s="14">
        <v>39280644</v>
      </c>
      <c r="I12137" s="14" t="e">
        <f>=Round(70.81800000,0)</f>
        <v>#VALUE!</v>
      </c>
      <c r="J12137" s="14" t="e">
        <f>=Round(32.19000000,0)</f>
        <v>#VALUE!</v>
      </c>
    </row>
    <row r="12138">
      <c r="A12138" s="11" t="s">
        <v>33</v>
      </c>
      <c r="B12138" s="12">
        <v>1007.499</v>
      </c>
      <c r="C12138" s="12">
        <v>0</v>
      </c>
      <c r="D12138" s="13">
        <v>0</v>
      </c>
      <c r="E12138" s="12">
        <v>0</v>
      </c>
      <c r="F12138" s="14">
        <v>0</v>
      </c>
      <c r="G12138" s="13">
        <v>39000</v>
      </c>
      <c r="H12138" s="14">
        <v>39292461</v>
      </c>
      <c r="I12138" s="14" t="e">
        <f>=Round(70.83390000,0)</f>
        <v>#VALUE!</v>
      </c>
      <c r="J12138" s="14" t="e">
        <f>=Round(32.19720000,0)</f>
        <v>#VALUE!</v>
      </c>
    </row>
    <row r="12139">
      <c r="A12139" s="11" t="s">
        <v>34</v>
      </c>
      <c r="B12139" s="12">
        <v>1007.726</v>
      </c>
      <c r="C12139" s="12">
        <v>0</v>
      </c>
      <c r="D12139" s="13">
        <v>0</v>
      </c>
      <c r="E12139" s="12">
        <v>0</v>
      </c>
      <c r="F12139" s="14">
        <v>0</v>
      </c>
      <c r="G12139" s="13">
        <v>39000</v>
      </c>
      <c r="H12139" s="14">
        <v>39301314</v>
      </c>
      <c r="I12139" s="14" t="e">
        <f>=Round(70.85530000,0)</f>
        <v>#VALUE!</v>
      </c>
      <c r="J12139" s="14" t="e">
        <f>=Round(32.20690000,0)</f>
        <v>#VALUE!</v>
      </c>
    </row>
    <row r="12140">
      <c r="A12140" s="11" t="s">
        <v>35</v>
      </c>
      <c r="B12140" s="12">
        <v>1007.726</v>
      </c>
      <c r="C12140" s="12">
        <v>0</v>
      </c>
      <c r="D12140" s="13">
        <v>0</v>
      </c>
      <c r="E12140" s="12">
        <v>0</v>
      </c>
      <c r="F12140" s="14">
        <v>0</v>
      </c>
      <c r="G12140" s="13">
        <v>39000</v>
      </c>
      <c r="H12140" s="14">
        <v>39301314</v>
      </c>
      <c r="I12140" s="14" t="e">
        <f>=Round(70.87120000,0)</f>
        <v>#VALUE!</v>
      </c>
      <c r="J12140" s="14" t="e">
        <f>=Round(32.21420000,0)</f>
        <v>#VALUE!</v>
      </c>
    </row>
    <row r="12141">
      <c r="A12141" s="11" t="s">
        <v>36</v>
      </c>
      <c r="B12141" s="12">
        <v>1007.726</v>
      </c>
      <c r="C12141" s="12">
        <v>0</v>
      </c>
      <c r="D12141" s="13">
        <v>0</v>
      </c>
      <c r="E12141" s="12">
        <v>0</v>
      </c>
      <c r="F12141" s="14">
        <v>0</v>
      </c>
      <c r="G12141" s="13">
        <v>39000</v>
      </c>
      <c r="H12141" s="14">
        <v>39301314</v>
      </c>
      <c r="I12141" s="14" t="e">
        <f>=Round(70.87120000,0)</f>
        <v>#VALUE!</v>
      </c>
      <c r="J12141" s="14" t="e">
        <f>=Round(32.21420000,0)</f>
        <v>#VALUE!</v>
      </c>
    </row>
    <row r="12142">
      <c r="A12142" s="11" t="s">
        <v>37</v>
      </c>
      <c r="B12142" s="12">
        <v>1008.407</v>
      </c>
      <c r="C12142" s="12">
        <v>0</v>
      </c>
      <c r="D12142" s="13">
        <v>0</v>
      </c>
      <c r="E12142" s="12">
        <v>0</v>
      </c>
      <c r="F12142" s="14">
        <v>0</v>
      </c>
      <c r="G12142" s="13">
        <v>39000</v>
      </c>
      <c r="H12142" s="14">
        <v>39327873</v>
      </c>
      <c r="I12142" s="14" t="e">
        <f>=Round(70.87120000,0)</f>
        <v>#VALUE!</v>
      </c>
      <c r="J12142" s="14" t="e">
        <f>=Round(32.21420000,0)</f>
        <v>#VALUE!</v>
      </c>
    </row>
    <row r="12143">
      <c r="A12143" s="11" t="s">
        <v>38</v>
      </c>
      <c r="B12143" s="12">
        <v>1008.634</v>
      </c>
      <c r="C12143" s="12">
        <v>0</v>
      </c>
      <c r="D12143" s="13">
        <v>0</v>
      </c>
      <c r="E12143" s="12">
        <v>0</v>
      </c>
      <c r="F12143" s="14">
        <v>0</v>
      </c>
      <c r="G12143" s="13">
        <v>39000</v>
      </c>
      <c r="H12143" s="14">
        <v>39336726</v>
      </c>
      <c r="I12143" s="14" t="e">
        <f>=Round(70.91910000,0)</f>
        <v>#VALUE!</v>
      </c>
      <c r="J12143" s="14" t="e">
        <f>=Round(32.23590000,0)</f>
        <v>#VALUE!</v>
      </c>
    </row>
    <row r="12144">
      <c r="A12144" s="11" t="s">
        <v>39</v>
      </c>
      <c r="B12144" s="12">
        <v>1009.303</v>
      </c>
      <c r="C12144" s="12">
        <v>0</v>
      </c>
      <c r="D12144" s="13">
        <v>0</v>
      </c>
      <c r="E12144" s="12">
        <v>0</v>
      </c>
      <c r="F12144" s="14">
        <v>0</v>
      </c>
      <c r="G12144" s="13">
        <v>39000</v>
      </c>
      <c r="H12144" s="14">
        <v>39362817</v>
      </c>
      <c r="I12144" s="14" t="e">
        <f>=Round(70.93510000,0)</f>
        <v>#VALUE!</v>
      </c>
      <c r="J12144" s="14" t="e">
        <f>=Round(32.24320000,0)</f>
        <v>#VALUE!</v>
      </c>
    </row>
    <row r="12145">
      <c r="A12145" s="11" t="s">
        <v>40</v>
      </c>
      <c r="B12145" s="12">
        <v>1009.597</v>
      </c>
      <c r="C12145" s="12">
        <v>0</v>
      </c>
      <c r="D12145" s="13">
        <v>0</v>
      </c>
      <c r="E12145" s="12">
        <v>0</v>
      </c>
      <c r="F12145" s="14">
        <v>0</v>
      </c>
      <c r="G12145" s="13">
        <v>39000</v>
      </c>
      <c r="H12145" s="14">
        <v>39374283</v>
      </c>
      <c r="I12145" s="14" t="e">
        <f>=Round(70.98210000,0)</f>
        <v>#VALUE!</v>
      </c>
      <c r="J12145" s="14" t="e">
        <f>=Round(32.26460000,0)</f>
        <v>#VALUE!</v>
      </c>
    </row>
    <row r="12146">
      <c r="A12146" s="11" t="s">
        <v>41</v>
      </c>
      <c r="B12146" s="12">
        <v>1009.972</v>
      </c>
      <c r="C12146" s="12">
        <v>0</v>
      </c>
      <c r="D12146" s="13">
        <v>0</v>
      </c>
      <c r="E12146" s="12">
        <v>0</v>
      </c>
      <c r="F12146" s="14">
        <v>0</v>
      </c>
      <c r="G12146" s="13">
        <v>39000</v>
      </c>
      <c r="H12146" s="14">
        <v>39388908</v>
      </c>
      <c r="I12146" s="14" t="e">
        <f>=Round(71.00280000,0)</f>
        <v>#VALUE!</v>
      </c>
      <c r="J12146" s="14" t="e">
        <f>=Round(32.27400000,0)</f>
        <v>#VALUE!</v>
      </c>
    </row>
    <row r="12147">
      <c r="A12147" s="11" t="s">
        <v>42</v>
      </c>
      <c r="B12147" s="12">
        <v>1009.972</v>
      </c>
      <c r="C12147" s="12">
        <v>0</v>
      </c>
      <c r="D12147" s="13">
        <v>0</v>
      </c>
      <c r="E12147" s="12">
        <v>0</v>
      </c>
      <c r="F12147" s="14">
        <v>0</v>
      </c>
      <c r="G12147" s="13">
        <v>39000</v>
      </c>
      <c r="H12147" s="14">
        <v>39388908</v>
      </c>
      <c r="I12147" s="14" t="e">
        <f>=Round(71.02920000,0)</f>
        <v>#VALUE!</v>
      </c>
      <c r="J12147" s="14" t="e">
        <f>=Round(32.28600000,0)</f>
        <v>#VALUE!</v>
      </c>
    </row>
    <row r="12148">
      <c r="A12148" s="11" t="s">
        <v>43</v>
      </c>
      <c r="B12148" s="12">
        <v>1009.972</v>
      </c>
      <c r="C12148" s="12">
        <v>0</v>
      </c>
      <c r="D12148" s="13">
        <v>0</v>
      </c>
      <c r="E12148" s="12">
        <v>0</v>
      </c>
      <c r="F12148" s="14">
        <v>0</v>
      </c>
      <c r="G12148" s="13">
        <v>39000</v>
      </c>
      <c r="H12148" s="14">
        <v>39388908</v>
      </c>
      <c r="I12148" s="14" t="e">
        <f>=Round(71.02920000,0)</f>
        <v>#VALUE!</v>
      </c>
      <c r="J12148" s="14" t="e">
        <f>=Round(32.28600000,0)</f>
        <v>#VALUE!</v>
      </c>
    </row>
    <row r="12149">
      <c r="A12149" s="11" t="s">
        <v>44</v>
      </c>
      <c r="B12149" s="12">
        <v>1010.88</v>
      </c>
      <c r="C12149" s="12">
        <v>0</v>
      </c>
      <c r="D12149" s="13">
        <v>0</v>
      </c>
      <c r="E12149" s="12">
        <v>0</v>
      </c>
      <c r="F12149" s="14">
        <v>0</v>
      </c>
      <c r="G12149" s="13">
        <v>39000</v>
      </c>
      <c r="H12149" s="14">
        <v>39424320</v>
      </c>
      <c r="I12149" s="14" t="e">
        <f>=Round(71.02920000,0)</f>
        <v>#VALUE!</v>
      </c>
      <c r="J12149" s="14" t="e">
        <f>=Round(32.28600000,0)</f>
        <v>#VALUE!</v>
      </c>
    </row>
    <row r="12150">
      <c r="A12150" s="11" t="s">
        <v>45</v>
      </c>
      <c r="B12150" s="12">
        <v>1011.107</v>
      </c>
      <c r="C12150" s="12">
        <v>0</v>
      </c>
      <c r="D12150" s="13">
        <v>0</v>
      </c>
      <c r="E12150" s="12">
        <v>0</v>
      </c>
      <c r="F12150" s="14">
        <v>0</v>
      </c>
      <c r="G12150" s="13">
        <v>39000</v>
      </c>
      <c r="H12150" s="14">
        <v>39433173</v>
      </c>
      <c r="I12150" s="14" t="e">
        <f>=Round(71.09300000,0)</f>
        <v>#VALUE!</v>
      </c>
      <c r="J12150" s="14" t="e">
        <f>=Round(32.31500000,0)</f>
        <v>#VALUE!</v>
      </c>
    </row>
    <row r="12151">
      <c r="A12151" s="11" t="s">
        <v>46</v>
      </c>
      <c r="B12151" s="12">
        <v>1011.417</v>
      </c>
      <c r="C12151" s="12">
        <v>0</v>
      </c>
      <c r="D12151" s="13">
        <v>0</v>
      </c>
      <c r="E12151" s="12">
        <v>0</v>
      </c>
      <c r="F12151" s="14">
        <v>0</v>
      </c>
      <c r="G12151" s="13">
        <v>39000</v>
      </c>
      <c r="H12151" s="14">
        <v>39445263</v>
      </c>
      <c r="I12151" s="14" t="e">
        <f>=Round(71.10900000,0)</f>
        <v>#VALUE!</v>
      </c>
      <c r="J12151" s="14" t="e">
        <f>=Round(32.32220000,0)</f>
        <v>#VALUE!</v>
      </c>
    </row>
    <row r="12152">
      <c r="A12152" s="11" t="s">
        <v>47</v>
      </c>
      <c r="B12152" s="12">
        <v>1011.657</v>
      </c>
      <c r="C12152" s="12">
        <v>0</v>
      </c>
      <c r="D12152" s="13">
        <v>0</v>
      </c>
      <c r="E12152" s="12">
        <v>0</v>
      </c>
      <c r="F12152" s="14">
        <v>0</v>
      </c>
      <c r="G12152" s="13">
        <v>39000</v>
      </c>
      <c r="H12152" s="14">
        <v>39454623</v>
      </c>
      <c r="I12152" s="14" t="e">
        <f>=Round(71.13080000,0)</f>
        <v>#VALUE!</v>
      </c>
      <c r="J12152" s="14" t="e">
        <f>=Round(32.33220000,0)</f>
        <v>#VALUE!</v>
      </c>
    </row>
    <row r="12153">
      <c r="A12153" s="11" t="s">
        <v>48</v>
      </c>
      <c r="B12153" s="12">
        <v>1012.009</v>
      </c>
      <c r="C12153" s="12">
        <v>0</v>
      </c>
      <c r="D12153" s="13">
        <v>0</v>
      </c>
      <c r="E12153" s="12">
        <v>0</v>
      </c>
      <c r="F12153" s="14">
        <v>0</v>
      </c>
      <c r="G12153" s="13">
        <v>39000</v>
      </c>
      <c r="H12153" s="14">
        <v>39468351</v>
      </c>
      <c r="I12153" s="14" t="e">
        <f>=Round(71.14770000,0)</f>
        <v>#VALUE!</v>
      </c>
      <c r="J12153" s="14" t="e">
        <f>=Round(32.33980000,0)</f>
        <v>#VALUE!</v>
      </c>
    </row>
    <row r="12154">
      <c r="A12154" s="11" t="s">
        <v>49</v>
      </c>
      <c r="B12154" s="12">
        <v>1012.009</v>
      </c>
      <c r="C12154" s="12">
        <v>0</v>
      </c>
      <c r="D12154" s="13">
        <v>0</v>
      </c>
      <c r="E12154" s="12">
        <v>0</v>
      </c>
      <c r="F12154" s="14">
        <v>0</v>
      </c>
      <c r="G12154" s="13">
        <v>39000</v>
      </c>
      <c r="H12154" s="14">
        <v>39468351</v>
      </c>
      <c r="I12154" s="14" t="e">
        <f>=Round(71.17240000,0)</f>
        <v>#VALUE!</v>
      </c>
      <c r="J12154" s="14" t="e">
        <f>=Round(32.35110000,0)</f>
        <v>#VALUE!</v>
      </c>
    </row>
    <row r="12155">
      <c r="A12155" s="11" t="s">
        <v>50</v>
      </c>
      <c r="B12155" s="12">
        <v>1012.009</v>
      </c>
      <c r="C12155" s="12">
        <v>0</v>
      </c>
      <c r="D12155" s="13">
        <v>0</v>
      </c>
      <c r="E12155" s="12">
        <v>0</v>
      </c>
      <c r="F12155" s="14">
        <v>0</v>
      </c>
      <c r="G12155" s="13">
        <v>39000</v>
      </c>
      <c r="H12155" s="14">
        <v>39468351</v>
      </c>
      <c r="I12155" s="14" t="e">
        <f>=Round(71.17240000,0)</f>
        <v>#VALUE!</v>
      </c>
      <c r="J12155" s="14" t="e">
        <f>=Round(32.35110000,0)</f>
        <v>#VALUE!</v>
      </c>
    </row>
    <row r="12156">
      <c r="A12156" s="11" t="s">
        <v>51</v>
      </c>
      <c r="B12156" s="12">
        <v>1012.69</v>
      </c>
      <c r="C12156" s="12">
        <v>0</v>
      </c>
      <c r="D12156" s="13">
        <v>0</v>
      </c>
      <c r="E12156" s="12">
        <v>0</v>
      </c>
      <c r="F12156" s="14">
        <v>0</v>
      </c>
      <c r="G12156" s="13">
        <v>39000</v>
      </c>
      <c r="H12156" s="14">
        <v>39494910</v>
      </c>
      <c r="I12156" s="14" t="e">
        <f>=Round(71.17240000,0)</f>
        <v>#VALUE!</v>
      </c>
      <c r="J12156" s="14" t="e">
        <f>=Round(32.35110000,0)</f>
        <v>#VALUE!</v>
      </c>
    </row>
    <row r="12157">
      <c r="A12157" s="11" t="s">
        <v>52</v>
      </c>
      <c r="B12157" s="12">
        <v>1012.917</v>
      </c>
      <c r="C12157" s="12">
        <v>0</v>
      </c>
      <c r="D12157" s="13">
        <v>0</v>
      </c>
      <c r="E12157" s="12">
        <v>0</v>
      </c>
      <c r="F12157" s="14">
        <v>0</v>
      </c>
      <c r="G12157" s="13">
        <v>39000</v>
      </c>
      <c r="H12157" s="14">
        <v>39503763</v>
      </c>
      <c r="I12157" s="14" t="e">
        <f>=Round(71.22030000,0)</f>
        <v>#VALUE!</v>
      </c>
      <c r="J12157" s="14" t="e">
        <f>=Round(32.37280000,0)</f>
        <v>#VALUE!</v>
      </c>
    </row>
    <row r="12158">
      <c r="A12158" s="11" t="s">
        <v>53</v>
      </c>
      <c r="B12158" s="12">
        <v>1013.144</v>
      </c>
      <c r="C12158" s="12">
        <v>0</v>
      </c>
      <c r="D12158" s="13">
        <v>0</v>
      </c>
      <c r="E12158" s="12">
        <v>0</v>
      </c>
      <c r="F12158" s="14">
        <v>0</v>
      </c>
      <c r="G12158" s="13">
        <v>39000</v>
      </c>
      <c r="H12158" s="14">
        <v>39512616</v>
      </c>
      <c r="I12158" s="14" t="e">
        <f>=Round(71.23630000,0)</f>
        <v>#VALUE!</v>
      </c>
      <c r="J12158" s="14" t="e">
        <f>=Round(32.38010000,0)</f>
        <v>#VALUE!</v>
      </c>
    </row>
    <row r="12159">
      <c r="A12159" s="11" t="s">
        <v>54</v>
      </c>
      <c r="B12159" s="12">
        <v>1013.371</v>
      </c>
      <c r="C12159" s="12">
        <v>0</v>
      </c>
      <c r="D12159" s="13">
        <v>0</v>
      </c>
      <c r="E12159" s="12">
        <v>0</v>
      </c>
      <c r="F12159" s="14">
        <v>0</v>
      </c>
      <c r="G12159" s="13">
        <v>39000</v>
      </c>
      <c r="H12159" s="14">
        <v>39521469</v>
      </c>
      <c r="I12159" s="14" t="e">
        <f>=Round(71.25230000,0)</f>
        <v>#VALUE!</v>
      </c>
      <c r="J12159" s="14" t="e">
        <f>=Round(32.38740000,0)</f>
        <v>#VALUE!</v>
      </c>
    </row>
    <row r="12160">
      <c r="A12160" s="11" t="s">
        <v>55</v>
      </c>
      <c r="B12160" s="12">
        <v>1013.598</v>
      </c>
      <c r="C12160" s="12">
        <v>0</v>
      </c>
      <c r="D12160" s="13">
        <v>0</v>
      </c>
      <c r="E12160" s="12">
        <v>0</v>
      </c>
      <c r="F12160" s="14">
        <v>0</v>
      </c>
      <c r="G12160" s="13">
        <v>39000</v>
      </c>
      <c r="H12160" s="14">
        <v>39530322</v>
      </c>
      <c r="I12160" s="14" t="e">
        <f>=Round(71.26820000,0)</f>
        <v>#VALUE!</v>
      </c>
      <c r="J12160" s="14" t="e">
        <f>=Round(32.39460000,0)</f>
        <v>#VALUE!</v>
      </c>
    </row>
    <row r="12161" ht="-1">
      <c r="A12161" s="15"/>
      <c r="B12161" s="16" t="s">
        <v>56</v>
      </c>
      <c r="C12161" s="15"/>
      <c r="D12161" s="15"/>
      <c r="E12161" s="15"/>
      <c r="F12161" s="15"/>
      <c r="G12161" s="15"/>
      <c r="H12161" s="15"/>
      <c r="I12161" s="17" t="e">
        <f>=Round(SUM(I12135:I12160),0)</f>
        <v>#VALUE!</v>
      </c>
      <c r="J12161" s="17" t="e">
        <f>=Round(SUM(J12135:J12160),0)</f>
        <v>#VALUE!</v>
      </c>
    </row>
    <row r="12162">
      <c r="A12162" s="1" t="s">
        <v>0</v>
      </c>
      <c r="B12162" s="1"/>
      <c r="C12162" s="1"/>
      <c r="D12162" s="1"/>
    </row>
    <row r="12163">
      <c r="A12163" s="0" t="s">
        <v>1</v>
      </c>
      <c r="C12163" s="0" t="s">
        <v>416</v>
      </c>
      <c r="H12163" s="2" t="s">
        <v>3</v>
      </c>
    </row>
    <row r="12164">
      <c r="A12164" s="0" t="s">
        <v>4</v>
      </c>
      <c r="C12164" s="0" t="s">
        <v>413</v>
      </c>
      <c r="H12164" s="3" t="s">
        <v>6</v>
      </c>
    </row>
    <row r="12165">
      <c r="A12165" s="0" t="s">
        <v>7</v>
      </c>
      <c r="C12165" s="4" t="s">
        <v>417</v>
      </c>
      <c r="H12165" s="2" t="s">
        <v>9</v>
      </c>
    </row>
    <row r="12166">
      <c r="A12166" s="0" t="s">
        <v>10</v>
      </c>
      <c r="C12166" s="4" t="s">
        <v>124</v>
      </c>
      <c r="H12166" s="2" t="s">
        <v>12</v>
      </c>
    </row>
    <row r="12167">
      <c r="A12167" s="0" t="s">
        <v>13</v>
      </c>
      <c r="C12167" s="0" t="s">
        <v>14</v>
      </c>
    </row>
    <row r="12168">
      <c r="A12168" s="0" t="s">
        <v>15</v>
      </c>
      <c r="C12168" s="0" t="s">
        <v>16</v>
      </c>
    </row>
    <row r="12169">
      <c r="A12169" s="0" t="s">
        <v>17</v>
      </c>
      <c r="C12169" s="0" t="s">
        <v>18</v>
      </c>
    </row>
    <row r="12172">
      <c r="A12172" s="5" t="s">
        <v>19</v>
      </c>
      <c r="B12172" s="5" t="s">
        <v>20</v>
      </c>
      <c r="C12172" s="7" t="s">
        <v>21</v>
      </c>
      <c r="D12172" s="9"/>
      <c r="E12172" s="7" t="s">
        <v>22</v>
      </c>
      <c r="F12172" s="9"/>
      <c r="G12172" s="5" t="s">
        <v>23</v>
      </c>
      <c r="H12172" s="5" t="s">
        <v>24</v>
      </c>
      <c r="I12172" s="5" t="s">
        <v>418</v>
      </c>
      <c r="J12172" s="5" t="s">
        <v>125</v>
      </c>
    </row>
    <row r="12173">
      <c r="A12173" s="6"/>
      <c r="B12173" s="6"/>
      <c r="C12173" s="8" t="s">
        <v>27</v>
      </c>
      <c r="D12173" s="8" t="s">
        <v>28</v>
      </c>
      <c r="E12173" s="8" t="s">
        <v>27</v>
      </c>
      <c r="F12173" s="8" t="s">
        <v>28</v>
      </c>
      <c r="G12173" s="6"/>
      <c r="H12173" s="6"/>
      <c r="I12173" s="10" t="s">
        <v>29</v>
      </c>
      <c r="J12173" s="6"/>
    </row>
    <row r="12174">
      <c r="A12174" s="11" t="s">
        <v>30</v>
      </c>
      <c r="B12174" s="12">
        <v>1006.743</v>
      </c>
      <c r="C12174" s="12">
        <v>0</v>
      </c>
      <c r="D12174" s="13">
        <v>0</v>
      </c>
      <c r="E12174" s="12">
        <v>0</v>
      </c>
      <c r="F12174" s="14">
        <v>0</v>
      </c>
      <c r="G12174" s="13">
        <v>78244000</v>
      </c>
      <c r="H12174" s="14">
        <v>78771599292</v>
      </c>
      <c r="I12174" s="14" t="e">
        <f>=Round(141948.23820000,0)</f>
        <v>#VALUE!</v>
      </c>
      <c r="J12174" s="14" t="e">
        <f>=Round(64521.86190000,0)</f>
        <v>#VALUE!</v>
      </c>
    </row>
    <row r="12175">
      <c r="A12175" s="11" t="s">
        <v>31</v>
      </c>
      <c r="B12175" s="12">
        <v>1006.969</v>
      </c>
      <c r="C12175" s="12">
        <v>0</v>
      </c>
      <c r="D12175" s="13">
        <v>0</v>
      </c>
      <c r="E12175" s="12">
        <v>0</v>
      </c>
      <c r="F12175" s="14">
        <v>0</v>
      </c>
      <c r="G12175" s="13">
        <v>78244000</v>
      </c>
      <c r="H12175" s="14">
        <v>78789282436</v>
      </c>
      <c r="I12175" s="14" t="e">
        <f>=Round(142047.14630000,0)</f>
        <v>#VALUE!</v>
      </c>
      <c r="J12175" s="14" t="e">
        <f>=Round(64566.82010000,0)</f>
        <v>#VALUE!</v>
      </c>
    </row>
    <row r="12176">
      <c r="A12176" s="11" t="s">
        <v>32</v>
      </c>
      <c r="B12176" s="12">
        <v>1007.196</v>
      </c>
      <c r="C12176" s="12">
        <v>0</v>
      </c>
      <c r="D12176" s="13">
        <v>0</v>
      </c>
      <c r="E12176" s="12">
        <v>0</v>
      </c>
      <c r="F12176" s="14">
        <v>0</v>
      </c>
      <c r="G12176" s="13">
        <v>78244000</v>
      </c>
      <c r="H12176" s="14">
        <v>78807043824</v>
      </c>
      <c r="I12176" s="14" t="e">
        <f>=Round(142079.03390000,0)</f>
        <v>#VALUE!</v>
      </c>
      <c r="J12176" s="14" t="e">
        <f>=Round(64581.31450000,0)</f>
        <v>#VALUE!</v>
      </c>
    </row>
    <row r="12177">
      <c r="A12177" s="11" t="s">
        <v>33</v>
      </c>
      <c r="B12177" s="12">
        <v>1007.499</v>
      </c>
      <c r="C12177" s="12">
        <v>0</v>
      </c>
      <c r="D12177" s="13">
        <v>0</v>
      </c>
      <c r="E12177" s="12">
        <v>0</v>
      </c>
      <c r="F12177" s="14">
        <v>0</v>
      </c>
      <c r="G12177" s="13">
        <v>78244000</v>
      </c>
      <c r="H12177" s="14">
        <v>78830751756</v>
      </c>
      <c r="I12177" s="14" t="e">
        <f>=Round(142111.06260000,0)</f>
        <v>#VALUE!</v>
      </c>
      <c r="J12177" s="14" t="e">
        <f>=Round(64595.87300000,0)</f>
        <v>#VALUE!</v>
      </c>
    </row>
    <row r="12178">
      <c r="A12178" s="11" t="s">
        <v>34</v>
      </c>
      <c r="B12178" s="12">
        <v>1007.726</v>
      </c>
      <c r="C12178" s="12">
        <v>0</v>
      </c>
      <c r="D12178" s="13">
        <v>0</v>
      </c>
      <c r="E12178" s="12">
        <v>0</v>
      </c>
      <c r="F12178" s="14">
        <v>0</v>
      </c>
      <c r="G12178" s="13">
        <v>78244000</v>
      </c>
      <c r="H12178" s="14">
        <v>78848513144</v>
      </c>
      <c r="I12178" s="14" t="e">
        <f>=Round(142153.81460000,0)</f>
        <v>#VALUE!</v>
      </c>
      <c r="J12178" s="14" t="e">
        <f>=Round(64615.30570000,0)</f>
        <v>#VALUE!</v>
      </c>
    </row>
    <row r="12179">
      <c r="A12179" s="11" t="s">
        <v>35</v>
      </c>
      <c r="B12179" s="12">
        <v>1007.726</v>
      </c>
      <c r="C12179" s="12">
        <v>0</v>
      </c>
      <c r="D12179" s="13">
        <v>0</v>
      </c>
      <c r="E12179" s="12">
        <v>0</v>
      </c>
      <c r="F12179" s="14">
        <v>0</v>
      </c>
      <c r="G12179" s="13">
        <v>78244000</v>
      </c>
      <c r="H12179" s="14">
        <v>78848513144</v>
      </c>
      <c r="I12179" s="14" t="e">
        <f>=Round(142185.84340000,0)</f>
        <v>#VALUE!</v>
      </c>
      <c r="J12179" s="14" t="e">
        <f>=Round(64629.86420000,0)</f>
        <v>#VALUE!</v>
      </c>
    </row>
    <row r="12180">
      <c r="A12180" s="11" t="s">
        <v>36</v>
      </c>
      <c r="B12180" s="12">
        <v>1007.726</v>
      </c>
      <c r="C12180" s="12">
        <v>0</v>
      </c>
      <c r="D12180" s="13">
        <v>0</v>
      </c>
      <c r="E12180" s="12">
        <v>0</v>
      </c>
      <c r="F12180" s="14">
        <v>0</v>
      </c>
      <c r="G12180" s="13">
        <v>78244000</v>
      </c>
      <c r="H12180" s="14">
        <v>78848513144</v>
      </c>
      <c r="I12180" s="14" t="e">
        <f>=Round(142185.84340000,0)</f>
        <v>#VALUE!</v>
      </c>
      <c r="J12180" s="14" t="e">
        <f>=Round(64629.86420000,0)</f>
        <v>#VALUE!</v>
      </c>
    </row>
    <row r="12181">
      <c r="A12181" s="11" t="s">
        <v>37</v>
      </c>
      <c r="B12181" s="12">
        <v>1008.407</v>
      </c>
      <c r="C12181" s="12">
        <v>0</v>
      </c>
      <c r="D12181" s="13">
        <v>0</v>
      </c>
      <c r="E12181" s="12">
        <v>0</v>
      </c>
      <c r="F12181" s="14">
        <v>0</v>
      </c>
      <c r="G12181" s="13">
        <v>78244000</v>
      </c>
      <c r="H12181" s="14">
        <v>78901797308</v>
      </c>
      <c r="I12181" s="14" t="e">
        <f>=Round(142185.84340000,0)</f>
        <v>#VALUE!</v>
      </c>
      <c r="J12181" s="14" t="e">
        <f>=Round(64629.86420000,0)</f>
        <v>#VALUE!</v>
      </c>
    </row>
    <row r="12182">
      <c r="A12182" s="11" t="s">
        <v>38</v>
      </c>
      <c r="B12182" s="12">
        <v>1008.634</v>
      </c>
      <c r="C12182" s="12">
        <v>0</v>
      </c>
      <c r="D12182" s="13">
        <v>0</v>
      </c>
      <c r="E12182" s="12">
        <v>0</v>
      </c>
      <c r="F12182" s="14">
        <v>0</v>
      </c>
      <c r="G12182" s="13">
        <v>78244000</v>
      </c>
      <c r="H12182" s="14">
        <v>78919558696</v>
      </c>
      <c r="I12182" s="14" t="e">
        <f>=Round(142281.92960000,0)</f>
        <v>#VALUE!</v>
      </c>
      <c r="J12182" s="14" t="e">
        <f>=Round(64673.53970000,0)</f>
        <v>#VALUE!</v>
      </c>
    </row>
    <row r="12183">
      <c r="A12183" s="11" t="s">
        <v>39</v>
      </c>
      <c r="B12183" s="12">
        <v>1009.303</v>
      </c>
      <c r="C12183" s="12">
        <v>0</v>
      </c>
      <c r="D12183" s="13">
        <v>0</v>
      </c>
      <c r="E12183" s="12">
        <v>0</v>
      </c>
      <c r="F12183" s="14">
        <v>0</v>
      </c>
      <c r="G12183" s="13">
        <v>78244000</v>
      </c>
      <c r="H12183" s="14">
        <v>78971903932</v>
      </c>
      <c r="I12183" s="14" t="e">
        <f>=Round(142313.95830000,0)</f>
        <v>#VALUE!</v>
      </c>
      <c r="J12183" s="14" t="e">
        <f>=Round(64688.09820000,0)</f>
        <v>#VALUE!</v>
      </c>
    </row>
    <row r="12184">
      <c r="A12184" s="11" t="s">
        <v>40</v>
      </c>
      <c r="B12184" s="12">
        <v>1009.597</v>
      </c>
      <c r="C12184" s="12">
        <v>0</v>
      </c>
      <c r="D12184" s="13">
        <v>0</v>
      </c>
      <c r="E12184" s="12">
        <v>0</v>
      </c>
      <c r="F12184" s="14">
        <v>0</v>
      </c>
      <c r="G12184" s="13">
        <v>78244000</v>
      </c>
      <c r="H12184" s="14">
        <v>78994907668</v>
      </c>
      <c r="I12184" s="14" t="e">
        <f>=Round(142408.35140000,0)</f>
        <v>#VALUE!</v>
      </c>
      <c r="J12184" s="14" t="e">
        <f>=Round(64731.00410000,0)</f>
        <v>#VALUE!</v>
      </c>
    </row>
    <row r="12185">
      <c r="A12185" s="11" t="s">
        <v>41</v>
      </c>
      <c r="B12185" s="12">
        <v>1009.972</v>
      </c>
      <c r="C12185" s="12">
        <v>0</v>
      </c>
      <c r="D12185" s="13">
        <v>0</v>
      </c>
      <c r="E12185" s="12">
        <v>0</v>
      </c>
      <c r="F12185" s="14">
        <v>0</v>
      </c>
      <c r="G12185" s="13">
        <v>78244000</v>
      </c>
      <c r="H12185" s="14">
        <v>79024249168</v>
      </c>
      <c r="I12185" s="14" t="e">
        <f>=Round(142449.83350000,0)</f>
        <v>#VALUE!</v>
      </c>
      <c r="J12185" s="14" t="e">
        <f>=Round(64749.85960000,0)</f>
        <v>#VALUE!</v>
      </c>
    </row>
    <row r="12186">
      <c r="A12186" s="11" t="s">
        <v>42</v>
      </c>
      <c r="B12186" s="12">
        <v>1009.972</v>
      </c>
      <c r="C12186" s="12">
        <v>0</v>
      </c>
      <c r="D12186" s="13">
        <v>0</v>
      </c>
      <c r="E12186" s="12">
        <v>0</v>
      </c>
      <c r="F12186" s="14">
        <v>0</v>
      </c>
      <c r="G12186" s="13">
        <v>78244000</v>
      </c>
      <c r="H12186" s="14">
        <v>79024249168</v>
      </c>
      <c r="I12186" s="14" t="e">
        <f>=Round(142502.74440000,0)</f>
        <v>#VALUE!</v>
      </c>
      <c r="J12186" s="14" t="e">
        <f>=Round(64773.91000000,0)</f>
        <v>#VALUE!</v>
      </c>
    </row>
    <row r="12187">
      <c r="A12187" s="11" t="s">
        <v>43</v>
      </c>
      <c r="B12187" s="12">
        <v>1009.972</v>
      </c>
      <c r="C12187" s="12">
        <v>0</v>
      </c>
      <c r="D12187" s="13">
        <v>0</v>
      </c>
      <c r="E12187" s="12">
        <v>0</v>
      </c>
      <c r="F12187" s="14">
        <v>0</v>
      </c>
      <c r="G12187" s="13">
        <v>78244000</v>
      </c>
      <c r="H12187" s="14">
        <v>79024249168</v>
      </c>
      <c r="I12187" s="14" t="e">
        <f>=Round(142502.74440000,0)</f>
        <v>#VALUE!</v>
      </c>
      <c r="J12187" s="14" t="e">
        <f>=Round(64773.91000000,0)</f>
        <v>#VALUE!</v>
      </c>
    </row>
    <row r="12188">
      <c r="A12188" s="11" t="s">
        <v>44</v>
      </c>
      <c r="B12188" s="12">
        <v>1010.88</v>
      </c>
      <c r="C12188" s="12">
        <v>0</v>
      </c>
      <c r="D12188" s="13">
        <v>0</v>
      </c>
      <c r="E12188" s="12">
        <v>0</v>
      </c>
      <c r="F12188" s="14">
        <v>0</v>
      </c>
      <c r="G12188" s="13">
        <v>78244000</v>
      </c>
      <c r="H12188" s="14">
        <v>79095294720</v>
      </c>
      <c r="I12188" s="14" t="e">
        <f>=Round(142502.74440000,0)</f>
        <v>#VALUE!</v>
      </c>
      <c r="J12188" s="14" t="e">
        <f>=Round(64773.91000000,0)</f>
        <v>#VALUE!</v>
      </c>
    </row>
    <row r="12189">
      <c r="A12189" s="11" t="s">
        <v>45</v>
      </c>
      <c r="B12189" s="12">
        <v>1011.107</v>
      </c>
      <c r="C12189" s="12">
        <v>0</v>
      </c>
      <c r="D12189" s="13">
        <v>0</v>
      </c>
      <c r="E12189" s="12">
        <v>0</v>
      </c>
      <c r="F12189" s="14">
        <v>0</v>
      </c>
      <c r="G12189" s="13">
        <v>78244000</v>
      </c>
      <c r="H12189" s="14">
        <v>79113056108</v>
      </c>
      <c r="I12189" s="14" t="e">
        <f>=Round(142630.85930000,0)</f>
        <v>#VALUE!</v>
      </c>
      <c r="J12189" s="14" t="e">
        <f>=Round(64832.14400000,0)</f>
        <v>#VALUE!</v>
      </c>
    </row>
    <row r="12190">
      <c r="A12190" s="11" t="s">
        <v>46</v>
      </c>
      <c r="B12190" s="12">
        <v>1011.417</v>
      </c>
      <c r="C12190" s="12">
        <v>0</v>
      </c>
      <c r="D12190" s="13">
        <v>0</v>
      </c>
      <c r="E12190" s="12">
        <v>0</v>
      </c>
      <c r="F12190" s="14">
        <v>0</v>
      </c>
      <c r="G12190" s="13">
        <v>78244000</v>
      </c>
      <c r="H12190" s="14">
        <v>79137311748</v>
      </c>
      <c r="I12190" s="14" t="e">
        <f>=Round(142662.88810000,0)</f>
        <v>#VALUE!</v>
      </c>
      <c r="J12190" s="14" t="e">
        <f>=Round(64846.70250000,0)</f>
        <v>#VALUE!</v>
      </c>
    </row>
    <row r="12191">
      <c r="A12191" s="11" t="s">
        <v>47</v>
      </c>
      <c r="B12191" s="12">
        <v>1011.657</v>
      </c>
      <c r="C12191" s="12">
        <v>0</v>
      </c>
      <c r="D12191" s="13">
        <v>0</v>
      </c>
      <c r="E12191" s="12">
        <v>0</v>
      </c>
      <c r="F12191" s="14">
        <v>0</v>
      </c>
      <c r="G12191" s="13">
        <v>78244000</v>
      </c>
      <c r="H12191" s="14">
        <v>79156090308</v>
      </c>
      <c r="I12191" s="14" t="e">
        <f>=Round(142706.62770000,0)</f>
        <v>#VALUE!</v>
      </c>
      <c r="J12191" s="14" t="e">
        <f>=Round(64866.58410000,0)</f>
        <v>#VALUE!</v>
      </c>
    </row>
    <row r="12192">
      <c r="A12192" s="11" t="s">
        <v>48</v>
      </c>
      <c r="B12192" s="12">
        <v>1012.009</v>
      </c>
      <c r="C12192" s="12">
        <v>0</v>
      </c>
      <c r="D12192" s="13">
        <v>0</v>
      </c>
      <c r="E12192" s="12">
        <v>0</v>
      </c>
      <c r="F12192" s="14">
        <v>0</v>
      </c>
      <c r="G12192" s="13">
        <v>78244000</v>
      </c>
      <c r="H12192" s="14">
        <v>79183632196</v>
      </c>
      <c r="I12192" s="14" t="e">
        <f>=Round(142740.49070000,0)</f>
        <v>#VALUE!</v>
      </c>
      <c r="J12192" s="14" t="e">
        <f>=Round(64881.97640000,0)</f>
        <v>#VALUE!</v>
      </c>
    </row>
    <row r="12193">
      <c r="A12193" s="11" t="s">
        <v>49</v>
      </c>
      <c r="B12193" s="12">
        <v>1012.009</v>
      </c>
      <c r="C12193" s="12">
        <v>0</v>
      </c>
      <c r="D12193" s="13">
        <v>0</v>
      </c>
      <c r="E12193" s="12">
        <v>0</v>
      </c>
      <c r="F12193" s="14">
        <v>0</v>
      </c>
      <c r="G12193" s="13">
        <v>78244000</v>
      </c>
      <c r="H12193" s="14">
        <v>79183632196</v>
      </c>
      <c r="I12193" s="14" t="e">
        <f>=Round(142790.15640000,0)</f>
        <v>#VALUE!</v>
      </c>
      <c r="J12193" s="14" t="e">
        <f>=Round(64904.55160000,0)</f>
        <v>#VALUE!</v>
      </c>
    </row>
    <row r="12194">
      <c r="A12194" s="11" t="s">
        <v>50</v>
      </c>
      <c r="B12194" s="12">
        <v>1012.009</v>
      </c>
      <c r="C12194" s="12">
        <v>0</v>
      </c>
      <c r="D12194" s="13">
        <v>0</v>
      </c>
      <c r="E12194" s="12">
        <v>0</v>
      </c>
      <c r="F12194" s="14">
        <v>0</v>
      </c>
      <c r="G12194" s="13">
        <v>78244000</v>
      </c>
      <c r="H12194" s="14">
        <v>79183632196</v>
      </c>
      <c r="I12194" s="14" t="e">
        <f>=Round(142790.15640000,0)</f>
        <v>#VALUE!</v>
      </c>
      <c r="J12194" s="14" t="e">
        <f>=Round(64904.55160000,0)</f>
        <v>#VALUE!</v>
      </c>
    </row>
    <row r="12195">
      <c r="A12195" s="11" t="s">
        <v>51</v>
      </c>
      <c r="B12195" s="12">
        <v>1012.69</v>
      </c>
      <c r="C12195" s="12">
        <v>0</v>
      </c>
      <c r="D12195" s="13">
        <v>0</v>
      </c>
      <c r="E12195" s="12">
        <v>0</v>
      </c>
      <c r="F12195" s="14">
        <v>0</v>
      </c>
      <c r="G12195" s="13">
        <v>78244000</v>
      </c>
      <c r="H12195" s="14">
        <v>79236916360</v>
      </c>
      <c r="I12195" s="14" t="e">
        <f>=Round(142790.15640000,0)</f>
        <v>#VALUE!</v>
      </c>
      <c r="J12195" s="14" t="e">
        <f>=Round(64904.55160000,0)</f>
        <v>#VALUE!</v>
      </c>
    </row>
    <row r="12196">
      <c r="A12196" s="11" t="s">
        <v>52</v>
      </c>
      <c r="B12196" s="12">
        <v>1012.917</v>
      </c>
      <c r="C12196" s="12">
        <v>0</v>
      </c>
      <c r="D12196" s="13">
        <v>0</v>
      </c>
      <c r="E12196" s="12">
        <v>0</v>
      </c>
      <c r="F12196" s="14">
        <v>0</v>
      </c>
      <c r="G12196" s="13">
        <v>78244000</v>
      </c>
      <c r="H12196" s="14">
        <v>79254677748</v>
      </c>
      <c r="I12196" s="14" t="e">
        <f>=Round(142886.24260000,0)</f>
        <v>#VALUE!</v>
      </c>
      <c r="J12196" s="14" t="e">
        <f>=Round(64948.22720000,0)</f>
        <v>#VALUE!</v>
      </c>
    </row>
    <row r="12197">
      <c r="A12197" s="11" t="s">
        <v>53</v>
      </c>
      <c r="B12197" s="12">
        <v>1013.144</v>
      </c>
      <c r="C12197" s="12">
        <v>0</v>
      </c>
      <c r="D12197" s="13">
        <v>0</v>
      </c>
      <c r="E12197" s="12">
        <v>0</v>
      </c>
      <c r="F12197" s="14">
        <v>0</v>
      </c>
      <c r="G12197" s="13">
        <v>78244000</v>
      </c>
      <c r="H12197" s="14">
        <v>79272439136</v>
      </c>
      <c r="I12197" s="14" t="e">
        <f>=Round(142918.27130000,0)</f>
        <v>#VALUE!</v>
      </c>
      <c r="J12197" s="14" t="e">
        <f>=Round(64962.78570000,0)</f>
        <v>#VALUE!</v>
      </c>
    </row>
    <row r="12198">
      <c r="A12198" s="11" t="s">
        <v>54</v>
      </c>
      <c r="B12198" s="12">
        <v>1013.371</v>
      </c>
      <c r="C12198" s="12">
        <v>0</v>
      </c>
      <c r="D12198" s="13">
        <v>0</v>
      </c>
      <c r="E12198" s="12">
        <v>0</v>
      </c>
      <c r="F12198" s="14">
        <v>0</v>
      </c>
      <c r="G12198" s="13">
        <v>78244000</v>
      </c>
      <c r="H12198" s="14">
        <v>79290200524</v>
      </c>
      <c r="I12198" s="14" t="e">
        <f>=Round(142950.30010000,0)</f>
        <v>#VALUE!</v>
      </c>
      <c r="J12198" s="14" t="e">
        <f>=Round(64977.34420000,0)</f>
        <v>#VALUE!</v>
      </c>
    </row>
    <row r="12199">
      <c r="A12199" s="11" t="s">
        <v>55</v>
      </c>
      <c r="B12199" s="12">
        <v>1013.598</v>
      </c>
      <c r="C12199" s="12">
        <v>0</v>
      </c>
      <c r="D12199" s="13">
        <v>0</v>
      </c>
      <c r="E12199" s="12">
        <v>0</v>
      </c>
      <c r="F12199" s="14">
        <v>0</v>
      </c>
      <c r="G12199" s="13">
        <v>78244000</v>
      </c>
      <c r="H12199" s="14">
        <v>79307961912</v>
      </c>
      <c r="I12199" s="14" t="e">
        <f>=Round(142982.32880000,0)</f>
        <v>#VALUE!</v>
      </c>
      <c r="J12199" s="14" t="e">
        <f>=Round(64991.90270000,0)</f>
        <v>#VALUE!</v>
      </c>
    </row>
    <row r="12200" ht="-1">
      <c r="A12200" s="15"/>
      <c r="B12200" s="16" t="s">
        <v>56</v>
      </c>
      <c r="C12200" s="15"/>
      <c r="D12200" s="15"/>
      <c r="E12200" s="15"/>
      <c r="F12200" s="15"/>
      <c r="G12200" s="15"/>
      <c r="H12200" s="15"/>
      <c r="I12200" s="17" t="e">
        <f>=Round(SUM(I12174:I12199),0)</f>
        <v>#VALUE!</v>
      </c>
      <c r="J12200" s="17" t="e">
        <f>=Round(SUM(J12174:J12199),0)</f>
        <v>#VALUE!</v>
      </c>
    </row>
    <row r="12201">
      <c r="A12201" s="1" t="s">
        <v>0</v>
      </c>
      <c r="B12201" s="1"/>
      <c r="C12201" s="1"/>
      <c r="D12201" s="1"/>
    </row>
    <row r="12202">
      <c r="A12202" s="0" t="s">
        <v>1</v>
      </c>
      <c r="C12202" s="0" t="s">
        <v>416</v>
      </c>
      <c r="H12202" s="2" t="s">
        <v>3</v>
      </c>
    </row>
    <row r="12203">
      <c r="A12203" s="0" t="s">
        <v>4</v>
      </c>
      <c r="C12203" s="0" t="s">
        <v>132</v>
      </c>
      <c r="H12203" s="3" t="s">
        <v>6</v>
      </c>
    </row>
    <row r="12204">
      <c r="A12204" s="0" t="s">
        <v>7</v>
      </c>
      <c r="C12204" s="4" t="s">
        <v>417</v>
      </c>
      <c r="H12204" s="2" t="s">
        <v>9</v>
      </c>
    </row>
    <row r="12205">
      <c r="A12205" s="0" t="s">
        <v>10</v>
      </c>
      <c r="C12205" s="4" t="s">
        <v>124</v>
      </c>
      <c r="H12205" s="2" t="s">
        <v>12</v>
      </c>
    </row>
    <row r="12206">
      <c r="A12206" s="0" t="s">
        <v>13</v>
      </c>
      <c r="C12206" s="0" t="s">
        <v>14</v>
      </c>
    </row>
    <row r="12207">
      <c r="A12207" s="0" t="s">
        <v>15</v>
      </c>
      <c r="C12207" s="0" t="s">
        <v>16</v>
      </c>
    </row>
    <row r="12208">
      <c r="A12208" s="0" t="s">
        <v>17</v>
      </c>
      <c r="C12208" s="0" t="s">
        <v>18</v>
      </c>
    </row>
    <row r="12211">
      <c r="A12211" s="5" t="s">
        <v>19</v>
      </c>
      <c r="B12211" s="5" t="s">
        <v>20</v>
      </c>
      <c r="C12211" s="7" t="s">
        <v>21</v>
      </c>
      <c r="D12211" s="9"/>
      <c r="E12211" s="7" t="s">
        <v>22</v>
      </c>
      <c r="F12211" s="9"/>
      <c r="G12211" s="5" t="s">
        <v>23</v>
      </c>
      <c r="H12211" s="5" t="s">
        <v>24</v>
      </c>
      <c r="I12211" s="5" t="s">
        <v>418</v>
      </c>
      <c r="J12211" s="5" t="s">
        <v>125</v>
      </c>
    </row>
    <row r="12212">
      <c r="A12212" s="6"/>
      <c r="B12212" s="6"/>
      <c r="C12212" s="8" t="s">
        <v>27</v>
      </c>
      <c r="D12212" s="8" t="s">
        <v>28</v>
      </c>
      <c r="E12212" s="8" t="s">
        <v>27</v>
      </c>
      <c r="F12212" s="8" t="s">
        <v>28</v>
      </c>
      <c r="G12212" s="6"/>
      <c r="H12212" s="6"/>
      <c r="I12212" s="10" t="s">
        <v>29</v>
      </c>
      <c r="J12212" s="6"/>
    </row>
    <row r="12213">
      <c r="A12213" s="11" t="s">
        <v>30</v>
      </c>
      <c r="B12213" s="12">
        <v>1006.743</v>
      </c>
      <c r="C12213" s="12">
        <v>0</v>
      </c>
      <c r="D12213" s="13">
        <v>0</v>
      </c>
      <c r="E12213" s="12">
        <v>0</v>
      </c>
      <c r="F12213" s="14">
        <v>0</v>
      </c>
      <c r="G12213" s="13">
        <v>103000</v>
      </c>
      <c r="H12213" s="14">
        <v>103694529</v>
      </c>
      <c r="I12213" s="14" t="e">
        <f>=Round(186.85990000,0)</f>
        <v>#VALUE!</v>
      </c>
      <c r="J12213" s="14" t="e">
        <f>=Round(84.93620000,0)</f>
        <v>#VALUE!</v>
      </c>
    </row>
    <row r="12214">
      <c r="A12214" s="11" t="s">
        <v>31</v>
      </c>
      <c r="B12214" s="12">
        <v>1006.969</v>
      </c>
      <c r="C12214" s="12">
        <v>0</v>
      </c>
      <c r="D12214" s="13">
        <v>0</v>
      </c>
      <c r="E12214" s="12">
        <v>0</v>
      </c>
      <c r="F12214" s="14">
        <v>0</v>
      </c>
      <c r="G12214" s="13">
        <v>103000</v>
      </c>
      <c r="H12214" s="14">
        <v>103717807</v>
      </c>
      <c r="I12214" s="14" t="e">
        <f>=Round(186.99010000,0)</f>
        <v>#VALUE!</v>
      </c>
      <c r="J12214" s="14" t="e">
        <f>=Round(84.99540000,0)</f>
        <v>#VALUE!</v>
      </c>
    </row>
    <row r="12215">
      <c r="A12215" s="11" t="s">
        <v>32</v>
      </c>
      <c r="B12215" s="12">
        <v>1007.196</v>
      </c>
      <c r="C12215" s="12">
        <v>0</v>
      </c>
      <c r="D12215" s="13">
        <v>0</v>
      </c>
      <c r="E12215" s="12">
        <v>0</v>
      </c>
      <c r="F12215" s="14">
        <v>0</v>
      </c>
      <c r="G12215" s="13">
        <v>103000</v>
      </c>
      <c r="H12215" s="14">
        <v>103741188</v>
      </c>
      <c r="I12215" s="14" t="e">
        <f>=Round(187.03210000,0)</f>
        <v>#VALUE!</v>
      </c>
      <c r="J12215" s="14" t="e">
        <f>=Round(85.01450000,0)</f>
        <v>#VALUE!</v>
      </c>
    </row>
    <row r="12216">
      <c r="A12216" s="11" t="s">
        <v>33</v>
      </c>
      <c r="B12216" s="12">
        <v>1007.499</v>
      </c>
      <c r="C12216" s="12">
        <v>0</v>
      </c>
      <c r="D12216" s="13">
        <v>0</v>
      </c>
      <c r="E12216" s="12">
        <v>0</v>
      </c>
      <c r="F12216" s="14">
        <v>0</v>
      </c>
      <c r="G12216" s="13">
        <v>103000</v>
      </c>
      <c r="H12216" s="14">
        <v>103772397</v>
      </c>
      <c r="I12216" s="14" t="e">
        <f>=Round(187.07430000,0)</f>
        <v>#VALUE!</v>
      </c>
      <c r="J12216" s="14" t="e">
        <f>=Round(85.03370000,0)</f>
        <v>#VALUE!</v>
      </c>
    </row>
    <row r="12217">
      <c r="A12217" s="11" t="s">
        <v>34</v>
      </c>
      <c r="B12217" s="12">
        <v>1007.726</v>
      </c>
      <c r="C12217" s="12">
        <v>0</v>
      </c>
      <c r="D12217" s="13">
        <v>0</v>
      </c>
      <c r="E12217" s="12">
        <v>0</v>
      </c>
      <c r="F12217" s="14">
        <v>0</v>
      </c>
      <c r="G12217" s="13">
        <v>103000</v>
      </c>
      <c r="H12217" s="14">
        <v>103795778</v>
      </c>
      <c r="I12217" s="14" t="e">
        <f>=Round(187.13060000,0)</f>
        <v>#VALUE!</v>
      </c>
      <c r="J12217" s="14" t="e">
        <f>=Round(85.05930000,0)</f>
        <v>#VALUE!</v>
      </c>
    </row>
    <row r="12218">
      <c r="A12218" s="11" t="s">
        <v>35</v>
      </c>
      <c r="B12218" s="12">
        <v>1007.726</v>
      </c>
      <c r="C12218" s="12">
        <v>0</v>
      </c>
      <c r="D12218" s="13">
        <v>0</v>
      </c>
      <c r="E12218" s="12">
        <v>0</v>
      </c>
      <c r="F12218" s="14">
        <v>0</v>
      </c>
      <c r="G12218" s="13">
        <v>103000</v>
      </c>
      <c r="H12218" s="14">
        <v>103795778</v>
      </c>
      <c r="I12218" s="14" t="e">
        <f>=Round(187.17270000,0)</f>
        <v>#VALUE!</v>
      </c>
      <c r="J12218" s="14" t="e">
        <f>=Round(85.07840000,0)</f>
        <v>#VALUE!</v>
      </c>
    </row>
    <row r="12219">
      <c r="A12219" s="11" t="s">
        <v>36</v>
      </c>
      <c r="B12219" s="12">
        <v>1007.726</v>
      </c>
      <c r="C12219" s="12">
        <v>0</v>
      </c>
      <c r="D12219" s="13">
        <v>0</v>
      </c>
      <c r="E12219" s="12">
        <v>0</v>
      </c>
      <c r="F12219" s="14">
        <v>0</v>
      </c>
      <c r="G12219" s="13">
        <v>103000</v>
      </c>
      <c r="H12219" s="14">
        <v>103795778</v>
      </c>
      <c r="I12219" s="14" t="e">
        <f>=Round(187.17270000,0)</f>
        <v>#VALUE!</v>
      </c>
      <c r="J12219" s="14" t="e">
        <f>=Round(85.07840000,0)</f>
        <v>#VALUE!</v>
      </c>
    </row>
    <row r="12220">
      <c r="A12220" s="11" t="s">
        <v>37</v>
      </c>
      <c r="B12220" s="12">
        <v>1008.407</v>
      </c>
      <c r="C12220" s="12">
        <v>0</v>
      </c>
      <c r="D12220" s="13">
        <v>0</v>
      </c>
      <c r="E12220" s="12">
        <v>0</v>
      </c>
      <c r="F12220" s="14">
        <v>0</v>
      </c>
      <c r="G12220" s="13">
        <v>103000</v>
      </c>
      <c r="H12220" s="14">
        <v>103865921</v>
      </c>
      <c r="I12220" s="14" t="e">
        <f>=Round(187.17270000,0)</f>
        <v>#VALUE!</v>
      </c>
      <c r="J12220" s="14" t="e">
        <f>=Round(85.07840000,0)</f>
        <v>#VALUE!</v>
      </c>
    </row>
    <row r="12221">
      <c r="A12221" s="11" t="s">
        <v>38</v>
      </c>
      <c r="B12221" s="12">
        <v>1008.634</v>
      </c>
      <c r="C12221" s="12">
        <v>0</v>
      </c>
      <c r="D12221" s="13">
        <v>0</v>
      </c>
      <c r="E12221" s="12">
        <v>0</v>
      </c>
      <c r="F12221" s="14">
        <v>0</v>
      </c>
      <c r="G12221" s="13">
        <v>103000</v>
      </c>
      <c r="H12221" s="14">
        <v>103889302</v>
      </c>
      <c r="I12221" s="14" t="e">
        <f>=Round(187.29920000,0)</f>
        <v>#VALUE!</v>
      </c>
      <c r="J12221" s="14" t="e">
        <f>=Round(85.13590000,0)</f>
        <v>#VALUE!</v>
      </c>
    </row>
    <row r="12222">
      <c r="A12222" s="11" t="s">
        <v>39</v>
      </c>
      <c r="B12222" s="12">
        <v>1009.303</v>
      </c>
      <c r="C12222" s="12">
        <v>0</v>
      </c>
      <c r="D12222" s="13">
        <v>0</v>
      </c>
      <c r="E12222" s="12">
        <v>0</v>
      </c>
      <c r="F12222" s="14">
        <v>0</v>
      </c>
      <c r="G12222" s="13">
        <v>103000</v>
      </c>
      <c r="H12222" s="14">
        <v>103958209</v>
      </c>
      <c r="I12222" s="14" t="e">
        <f>=Round(187.34140000,0)</f>
        <v>#VALUE!</v>
      </c>
      <c r="J12222" s="14" t="e">
        <f>=Round(85.15510000,0)</f>
        <v>#VALUE!</v>
      </c>
    </row>
    <row r="12223">
      <c r="A12223" s="11" t="s">
        <v>40</v>
      </c>
      <c r="B12223" s="12">
        <v>1009.597</v>
      </c>
      <c r="C12223" s="12">
        <v>0</v>
      </c>
      <c r="D12223" s="13">
        <v>0</v>
      </c>
      <c r="E12223" s="12">
        <v>0</v>
      </c>
      <c r="F12223" s="14">
        <v>0</v>
      </c>
      <c r="G12223" s="13">
        <v>103000</v>
      </c>
      <c r="H12223" s="14">
        <v>103988491</v>
      </c>
      <c r="I12223" s="14" t="e">
        <f>=Round(187.46560000,0)</f>
        <v>#VALUE!</v>
      </c>
      <c r="J12223" s="14" t="e">
        <f>=Round(85.21160000,0)</f>
        <v>#VALUE!</v>
      </c>
    </row>
    <row r="12224">
      <c r="A12224" s="11" t="s">
        <v>41</v>
      </c>
      <c r="B12224" s="12">
        <v>1009.972</v>
      </c>
      <c r="C12224" s="12">
        <v>0</v>
      </c>
      <c r="D12224" s="13">
        <v>0</v>
      </c>
      <c r="E12224" s="12">
        <v>0</v>
      </c>
      <c r="F12224" s="14">
        <v>0</v>
      </c>
      <c r="G12224" s="13">
        <v>103000</v>
      </c>
      <c r="H12224" s="14">
        <v>104027116</v>
      </c>
      <c r="I12224" s="14" t="e">
        <f>=Round(187.52020000,0)</f>
        <v>#VALUE!</v>
      </c>
      <c r="J12224" s="14" t="e">
        <f>=Round(85.23640000,0)</f>
        <v>#VALUE!</v>
      </c>
    </row>
    <row r="12225">
      <c r="A12225" s="11" t="s">
        <v>42</v>
      </c>
      <c r="B12225" s="12">
        <v>1009.972</v>
      </c>
      <c r="C12225" s="12">
        <v>0</v>
      </c>
      <c r="D12225" s="13">
        <v>0</v>
      </c>
      <c r="E12225" s="12">
        <v>0</v>
      </c>
      <c r="F12225" s="14">
        <v>0</v>
      </c>
      <c r="G12225" s="13">
        <v>103000</v>
      </c>
      <c r="H12225" s="14">
        <v>104027116</v>
      </c>
      <c r="I12225" s="14" t="e">
        <f>=Round(187.58990000,0)</f>
        <v>#VALUE!</v>
      </c>
      <c r="J12225" s="14" t="e">
        <f>=Round(85.26800000,0)</f>
        <v>#VALUE!</v>
      </c>
    </row>
    <row r="12226">
      <c r="A12226" s="11" t="s">
        <v>43</v>
      </c>
      <c r="B12226" s="12">
        <v>1009.972</v>
      </c>
      <c r="C12226" s="12">
        <v>0</v>
      </c>
      <c r="D12226" s="13">
        <v>0</v>
      </c>
      <c r="E12226" s="12">
        <v>0</v>
      </c>
      <c r="F12226" s="14">
        <v>0</v>
      </c>
      <c r="G12226" s="13">
        <v>103000</v>
      </c>
      <c r="H12226" s="14">
        <v>104027116</v>
      </c>
      <c r="I12226" s="14" t="e">
        <f>=Round(187.58990000,0)</f>
        <v>#VALUE!</v>
      </c>
      <c r="J12226" s="14" t="e">
        <f>=Round(85.26800000,0)</f>
        <v>#VALUE!</v>
      </c>
    </row>
    <row r="12227">
      <c r="A12227" s="11" t="s">
        <v>44</v>
      </c>
      <c r="B12227" s="12">
        <v>1010.88</v>
      </c>
      <c r="C12227" s="12">
        <v>0</v>
      </c>
      <c r="D12227" s="13">
        <v>0</v>
      </c>
      <c r="E12227" s="12">
        <v>0</v>
      </c>
      <c r="F12227" s="14">
        <v>0</v>
      </c>
      <c r="G12227" s="13">
        <v>103000</v>
      </c>
      <c r="H12227" s="14">
        <v>104120640</v>
      </c>
      <c r="I12227" s="14" t="e">
        <f>=Round(187.58990000,0)</f>
        <v>#VALUE!</v>
      </c>
      <c r="J12227" s="14" t="e">
        <f>=Round(85.26800000,0)</f>
        <v>#VALUE!</v>
      </c>
    </row>
    <row r="12228">
      <c r="A12228" s="11" t="s">
        <v>45</v>
      </c>
      <c r="B12228" s="12">
        <v>1011.107</v>
      </c>
      <c r="C12228" s="12">
        <v>0</v>
      </c>
      <c r="D12228" s="13">
        <v>0</v>
      </c>
      <c r="E12228" s="12">
        <v>0</v>
      </c>
      <c r="F12228" s="14">
        <v>0</v>
      </c>
      <c r="G12228" s="13">
        <v>103000</v>
      </c>
      <c r="H12228" s="14">
        <v>104144021</v>
      </c>
      <c r="I12228" s="14" t="e">
        <f>=Round(187.75850000,0)</f>
        <v>#VALUE!</v>
      </c>
      <c r="J12228" s="14" t="e">
        <f>=Round(85.34470000,0)</f>
        <v>#VALUE!</v>
      </c>
    </row>
    <row r="12229">
      <c r="A12229" s="11" t="s">
        <v>46</v>
      </c>
      <c r="B12229" s="12">
        <v>1011.417</v>
      </c>
      <c r="C12229" s="12">
        <v>0</v>
      </c>
      <c r="D12229" s="13">
        <v>0</v>
      </c>
      <c r="E12229" s="12">
        <v>0</v>
      </c>
      <c r="F12229" s="14">
        <v>0</v>
      </c>
      <c r="G12229" s="13">
        <v>103000</v>
      </c>
      <c r="H12229" s="14">
        <v>104175951</v>
      </c>
      <c r="I12229" s="14" t="e">
        <f>=Round(187.80070000,0)</f>
        <v>#VALUE!</v>
      </c>
      <c r="J12229" s="14" t="e">
        <f>=Round(85.36390000,0)</f>
        <v>#VALUE!</v>
      </c>
    </row>
    <row r="12230">
      <c r="A12230" s="11" t="s">
        <v>47</v>
      </c>
      <c r="B12230" s="12">
        <v>1011.657</v>
      </c>
      <c r="C12230" s="12">
        <v>0</v>
      </c>
      <c r="D12230" s="13">
        <v>0</v>
      </c>
      <c r="E12230" s="12">
        <v>0</v>
      </c>
      <c r="F12230" s="14">
        <v>0</v>
      </c>
      <c r="G12230" s="13">
        <v>103000</v>
      </c>
      <c r="H12230" s="14">
        <v>104200671</v>
      </c>
      <c r="I12230" s="14" t="e">
        <f>=Round(187.85830000,0)</f>
        <v>#VALUE!</v>
      </c>
      <c r="J12230" s="14" t="e">
        <f>=Round(85.39000000,0)</f>
        <v>#VALUE!</v>
      </c>
    </row>
    <row r="12231">
      <c r="A12231" s="11" t="s">
        <v>48</v>
      </c>
      <c r="B12231" s="12">
        <v>1012.009</v>
      </c>
      <c r="C12231" s="12">
        <v>0</v>
      </c>
      <c r="D12231" s="13">
        <v>0</v>
      </c>
      <c r="E12231" s="12">
        <v>0</v>
      </c>
      <c r="F12231" s="14">
        <v>0</v>
      </c>
      <c r="G12231" s="13">
        <v>103000</v>
      </c>
      <c r="H12231" s="14">
        <v>104236927</v>
      </c>
      <c r="I12231" s="14" t="e">
        <f>=Round(187.90280000,0)</f>
        <v>#VALUE!</v>
      </c>
      <c r="J12231" s="14" t="e">
        <f>=Round(85.41030000,0)</f>
        <v>#VALUE!</v>
      </c>
    </row>
    <row r="12232">
      <c r="A12232" s="11" t="s">
        <v>49</v>
      </c>
      <c r="B12232" s="12">
        <v>1012.009</v>
      </c>
      <c r="C12232" s="12">
        <v>0</v>
      </c>
      <c r="D12232" s="13">
        <v>0</v>
      </c>
      <c r="E12232" s="12">
        <v>0</v>
      </c>
      <c r="F12232" s="14">
        <v>0</v>
      </c>
      <c r="G12232" s="13">
        <v>103000</v>
      </c>
      <c r="H12232" s="14">
        <v>104236927</v>
      </c>
      <c r="I12232" s="14" t="e">
        <f>=Round(187.96820000,0)</f>
        <v>#VALUE!</v>
      </c>
      <c r="J12232" s="14" t="e">
        <f>=Round(85.44000000,0)</f>
        <v>#VALUE!</v>
      </c>
    </row>
    <row r="12233">
      <c r="A12233" s="11" t="s">
        <v>50</v>
      </c>
      <c r="B12233" s="12">
        <v>1012.009</v>
      </c>
      <c r="C12233" s="12">
        <v>0</v>
      </c>
      <c r="D12233" s="13">
        <v>0</v>
      </c>
      <c r="E12233" s="12">
        <v>0</v>
      </c>
      <c r="F12233" s="14">
        <v>0</v>
      </c>
      <c r="G12233" s="13">
        <v>103000</v>
      </c>
      <c r="H12233" s="14">
        <v>104236927</v>
      </c>
      <c r="I12233" s="14" t="e">
        <f>=Round(187.96820000,0)</f>
        <v>#VALUE!</v>
      </c>
      <c r="J12233" s="14" t="e">
        <f>=Round(85.44000000,0)</f>
        <v>#VALUE!</v>
      </c>
    </row>
    <row r="12234">
      <c r="A12234" s="11" t="s">
        <v>51</v>
      </c>
      <c r="B12234" s="12">
        <v>1012.69</v>
      </c>
      <c r="C12234" s="12">
        <v>0</v>
      </c>
      <c r="D12234" s="13">
        <v>0</v>
      </c>
      <c r="E12234" s="12">
        <v>0</v>
      </c>
      <c r="F12234" s="14">
        <v>0</v>
      </c>
      <c r="G12234" s="13">
        <v>103000</v>
      </c>
      <c r="H12234" s="14">
        <v>104307070</v>
      </c>
      <c r="I12234" s="14" t="e">
        <f>=Round(187.96820000,0)</f>
        <v>#VALUE!</v>
      </c>
      <c r="J12234" s="14" t="e">
        <f>=Round(85.44000000,0)</f>
        <v>#VALUE!</v>
      </c>
    </row>
    <row r="12235">
      <c r="A12235" s="11" t="s">
        <v>52</v>
      </c>
      <c r="B12235" s="12">
        <v>1012.917</v>
      </c>
      <c r="C12235" s="12">
        <v>0</v>
      </c>
      <c r="D12235" s="13">
        <v>0</v>
      </c>
      <c r="E12235" s="12">
        <v>0</v>
      </c>
      <c r="F12235" s="14">
        <v>0</v>
      </c>
      <c r="G12235" s="13">
        <v>103000</v>
      </c>
      <c r="H12235" s="14">
        <v>104330451</v>
      </c>
      <c r="I12235" s="14" t="e">
        <f>=Round(188.09470000,0)</f>
        <v>#VALUE!</v>
      </c>
      <c r="J12235" s="14" t="e">
        <f>=Round(85.49750000,0)</f>
        <v>#VALUE!</v>
      </c>
    </row>
    <row r="12236">
      <c r="A12236" s="11" t="s">
        <v>53</v>
      </c>
      <c r="B12236" s="12">
        <v>1013.144</v>
      </c>
      <c r="C12236" s="12">
        <v>0</v>
      </c>
      <c r="D12236" s="13">
        <v>0</v>
      </c>
      <c r="E12236" s="12">
        <v>0</v>
      </c>
      <c r="F12236" s="14">
        <v>0</v>
      </c>
      <c r="G12236" s="13">
        <v>103000</v>
      </c>
      <c r="H12236" s="14">
        <v>104353832</v>
      </c>
      <c r="I12236" s="14" t="e">
        <f>=Round(188.13690000,0)</f>
        <v>#VALUE!</v>
      </c>
      <c r="J12236" s="14" t="e">
        <f>=Round(85.51670000,0)</f>
        <v>#VALUE!</v>
      </c>
    </row>
    <row r="12237">
      <c r="A12237" s="11" t="s">
        <v>54</v>
      </c>
      <c r="B12237" s="12">
        <v>1013.371</v>
      </c>
      <c r="C12237" s="12">
        <v>0</v>
      </c>
      <c r="D12237" s="13">
        <v>0</v>
      </c>
      <c r="E12237" s="12">
        <v>0</v>
      </c>
      <c r="F12237" s="14">
        <v>0</v>
      </c>
      <c r="G12237" s="13">
        <v>103000</v>
      </c>
      <c r="H12237" s="14">
        <v>104377213</v>
      </c>
      <c r="I12237" s="14" t="e">
        <f>=Round(188.17900000,0)</f>
        <v>#VALUE!</v>
      </c>
      <c r="J12237" s="14" t="e">
        <f>=Round(85.53580000,0)</f>
        <v>#VALUE!</v>
      </c>
    </row>
    <row r="12238">
      <c r="A12238" s="11" t="s">
        <v>55</v>
      </c>
      <c r="B12238" s="12">
        <v>1013.598</v>
      </c>
      <c r="C12238" s="12">
        <v>0</v>
      </c>
      <c r="D12238" s="13">
        <v>0</v>
      </c>
      <c r="E12238" s="12">
        <v>0</v>
      </c>
      <c r="F12238" s="14">
        <v>0</v>
      </c>
      <c r="G12238" s="13">
        <v>103000</v>
      </c>
      <c r="H12238" s="14">
        <v>104400594</v>
      </c>
      <c r="I12238" s="14" t="e">
        <f>=Round(188.22120000,0)</f>
        <v>#VALUE!</v>
      </c>
      <c r="J12238" s="14" t="e">
        <f>=Round(85.55500000,0)</f>
        <v>#VALUE!</v>
      </c>
    </row>
    <row r="12239" ht="-1">
      <c r="A12239" s="15"/>
      <c r="B12239" s="16" t="s">
        <v>56</v>
      </c>
      <c r="C12239" s="15"/>
      <c r="D12239" s="15"/>
      <c r="E12239" s="15"/>
      <c r="F12239" s="15"/>
      <c r="G12239" s="15"/>
      <c r="H12239" s="15"/>
      <c r="I12239" s="17" t="e">
        <f>=Round(SUM(I12213:I12238),0)</f>
        <v>#VALUE!</v>
      </c>
      <c r="J12239" s="17" t="e">
        <f>=Round(SUM(J12213:J12238),0)</f>
        <v>#VALUE!</v>
      </c>
    </row>
    <row r="12240">
      <c r="A12240" s="1" t="s">
        <v>0</v>
      </c>
      <c r="B12240" s="1"/>
      <c r="C12240" s="1"/>
      <c r="D12240" s="1"/>
    </row>
    <row r="12241">
      <c r="A12241" s="0" t="s">
        <v>1</v>
      </c>
      <c r="C12241" s="0" t="s">
        <v>416</v>
      </c>
      <c r="H12241" s="2" t="s">
        <v>3</v>
      </c>
    </row>
    <row r="12242">
      <c r="A12242" s="0" t="s">
        <v>4</v>
      </c>
      <c r="C12242" s="0" t="s">
        <v>133</v>
      </c>
      <c r="H12242" s="3" t="s">
        <v>6</v>
      </c>
    </row>
    <row r="12243">
      <c r="A12243" s="0" t="s">
        <v>7</v>
      </c>
      <c r="C12243" s="4" t="s">
        <v>417</v>
      </c>
      <c r="H12243" s="2" t="s">
        <v>9</v>
      </c>
    </row>
    <row r="12244">
      <c r="A12244" s="0" t="s">
        <v>10</v>
      </c>
      <c r="C12244" s="4" t="s">
        <v>124</v>
      </c>
      <c r="H12244" s="2" t="s">
        <v>12</v>
      </c>
    </row>
    <row r="12245">
      <c r="A12245" s="0" t="s">
        <v>13</v>
      </c>
      <c r="C12245" s="0" t="s">
        <v>14</v>
      </c>
    </row>
    <row r="12246">
      <c r="A12246" s="0" t="s">
        <v>15</v>
      </c>
      <c r="C12246" s="0" t="s">
        <v>16</v>
      </c>
    </row>
    <row r="12247">
      <c r="A12247" s="0" t="s">
        <v>17</v>
      </c>
      <c r="C12247" s="0" t="s">
        <v>18</v>
      </c>
    </row>
    <row r="12250">
      <c r="A12250" s="5" t="s">
        <v>19</v>
      </c>
      <c r="B12250" s="5" t="s">
        <v>20</v>
      </c>
      <c r="C12250" s="7" t="s">
        <v>21</v>
      </c>
      <c r="D12250" s="9"/>
      <c r="E12250" s="7" t="s">
        <v>22</v>
      </c>
      <c r="F12250" s="9"/>
      <c r="G12250" s="5" t="s">
        <v>23</v>
      </c>
      <c r="H12250" s="5" t="s">
        <v>24</v>
      </c>
      <c r="I12250" s="5" t="s">
        <v>418</v>
      </c>
      <c r="J12250" s="5" t="s">
        <v>125</v>
      </c>
    </row>
    <row r="12251">
      <c r="A12251" s="6"/>
      <c r="B12251" s="6"/>
      <c r="C12251" s="8" t="s">
        <v>27</v>
      </c>
      <c r="D12251" s="8" t="s">
        <v>28</v>
      </c>
      <c r="E12251" s="8" t="s">
        <v>27</v>
      </c>
      <c r="F12251" s="8" t="s">
        <v>28</v>
      </c>
      <c r="G12251" s="6"/>
      <c r="H12251" s="6"/>
      <c r="I12251" s="10" t="s">
        <v>29</v>
      </c>
      <c r="J12251" s="6"/>
    </row>
    <row r="12252">
      <c r="A12252" s="11" t="s">
        <v>30</v>
      </c>
      <c r="B12252" s="12">
        <v>1006.743</v>
      </c>
      <c r="C12252" s="12">
        <v>0</v>
      </c>
      <c r="D12252" s="13">
        <v>0</v>
      </c>
      <c r="E12252" s="12">
        <v>0</v>
      </c>
      <c r="F12252" s="14">
        <v>0</v>
      </c>
      <c r="G12252" s="13">
        <v>665000</v>
      </c>
      <c r="H12252" s="14">
        <v>669484095</v>
      </c>
      <c r="I12252" s="14" t="e">
        <f>=Round(1206.42580000,0)</f>
        <v>#VALUE!</v>
      </c>
      <c r="J12252" s="14" t="e">
        <f>=Round(548.37480000,0)</f>
        <v>#VALUE!</v>
      </c>
    </row>
    <row r="12253">
      <c r="A12253" s="11" t="s">
        <v>31</v>
      </c>
      <c r="B12253" s="12">
        <v>1006.969</v>
      </c>
      <c r="C12253" s="12">
        <v>0</v>
      </c>
      <c r="D12253" s="13">
        <v>0</v>
      </c>
      <c r="E12253" s="12">
        <v>0</v>
      </c>
      <c r="F12253" s="14">
        <v>0</v>
      </c>
      <c r="G12253" s="13">
        <v>665000</v>
      </c>
      <c r="H12253" s="14">
        <v>669634385</v>
      </c>
      <c r="I12253" s="14" t="e">
        <f>=Round(1207.26640000,0)</f>
        <v>#VALUE!</v>
      </c>
      <c r="J12253" s="14" t="e">
        <f>=Round(548.75690000,0)</f>
        <v>#VALUE!</v>
      </c>
    </row>
    <row r="12254">
      <c r="A12254" s="11" t="s">
        <v>32</v>
      </c>
      <c r="B12254" s="12">
        <v>1007.196</v>
      </c>
      <c r="C12254" s="12">
        <v>0</v>
      </c>
      <c r="D12254" s="13">
        <v>0</v>
      </c>
      <c r="E12254" s="12">
        <v>0</v>
      </c>
      <c r="F12254" s="14">
        <v>0</v>
      </c>
      <c r="G12254" s="13">
        <v>665000</v>
      </c>
      <c r="H12254" s="14">
        <v>669785340</v>
      </c>
      <c r="I12254" s="14" t="e">
        <f>=Round(1207.53740000,0)</f>
        <v>#VALUE!</v>
      </c>
      <c r="J12254" s="14" t="e">
        <f>=Round(548.88010000,0)</f>
        <v>#VALUE!</v>
      </c>
    </row>
    <row r="12255">
      <c r="A12255" s="11" t="s">
        <v>33</v>
      </c>
      <c r="B12255" s="12">
        <v>1007.499</v>
      </c>
      <c r="C12255" s="12">
        <v>0</v>
      </c>
      <c r="D12255" s="13">
        <v>0</v>
      </c>
      <c r="E12255" s="12">
        <v>0</v>
      </c>
      <c r="F12255" s="14">
        <v>0</v>
      </c>
      <c r="G12255" s="13">
        <v>665000</v>
      </c>
      <c r="H12255" s="14">
        <v>669986835</v>
      </c>
      <c r="I12255" s="14" t="e">
        <f>=Round(1207.80960000,0)</f>
        <v>#VALUE!</v>
      </c>
      <c r="J12255" s="14" t="e">
        <f>=Round(549.00380000,0)</f>
        <v>#VALUE!</v>
      </c>
    </row>
    <row r="12256">
      <c r="A12256" s="11" t="s">
        <v>34</v>
      </c>
      <c r="B12256" s="12">
        <v>1007.726</v>
      </c>
      <c r="C12256" s="12">
        <v>0</v>
      </c>
      <c r="D12256" s="13">
        <v>0</v>
      </c>
      <c r="E12256" s="12">
        <v>0</v>
      </c>
      <c r="F12256" s="14">
        <v>0</v>
      </c>
      <c r="G12256" s="13">
        <v>665000</v>
      </c>
      <c r="H12256" s="14">
        <v>670137790</v>
      </c>
      <c r="I12256" s="14" t="e">
        <f>=Round(1208.17300000,0)</f>
        <v>#VALUE!</v>
      </c>
      <c r="J12256" s="14" t="e">
        <f>=Round(549.16900000,0)</f>
        <v>#VALUE!</v>
      </c>
    </row>
    <row r="12257">
      <c r="A12257" s="11" t="s">
        <v>35</v>
      </c>
      <c r="B12257" s="12">
        <v>1007.726</v>
      </c>
      <c r="C12257" s="12">
        <v>0</v>
      </c>
      <c r="D12257" s="13">
        <v>0</v>
      </c>
      <c r="E12257" s="12">
        <v>0</v>
      </c>
      <c r="F12257" s="14">
        <v>0</v>
      </c>
      <c r="G12257" s="13">
        <v>665000</v>
      </c>
      <c r="H12257" s="14">
        <v>670137790</v>
      </c>
      <c r="I12257" s="14" t="e">
        <f>=Round(1208.44520000,0)</f>
        <v>#VALUE!</v>
      </c>
      <c r="J12257" s="14" t="e">
        <f>=Round(549.29270000,0)</f>
        <v>#VALUE!</v>
      </c>
    </row>
    <row r="12258">
      <c r="A12258" s="11" t="s">
        <v>36</v>
      </c>
      <c r="B12258" s="12">
        <v>1007.726</v>
      </c>
      <c r="C12258" s="12">
        <v>0</v>
      </c>
      <c r="D12258" s="13">
        <v>0</v>
      </c>
      <c r="E12258" s="12">
        <v>0</v>
      </c>
      <c r="F12258" s="14">
        <v>0</v>
      </c>
      <c r="G12258" s="13">
        <v>665000</v>
      </c>
      <c r="H12258" s="14">
        <v>670137790</v>
      </c>
      <c r="I12258" s="14" t="e">
        <f>=Round(1208.44520000,0)</f>
        <v>#VALUE!</v>
      </c>
      <c r="J12258" s="14" t="e">
        <f>=Round(549.29270000,0)</f>
        <v>#VALUE!</v>
      </c>
    </row>
    <row r="12259">
      <c r="A12259" s="11" t="s">
        <v>37</v>
      </c>
      <c r="B12259" s="12">
        <v>1008.407</v>
      </c>
      <c r="C12259" s="12">
        <v>0</v>
      </c>
      <c r="D12259" s="13">
        <v>0</v>
      </c>
      <c r="E12259" s="12">
        <v>0</v>
      </c>
      <c r="F12259" s="14">
        <v>0</v>
      </c>
      <c r="G12259" s="13">
        <v>665000</v>
      </c>
      <c r="H12259" s="14">
        <v>670590655</v>
      </c>
      <c r="I12259" s="14" t="e">
        <f>=Round(1208.44520000,0)</f>
        <v>#VALUE!</v>
      </c>
      <c r="J12259" s="14" t="e">
        <f>=Round(549.29270000,0)</f>
        <v>#VALUE!</v>
      </c>
    </row>
    <row r="12260">
      <c r="A12260" s="11" t="s">
        <v>38</v>
      </c>
      <c r="B12260" s="12">
        <v>1008.634</v>
      </c>
      <c r="C12260" s="12">
        <v>0</v>
      </c>
      <c r="D12260" s="13">
        <v>0</v>
      </c>
      <c r="E12260" s="12">
        <v>0</v>
      </c>
      <c r="F12260" s="14">
        <v>0</v>
      </c>
      <c r="G12260" s="13">
        <v>665000</v>
      </c>
      <c r="H12260" s="14">
        <v>670741610</v>
      </c>
      <c r="I12260" s="14" t="e">
        <f>=Round(1209.26180000,0)</f>
        <v>#VALUE!</v>
      </c>
      <c r="J12260" s="14" t="e">
        <f>=Round(549.66390000,0)</f>
        <v>#VALUE!</v>
      </c>
    </row>
    <row r="12261">
      <c r="A12261" s="11" t="s">
        <v>39</v>
      </c>
      <c r="B12261" s="12">
        <v>1009.303</v>
      </c>
      <c r="C12261" s="12">
        <v>0</v>
      </c>
      <c r="D12261" s="13">
        <v>0</v>
      </c>
      <c r="E12261" s="12">
        <v>0</v>
      </c>
      <c r="F12261" s="14">
        <v>0</v>
      </c>
      <c r="G12261" s="13">
        <v>665000</v>
      </c>
      <c r="H12261" s="14">
        <v>671186495</v>
      </c>
      <c r="I12261" s="14" t="e">
        <f>=Round(1209.53410000,0)</f>
        <v>#VALUE!</v>
      </c>
      <c r="J12261" s="14" t="e">
        <f>=Round(549.78770000,0)</f>
        <v>#VALUE!</v>
      </c>
    </row>
    <row r="12262">
      <c r="A12262" s="11" t="s">
        <v>40</v>
      </c>
      <c r="B12262" s="12">
        <v>1009.597</v>
      </c>
      <c r="C12262" s="12">
        <v>0</v>
      </c>
      <c r="D12262" s="13">
        <v>0</v>
      </c>
      <c r="E12262" s="12">
        <v>0</v>
      </c>
      <c r="F12262" s="14">
        <v>0</v>
      </c>
      <c r="G12262" s="13">
        <v>665000</v>
      </c>
      <c r="H12262" s="14">
        <v>671382005</v>
      </c>
      <c r="I12262" s="14" t="e">
        <f>=Round(1210.33630000,0)</f>
        <v>#VALUE!</v>
      </c>
      <c r="J12262" s="14" t="e">
        <f>=Round(550.15230000,0)</f>
        <v>#VALUE!</v>
      </c>
    </row>
    <row r="12263">
      <c r="A12263" s="11" t="s">
        <v>41</v>
      </c>
      <c r="B12263" s="12">
        <v>1009.972</v>
      </c>
      <c r="C12263" s="12">
        <v>0</v>
      </c>
      <c r="D12263" s="13">
        <v>0</v>
      </c>
      <c r="E12263" s="12">
        <v>0</v>
      </c>
      <c r="F12263" s="14">
        <v>0</v>
      </c>
      <c r="G12263" s="13">
        <v>665000</v>
      </c>
      <c r="H12263" s="14">
        <v>671631380</v>
      </c>
      <c r="I12263" s="14" t="e">
        <f>=Round(1210.68890000,0)</f>
        <v>#VALUE!</v>
      </c>
      <c r="J12263" s="14" t="e">
        <f>=Round(550.31260000,0)</f>
        <v>#VALUE!</v>
      </c>
    </row>
    <row r="12264">
      <c r="A12264" s="11" t="s">
        <v>42</v>
      </c>
      <c r="B12264" s="12">
        <v>1009.972</v>
      </c>
      <c r="C12264" s="12">
        <v>0</v>
      </c>
      <c r="D12264" s="13">
        <v>0</v>
      </c>
      <c r="E12264" s="12">
        <v>0</v>
      </c>
      <c r="F12264" s="14">
        <v>0</v>
      </c>
      <c r="G12264" s="13">
        <v>665000</v>
      </c>
      <c r="H12264" s="14">
        <v>671631380</v>
      </c>
      <c r="I12264" s="14" t="e">
        <f>=Round(1211.13860000,0)</f>
        <v>#VALUE!</v>
      </c>
      <c r="J12264" s="14" t="e">
        <f>=Round(550.51700000,0)</f>
        <v>#VALUE!</v>
      </c>
    </row>
    <row r="12265">
      <c r="A12265" s="11" t="s">
        <v>43</v>
      </c>
      <c r="B12265" s="12">
        <v>1009.972</v>
      </c>
      <c r="C12265" s="12">
        <v>0</v>
      </c>
      <c r="D12265" s="13">
        <v>0</v>
      </c>
      <c r="E12265" s="12">
        <v>0</v>
      </c>
      <c r="F12265" s="14">
        <v>0</v>
      </c>
      <c r="G12265" s="13">
        <v>665000</v>
      </c>
      <c r="H12265" s="14">
        <v>671631380</v>
      </c>
      <c r="I12265" s="14" t="e">
        <f>=Round(1211.13860000,0)</f>
        <v>#VALUE!</v>
      </c>
      <c r="J12265" s="14" t="e">
        <f>=Round(550.51700000,0)</f>
        <v>#VALUE!</v>
      </c>
    </row>
    <row r="12266">
      <c r="A12266" s="11" t="s">
        <v>44</v>
      </c>
      <c r="B12266" s="12">
        <v>1010.88</v>
      </c>
      <c r="C12266" s="12">
        <v>0</v>
      </c>
      <c r="D12266" s="13">
        <v>0</v>
      </c>
      <c r="E12266" s="12">
        <v>0</v>
      </c>
      <c r="F12266" s="14">
        <v>0</v>
      </c>
      <c r="G12266" s="13">
        <v>665000</v>
      </c>
      <c r="H12266" s="14">
        <v>672235200</v>
      </c>
      <c r="I12266" s="14" t="e">
        <f>=Round(1211.13860000,0)</f>
        <v>#VALUE!</v>
      </c>
      <c r="J12266" s="14" t="e">
        <f>=Round(550.51700000,0)</f>
        <v>#VALUE!</v>
      </c>
    </row>
    <row r="12267">
      <c r="A12267" s="11" t="s">
        <v>45</v>
      </c>
      <c r="B12267" s="12">
        <v>1011.107</v>
      </c>
      <c r="C12267" s="12">
        <v>0</v>
      </c>
      <c r="D12267" s="13">
        <v>0</v>
      </c>
      <c r="E12267" s="12">
        <v>0</v>
      </c>
      <c r="F12267" s="14">
        <v>0</v>
      </c>
      <c r="G12267" s="13">
        <v>665000</v>
      </c>
      <c r="H12267" s="14">
        <v>672386155</v>
      </c>
      <c r="I12267" s="14" t="e">
        <f>=Round(1212.22740000,0)</f>
        <v>#VALUE!</v>
      </c>
      <c r="J12267" s="14" t="e">
        <f>=Round(551.01190000,0)</f>
        <v>#VALUE!</v>
      </c>
    </row>
    <row r="12268">
      <c r="A12268" s="11" t="s">
        <v>46</v>
      </c>
      <c r="B12268" s="12">
        <v>1011.417</v>
      </c>
      <c r="C12268" s="12">
        <v>0</v>
      </c>
      <c r="D12268" s="13">
        <v>0</v>
      </c>
      <c r="E12268" s="12">
        <v>0</v>
      </c>
      <c r="F12268" s="14">
        <v>0</v>
      </c>
      <c r="G12268" s="13">
        <v>665000</v>
      </c>
      <c r="H12268" s="14">
        <v>672592305</v>
      </c>
      <c r="I12268" s="14" t="e">
        <f>=Round(1212.49960000,0)</f>
        <v>#VALUE!</v>
      </c>
      <c r="J12268" s="14" t="e">
        <f>=Round(551.13560000,0)</f>
        <v>#VALUE!</v>
      </c>
    </row>
    <row r="12269">
      <c r="A12269" s="11" t="s">
        <v>47</v>
      </c>
      <c r="B12269" s="12">
        <v>1011.657</v>
      </c>
      <c r="C12269" s="12">
        <v>0</v>
      </c>
      <c r="D12269" s="13">
        <v>0</v>
      </c>
      <c r="E12269" s="12">
        <v>0</v>
      </c>
      <c r="F12269" s="14">
        <v>0</v>
      </c>
      <c r="G12269" s="13">
        <v>665000</v>
      </c>
      <c r="H12269" s="14">
        <v>672751905</v>
      </c>
      <c r="I12269" s="14" t="e">
        <f>=Round(1212.87140000,0)</f>
        <v>#VALUE!</v>
      </c>
      <c r="J12269" s="14" t="e">
        <f>=Round(551.30460000,0)</f>
        <v>#VALUE!</v>
      </c>
    </row>
    <row r="12270">
      <c r="A12270" s="11" t="s">
        <v>48</v>
      </c>
      <c r="B12270" s="12">
        <v>1012.009</v>
      </c>
      <c r="C12270" s="12">
        <v>0</v>
      </c>
      <c r="D12270" s="13">
        <v>0</v>
      </c>
      <c r="E12270" s="12">
        <v>0</v>
      </c>
      <c r="F12270" s="14">
        <v>0</v>
      </c>
      <c r="G12270" s="13">
        <v>665000</v>
      </c>
      <c r="H12270" s="14">
        <v>672985985</v>
      </c>
      <c r="I12270" s="14" t="e">
        <f>=Round(1213.15920000,0)</f>
        <v>#VALUE!</v>
      </c>
      <c r="J12270" s="14" t="e">
        <f>=Round(551.43540000,0)</f>
        <v>#VALUE!</v>
      </c>
    </row>
    <row r="12271">
      <c r="A12271" s="11" t="s">
        <v>49</v>
      </c>
      <c r="B12271" s="12">
        <v>1012.009</v>
      </c>
      <c r="C12271" s="12">
        <v>0</v>
      </c>
      <c r="D12271" s="13">
        <v>0</v>
      </c>
      <c r="E12271" s="12">
        <v>0</v>
      </c>
      <c r="F12271" s="14">
        <v>0</v>
      </c>
      <c r="G12271" s="13">
        <v>665000</v>
      </c>
      <c r="H12271" s="14">
        <v>672985985</v>
      </c>
      <c r="I12271" s="14" t="e">
        <f>=Round(1213.58130000,0)</f>
        <v>#VALUE!</v>
      </c>
      <c r="J12271" s="14" t="e">
        <f>=Round(551.62730000,0)</f>
        <v>#VALUE!</v>
      </c>
    </row>
    <row r="12272">
      <c r="A12272" s="11" t="s">
        <v>50</v>
      </c>
      <c r="B12272" s="12">
        <v>1012.009</v>
      </c>
      <c r="C12272" s="12">
        <v>0</v>
      </c>
      <c r="D12272" s="13">
        <v>0</v>
      </c>
      <c r="E12272" s="12">
        <v>0</v>
      </c>
      <c r="F12272" s="14">
        <v>0</v>
      </c>
      <c r="G12272" s="13">
        <v>665000</v>
      </c>
      <c r="H12272" s="14">
        <v>672985985</v>
      </c>
      <c r="I12272" s="14" t="e">
        <f>=Round(1213.58130000,0)</f>
        <v>#VALUE!</v>
      </c>
      <c r="J12272" s="14" t="e">
        <f>=Round(551.62730000,0)</f>
        <v>#VALUE!</v>
      </c>
    </row>
    <row r="12273">
      <c r="A12273" s="11" t="s">
        <v>51</v>
      </c>
      <c r="B12273" s="12">
        <v>1012.69</v>
      </c>
      <c r="C12273" s="12">
        <v>0</v>
      </c>
      <c r="D12273" s="13">
        <v>0</v>
      </c>
      <c r="E12273" s="12">
        <v>0</v>
      </c>
      <c r="F12273" s="14">
        <v>0</v>
      </c>
      <c r="G12273" s="13">
        <v>665000</v>
      </c>
      <c r="H12273" s="14">
        <v>673438850</v>
      </c>
      <c r="I12273" s="14" t="e">
        <f>=Round(1213.58130000,0)</f>
        <v>#VALUE!</v>
      </c>
      <c r="J12273" s="14" t="e">
        <f>=Round(551.62730000,0)</f>
        <v>#VALUE!</v>
      </c>
    </row>
    <row r="12274">
      <c r="A12274" s="11" t="s">
        <v>52</v>
      </c>
      <c r="B12274" s="12">
        <v>1012.917</v>
      </c>
      <c r="C12274" s="12">
        <v>0</v>
      </c>
      <c r="D12274" s="13">
        <v>0</v>
      </c>
      <c r="E12274" s="12">
        <v>0</v>
      </c>
      <c r="F12274" s="14">
        <v>0</v>
      </c>
      <c r="G12274" s="13">
        <v>665000</v>
      </c>
      <c r="H12274" s="14">
        <v>673589805</v>
      </c>
      <c r="I12274" s="14" t="e">
        <f>=Round(1214.39790000,0)</f>
        <v>#VALUE!</v>
      </c>
      <c r="J12274" s="14" t="e">
        <f>=Round(551.99850000,0)</f>
        <v>#VALUE!</v>
      </c>
    </row>
    <row r="12275">
      <c r="A12275" s="11" t="s">
        <v>53</v>
      </c>
      <c r="B12275" s="12">
        <v>1013.144</v>
      </c>
      <c r="C12275" s="12">
        <v>0</v>
      </c>
      <c r="D12275" s="13">
        <v>0</v>
      </c>
      <c r="E12275" s="12">
        <v>0</v>
      </c>
      <c r="F12275" s="14">
        <v>0</v>
      </c>
      <c r="G12275" s="13">
        <v>665000</v>
      </c>
      <c r="H12275" s="14">
        <v>673740760</v>
      </c>
      <c r="I12275" s="14" t="e">
        <f>=Round(1214.67010000,0)</f>
        <v>#VALUE!</v>
      </c>
      <c r="J12275" s="14" t="e">
        <f>=Round(552.12220000,0)</f>
        <v>#VALUE!</v>
      </c>
    </row>
    <row r="12276">
      <c r="A12276" s="11" t="s">
        <v>54</v>
      </c>
      <c r="B12276" s="12">
        <v>1013.371</v>
      </c>
      <c r="C12276" s="12">
        <v>0</v>
      </c>
      <c r="D12276" s="13">
        <v>0</v>
      </c>
      <c r="E12276" s="12">
        <v>0</v>
      </c>
      <c r="F12276" s="14">
        <v>0</v>
      </c>
      <c r="G12276" s="13">
        <v>665000</v>
      </c>
      <c r="H12276" s="14">
        <v>673891715</v>
      </c>
      <c r="I12276" s="14" t="e">
        <f>=Round(1214.94240000,0)</f>
        <v>#VALUE!</v>
      </c>
      <c r="J12276" s="14" t="e">
        <f>=Round(552.24600000,0)</f>
        <v>#VALUE!</v>
      </c>
    </row>
    <row r="12277">
      <c r="A12277" s="11" t="s">
        <v>55</v>
      </c>
      <c r="B12277" s="12">
        <v>1013.598</v>
      </c>
      <c r="C12277" s="12">
        <v>0</v>
      </c>
      <c r="D12277" s="13">
        <v>0</v>
      </c>
      <c r="E12277" s="12">
        <v>0</v>
      </c>
      <c r="F12277" s="14">
        <v>0</v>
      </c>
      <c r="G12277" s="13">
        <v>665000</v>
      </c>
      <c r="H12277" s="14">
        <v>674042670</v>
      </c>
      <c r="I12277" s="14" t="e">
        <f>=Round(1215.21460000,0)</f>
        <v>#VALUE!</v>
      </c>
      <c r="J12277" s="14" t="e">
        <f>=Round(552.36970000,0)</f>
        <v>#VALUE!</v>
      </c>
    </row>
    <row r="12278" ht="-1">
      <c r="A12278" s="15"/>
      <c r="B12278" s="16" t="s">
        <v>56</v>
      </c>
      <c r="C12278" s="15"/>
      <c r="D12278" s="15"/>
      <c r="E12278" s="15"/>
      <c r="F12278" s="15"/>
      <c r="G12278" s="15"/>
      <c r="H12278" s="15"/>
      <c r="I12278" s="17" t="e">
        <f>=Round(SUM(I12252:I12277),0)</f>
        <v>#VALUE!</v>
      </c>
      <c r="J12278" s="17" t="e">
        <f>=Round(SUM(J12252:J12277),0)</f>
        <v>#VALUE!</v>
      </c>
    </row>
    <row r="12279">
      <c r="A12279" s="1" t="s">
        <v>0</v>
      </c>
      <c r="B12279" s="1"/>
      <c r="C12279" s="1"/>
      <c r="D12279" s="1"/>
    </row>
    <row r="12280">
      <c r="A12280" s="0" t="s">
        <v>1</v>
      </c>
      <c r="C12280" s="0" t="s">
        <v>419</v>
      </c>
      <c r="H12280" s="2" t="s">
        <v>3</v>
      </c>
    </row>
    <row r="12281">
      <c r="A12281" s="0" t="s">
        <v>4</v>
      </c>
      <c r="C12281" s="0" t="s">
        <v>159</v>
      </c>
      <c r="H12281" s="3" t="s">
        <v>6</v>
      </c>
    </row>
    <row r="12282">
      <c r="A12282" s="0" t="s">
        <v>7</v>
      </c>
      <c r="C12282" s="4" t="s">
        <v>420</v>
      </c>
      <c r="H12282" s="2" t="s">
        <v>9</v>
      </c>
    </row>
    <row r="12283">
      <c r="A12283" s="0" t="s">
        <v>10</v>
      </c>
      <c r="C12283" s="4" t="s">
        <v>11</v>
      </c>
      <c r="H12283" s="2" t="s">
        <v>12</v>
      </c>
    </row>
    <row r="12284">
      <c r="A12284" s="0" t="s">
        <v>13</v>
      </c>
      <c r="C12284" s="0" t="s">
        <v>14</v>
      </c>
    </row>
    <row r="12285">
      <c r="A12285" s="0" t="s">
        <v>15</v>
      </c>
      <c r="C12285" s="0" t="s">
        <v>16</v>
      </c>
    </row>
    <row r="12286">
      <c r="A12286" s="0" t="s">
        <v>17</v>
      </c>
      <c r="C12286" s="0" t="s">
        <v>18</v>
      </c>
    </row>
    <row r="12289">
      <c r="A12289" s="5" t="s">
        <v>19</v>
      </c>
      <c r="B12289" s="5" t="s">
        <v>20</v>
      </c>
      <c r="C12289" s="7" t="s">
        <v>21</v>
      </c>
      <c r="D12289" s="9"/>
      <c r="E12289" s="7" t="s">
        <v>22</v>
      </c>
      <c r="F12289" s="9"/>
      <c r="G12289" s="5" t="s">
        <v>23</v>
      </c>
      <c r="H12289" s="5" t="s">
        <v>24</v>
      </c>
      <c r="I12289" s="5" t="s">
        <v>421</v>
      </c>
      <c r="J12289" s="5" t="s">
        <v>26</v>
      </c>
    </row>
    <row r="12290">
      <c r="A12290" s="6"/>
      <c r="B12290" s="6"/>
      <c r="C12290" s="8" t="s">
        <v>27</v>
      </c>
      <c r="D12290" s="8" t="s">
        <v>28</v>
      </c>
      <c r="E12290" s="8" t="s">
        <v>27</v>
      </c>
      <c r="F12290" s="8" t="s">
        <v>28</v>
      </c>
      <c r="G12290" s="6"/>
      <c r="H12290" s="6"/>
      <c r="I12290" s="10" t="s">
        <v>29</v>
      </c>
      <c r="J12290" s="6"/>
    </row>
    <row r="12291">
      <c r="A12291" s="11" t="s">
        <v>30</v>
      </c>
      <c r="B12291" s="12">
        <v>1037.147</v>
      </c>
      <c r="C12291" s="12">
        <v>0</v>
      </c>
      <c r="D12291" s="13">
        <v>0</v>
      </c>
      <c r="E12291" s="12">
        <v>0</v>
      </c>
      <c r="F12291" s="14">
        <v>0</v>
      </c>
      <c r="G12291" s="13">
        <v>3000000</v>
      </c>
      <c r="H12291" s="14">
        <v>3111441000</v>
      </c>
      <c r="I12291" s="14" t="e">
        <f>=Round(57932.65770000,0)</f>
        <v>#VALUE!</v>
      </c>
      <c r="J12291" s="14" t="e">
        <f>=Round(0.00000000,0)</f>
        <v>#VALUE!</v>
      </c>
    </row>
    <row r="12292">
      <c r="A12292" s="11" t="s">
        <v>31</v>
      </c>
      <c r="B12292" s="12">
        <v>1037.418</v>
      </c>
      <c r="C12292" s="12">
        <v>0</v>
      </c>
      <c r="D12292" s="13">
        <v>0</v>
      </c>
      <c r="E12292" s="12">
        <v>0</v>
      </c>
      <c r="F12292" s="14">
        <v>0</v>
      </c>
      <c r="G12292" s="13">
        <v>3000000</v>
      </c>
      <c r="H12292" s="14">
        <v>3112254000</v>
      </c>
      <c r="I12292" s="14" t="e">
        <f>=Round(57978.21750000,0)</f>
        <v>#VALUE!</v>
      </c>
      <c r="J12292" s="14" t="e">
        <f>=Round(0.00000000,0)</f>
        <v>#VALUE!</v>
      </c>
    </row>
    <row r="12293">
      <c r="A12293" s="11" t="s">
        <v>32</v>
      </c>
      <c r="B12293" s="12">
        <v>1037.689</v>
      </c>
      <c r="C12293" s="12">
        <v>0</v>
      </c>
      <c r="D12293" s="13">
        <v>0</v>
      </c>
      <c r="E12293" s="12">
        <v>0</v>
      </c>
      <c r="F12293" s="14">
        <v>0</v>
      </c>
      <c r="G12293" s="13">
        <v>3000000</v>
      </c>
      <c r="H12293" s="14">
        <v>3113067000</v>
      </c>
      <c r="I12293" s="14" t="e">
        <f>=Round(57993.36690000,0)</f>
        <v>#VALUE!</v>
      </c>
      <c r="J12293" s="14" t="e">
        <f>=Round(0.00000000,0)</f>
        <v>#VALUE!</v>
      </c>
    </row>
    <row r="12294">
      <c r="A12294" s="11" t="s">
        <v>33</v>
      </c>
      <c r="B12294" s="12">
        <v>1037.96</v>
      </c>
      <c r="C12294" s="12">
        <v>0</v>
      </c>
      <c r="D12294" s="13">
        <v>0</v>
      </c>
      <c r="E12294" s="12">
        <v>0</v>
      </c>
      <c r="F12294" s="14">
        <v>0</v>
      </c>
      <c r="G12294" s="13">
        <v>3000000</v>
      </c>
      <c r="H12294" s="14">
        <v>3113880000</v>
      </c>
      <c r="I12294" s="14" t="e">
        <f>=Round(58008.51620000,0)</f>
        <v>#VALUE!</v>
      </c>
      <c r="J12294" s="14" t="e">
        <f>=Round(0.00000000,0)</f>
        <v>#VALUE!</v>
      </c>
    </row>
    <row r="12295">
      <c r="A12295" s="11" t="s">
        <v>34</v>
      </c>
      <c r="B12295" s="12">
        <v>1038.231</v>
      </c>
      <c r="C12295" s="12">
        <v>0</v>
      </c>
      <c r="D12295" s="13">
        <v>0</v>
      </c>
      <c r="E12295" s="12">
        <v>0</v>
      </c>
      <c r="F12295" s="14">
        <v>0</v>
      </c>
      <c r="G12295" s="13">
        <v>3000000</v>
      </c>
      <c r="H12295" s="14">
        <v>3114693000</v>
      </c>
      <c r="I12295" s="14" t="e">
        <f>=Round(58023.66560000,0)</f>
        <v>#VALUE!</v>
      </c>
      <c r="J12295" s="14" t="e">
        <f>=Round(0.00000000,0)</f>
        <v>#VALUE!</v>
      </c>
    </row>
    <row r="12296">
      <c r="A12296" s="11" t="s">
        <v>35</v>
      </c>
      <c r="B12296" s="12">
        <v>1038.231</v>
      </c>
      <c r="C12296" s="12">
        <v>0</v>
      </c>
      <c r="D12296" s="13">
        <v>0</v>
      </c>
      <c r="E12296" s="12">
        <v>0</v>
      </c>
      <c r="F12296" s="14">
        <v>0</v>
      </c>
      <c r="G12296" s="13">
        <v>3000000</v>
      </c>
      <c r="H12296" s="14">
        <v>3114693000</v>
      </c>
      <c r="I12296" s="14" t="e">
        <f>=Round(58038.81490000,0)</f>
        <v>#VALUE!</v>
      </c>
      <c r="J12296" s="14" t="e">
        <f>=Round(0.00000000,0)</f>
        <v>#VALUE!</v>
      </c>
    </row>
    <row r="12297">
      <c r="A12297" s="11" t="s">
        <v>36</v>
      </c>
      <c r="B12297" s="12">
        <v>1038.231</v>
      </c>
      <c r="C12297" s="12">
        <v>0</v>
      </c>
      <c r="D12297" s="13">
        <v>0</v>
      </c>
      <c r="E12297" s="12">
        <v>0</v>
      </c>
      <c r="F12297" s="14">
        <v>0</v>
      </c>
      <c r="G12297" s="13">
        <v>3000000</v>
      </c>
      <c r="H12297" s="14">
        <v>3114693000</v>
      </c>
      <c r="I12297" s="14" t="e">
        <f>=Round(58038.81490000,0)</f>
        <v>#VALUE!</v>
      </c>
      <c r="J12297" s="14" t="e">
        <f>=Round(0.00000000,0)</f>
        <v>#VALUE!</v>
      </c>
    </row>
    <row r="12298">
      <c r="A12298" s="11" t="s">
        <v>37</v>
      </c>
      <c r="B12298" s="12">
        <v>1039.04</v>
      </c>
      <c r="C12298" s="12">
        <v>0</v>
      </c>
      <c r="D12298" s="13">
        <v>0</v>
      </c>
      <c r="E12298" s="12">
        <v>0</v>
      </c>
      <c r="F12298" s="14">
        <v>0</v>
      </c>
      <c r="G12298" s="13">
        <v>3000000</v>
      </c>
      <c r="H12298" s="14">
        <v>3117120000</v>
      </c>
      <c r="I12298" s="14" t="e">
        <f>=Round(58038.81490000,0)</f>
        <v>#VALUE!</v>
      </c>
      <c r="J12298" s="14" t="e">
        <f>=Round(0.00000000,0)</f>
        <v>#VALUE!</v>
      </c>
    </row>
    <row r="12299">
      <c r="A12299" s="11" t="s">
        <v>38</v>
      </c>
      <c r="B12299" s="12">
        <v>1039.311</v>
      </c>
      <c r="C12299" s="12">
        <v>0</v>
      </c>
      <c r="D12299" s="13">
        <v>0</v>
      </c>
      <c r="E12299" s="12">
        <v>0</v>
      </c>
      <c r="F12299" s="14">
        <v>0</v>
      </c>
      <c r="G12299" s="13">
        <v>3000000</v>
      </c>
      <c r="H12299" s="14">
        <v>3117933000</v>
      </c>
      <c r="I12299" s="14" t="e">
        <f>=Round(58084.03930000,0)</f>
        <v>#VALUE!</v>
      </c>
      <c r="J12299" s="14" t="e">
        <f>=Round(0.00000000,0)</f>
        <v>#VALUE!</v>
      </c>
    </row>
    <row r="12300">
      <c r="A12300" s="11" t="s">
        <v>39</v>
      </c>
      <c r="B12300" s="12">
        <v>1038.583</v>
      </c>
      <c r="C12300" s="12">
        <v>0</v>
      </c>
      <c r="D12300" s="13">
        <v>0</v>
      </c>
      <c r="E12300" s="12">
        <v>0</v>
      </c>
      <c r="F12300" s="14">
        <v>0</v>
      </c>
      <c r="G12300" s="13">
        <v>3000000</v>
      </c>
      <c r="H12300" s="14">
        <v>3115749000</v>
      </c>
      <c r="I12300" s="14" t="e">
        <f>=Round(58099.18870000,0)</f>
        <v>#VALUE!</v>
      </c>
      <c r="J12300" s="14" t="e">
        <f>=Round(0.00000000,0)</f>
        <v>#VALUE!</v>
      </c>
    </row>
    <row r="12301">
      <c r="A12301" s="11" t="s">
        <v>40</v>
      </c>
      <c r="B12301" s="12">
        <v>1037.856</v>
      </c>
      <c r="C12301" s="12">
        <v>0</v>
      </c>
      <c r="D12301" s="13">
        <v>0</v>
      </c>
      <c r="E12301" s="12">
        <v>0</v>
      </c>
      <c r="F12301" s="14">
        <v>0</v>
      </c>
      <c r="G12301" s="13">
        <v>3000000</v>
      </c>
      <c r="H12301" s="14">
        <v>3113568000</v>
      </c>
      <c r="I12301" s="14" t="e">
        <f>=Round(58058.49230000,0)</f>
        <v>#VALUE!</v>
      </c>
      <c r="J12301" s="14" t="e">
        <f>=Round(0.00000000,0)</f>
        <v>#VALUE!</v>
      </c>
    </row>
    <row r="12302">
      <c r="A12302" s="11" t="s">
        <v>41</v>
      </c>
      <c r="B12302" s="12">
        <v>1036.859</v>
      </c>
      <c r="C12302" s="12">
        <v>0</v>
      </c>
      <c r="D12302" s="13">
        <v>0</v>
      </c>
      <c r="E12302" s="12">
        <v>0</v>
      </c>
      <c r="F12302" s="14">
        <v>0</v>
      </c>
      <c r="G12302" s="13">
        <v>3000000</v>
      </c>
      <c r="H12302" s="14">
        <v>3110577000</v>
      </c>
      <c r="I12302" s="14" t="e">
        <f>=Round(58017.85180000,0)</f>
        <v>#VALUE!</v>
      </c>
      <c r="J12302" s="14" t="e">
        <f>=Round(0.00000000,0)</f>
        <v>#VALUE!</v>
      </c>
    </row>
    <row r="12303">
      <c r="A12303" s="11" t="s">
        <v>42</v>
      </c>
      <c r="B12303" s="12">
        <v>1036.859</v>
      </c>
      <c r="C12303" s="12">
        <v>0</v>
      </c>
      <c r="D12303" s="13">
        <v>0</v>
      </c>
      <c r="E12303" s="12">
        <v>0</v>
      </c>
      <c r="F12303" s="14">
        <v>0</v>
      </c>
      <c r="G12303" s="13">
        <v>3000000</v>
      </c>
      <c r="H12303" s="14">
        <v>3110577000</v>
      </c>
      <c r="I12303" s="14" t="e">
        <f>=Round(57962.11790000,0)</f>
        <v>#VALUE!</v>
      </c>
      <c r="J12303" s="14" t="e">
        <f>=Round(0.00000000,0)</f>
        <v>#VALUE!</v>
      </c>
    </row>
    <row r="12304">
      <c r="A12304" s="11" t="s">
        <v>43</v>
      </c>
      <c r="B12304" s="12">
        <v>1036.859</v>
      </c>
      <c r="C12304" s="12">
        <v>0</v>
      </c>
      <c r="D12304" s="13">
        <v>0</v>
      </c>
      <c r="E12304" s="12">
        <v>0</v>
      </c>
      <c r="F12304" s="14">
        <v>0</v>
      </c>
      <c r="G12304" s="13">
        <v>3000000</v>
      </c>
      <c r="H12304" s="14">
        <v>3110577000</v>
      </c>
      <c r="I12304" s="14" t="e">
        <f>=Round(57962.11790000,0)</f>
        <v>#VALUE!</v>
      </c>
      <c r="J12304" s="14" t="e">
        <f>=Round(0.00000000,0)</f>
        <v>#VALUE!</v>
      </c>
    </row>
    <row r="12305">
      <c r="A12305" s="11" t="s">
        <v>44</v>
      </c>
      <c r="B12305" s="12">
        <v>1036.401</v>
      </c>
      <c r="C12305" s="12">
        <v>0</v>
      </c>
      <c r="D12305" s="13">
        <v>0</v>
      </c>
      <c r="E12305" s="12">
        <v>0</v>
      </c>
      <c r="F12305" s="14">
        <v>0</v>
      </c>
      <c r="G12305" s="13">
        <v>3000000</v>
      </c>
      <c r="H12305" s="14">
        <v>3109203000</v>
      </c>
      <c r="I12305" s="14" t="e">
        <f>=Round(57962.11790000,0)</f>
        <v>#VALUE!</v>
      </c>
      <c r="J12305" s="14" t="e">
        <f>=Round(0.00000000,0)</f>
        <v>#VALUE!</v>
      </c>
    </row>
    <row r="12306">
      <c r="A12306" s="11" t="s">
        <v>45</v>
      </c>
      <c r="B12306" s="12">
        <v>1034.917</v>
      </c>
      <c r="C12306" s="12">
        <v>0</v>
      </c>
      <c r="D12306" s="13">
        <v>0</v>
      </c>
      <c r="E12306" s="12">
        <v>0</v>
      </c>
      <c r="F12306" s="14">
        <v>0</v>
      </c>
      <c r="G12306" s="13">
        <v>3000000</v>
      </c>
      <c r="H12306" s="14">
        <v>3104751000</v>
      </c>
      <c r="I12306" s="14" t="e">
        <f>=Round(57936.51490000,0)</f>
        <v>#VALUE!</v>
      </c>
      <c r="J12306" s="14" t="e">
        <f>=Round(0.00000000,0)</f>
        <v>#VALUE!</v>
      </c>
    </row>
    <row r="12307">
      <c r="A12307" s="11" t="s">
        <v>46</v>
      </c>
      <c r="B12307" s="12">
        <v>1037.125</v>
      </c>
      <c r="C12307" s="12">
        <v>0</v>
      </c>
      <c r="D12307" s="13">
        <v>0</v>
      </c>
      <c r="E12307" s="12">
        <v>0</v>
      </c>
      <c r="F12307" s="14">
        <v>0</v>
      </c>
      <c r="G12307" s="13">
        <v>3000000</v>
      </c>
      <c r="H12307" s="14">
        <v>3111375000</v>
      </c>
      <c r="I12307" s="14" t="e">
        <f>=Round(57853.55690000,0)</f>
        <v>#VALUE!</v>
      </c>
      <c r="J12307" s="14" t="e">
        <f>=Round(0.00000000,0)</f>
        <v>#VALUE!</v>
      </c>
    </row>
    <row r="12308">
      <c r="A12308" s="11" t="s">
        <v>47</v>
      </c>
      <c r="B12308" s="12">
        <v>1038.278</v>
      </c>
      <c r="C12308" s="12">
        <v>0</v>
      </c>
      <c r="D12308" s="13">
        <v>0</v>
      </c>
      <c r="E12308" s="12">
        <v>0</v>
      </c>
      <c r="F12308" s="14">
        <v>0</v>
      </c>
      <c r="G12308" s="13">
        <v>3000000</v>
      </c>
      <c r="H12308" s="14">
        <v>3114834000</v>
      </c>
      <c r="I12308" s="14" t="e">
        <f>=Round(57976.98770000,0)</f>
        <v>#VALUE!</v>
      </c>
      <c r="J12308" s="14" t="e">
        <f>=Round(0.00000000,0)</f>
        <v>#VALUE!</v>
      </c>
    </row>
    <row r="12309">
      <c r="A12309" s="11" t="s">
        <v>48</v>
      </c>
      <c r="B12309" s="12">
        <v>1038.991</v>
      </c>
      <c r="C12309" s="12">
        <v>0</v>
      </c>
      <c r="D12309" s="13">
        <v>0</v>
      </c>
      <c r="E12309" s="12">
        <v>0</v>
      </c>
      <c r="F12309" s="14">
        <v>0</v>
      </c>
      <c r="G12309" s="13">
        <v>3000000</v>
      </c>
      <c r="H12309" s="14">
        <v>3116973000</v>
      </c>
      <c r="I12309" s="14" t="e">
        <f>=Round(58041.44230000,0)</f>
        <v>#VALUE!</v>
      </c>
      <c r="J12309" s="14" t="e">
        <f>=Round(0.00000000,0)</f>
        <v>#VALUE!</v>
      </c>
    </row>
    <row r="12310">
      <c r="A12310" s="11" t="s">
        <v>49</v>
      </c>
      <c r="B12310" s="12">
        <v>1038.991</v>
      </c>
      <c r="C12310" s="12">
        <v>0</v>
      </c>
      <c r="D12310" s="13">
        <v>0</v>
      </c>
      <c r="E12310" s="12">
        <v>0</v>
      </c>
      <c r="F12310" s="14">
        <v>0</v>
      </c>
      <c r="G12310" s="13">
        <v>3000000</v>
      </c>
      <c r="H12310" s="14">
        <v>3116973000</v>
      </c>
      <c r="I12310" s="14" t="e">
        <f>=Round(58081.30020000,0)</f>
        <v>#VALUE!</v>
      </c>
      <c r="J12310" s="14" t="e">
        <f>=Round(0.00000000,0)</f>
        <v>#VALUE!</v>
      </c>
    </row>
    <row r="12311">
      <c r="A12311" s="11" t="s">
        <v>50</v>
      </c>
      <c r="B12311" s="12">
        <v>1038.991</v>
      </c>
      <c r="C12311" s="12">
        <v>0</v>
      </c>
      <c r="D12311" s="13">
        <v>0</v>
      </c>
      <c r="E12311" s="12">
        <v>0</v>
      </c>
      <c r="F12311" s="14">
        <v>0</v>
      </c>
      <c r="G12311" s="13">
        <v>3000000</v>
      </c>
      <c r="H12311" s="14">
        <v>3116973000</v>
      </c>
      <c r="I12311" s="14" t="e">
        <f>=Round(58081.30020000,0)</f>
        <v>#VALUE!</v>
      </c>
      <c r="J12311" s="14" t="e">
        <f>=Round(0.00000000,0)</f>
        <v>#VALUE!</v>
      </c>
    </row>
    <row r="12312">
      <c r="A12312" s="11" t="s">
        <v>51</v>
      </c>
      <c r="B12312" s="12">
        <v>1008.454</v>
      </c>
      <c r="C12312" s="12">
        <v>0</v>
      </c>
      <c r="D12312" s="13">
        <v>0</v>
      </c>
      <c r="E12312" s="12">
        <v>0</v>
      </c>
      <c r="F12312" s="14">
        <v>0</v>
      </c>
      <c r="G12312" s="13">
        <v>3000000</v>
      </c>
      <c r="H12312" s="14">
        <v>3025362000</v>
      </c>
      <c r="I12312" s="14" t="e">
        <f>=Round(58081.30020000,0)</f>
        <v>#VALUE!</v>
      </c>
      <c r="J12312" s="14" t="e">
        <f>=Round(0.00000000,0)</f>
        <v>#VALUE!</v>
      </c>
    </row>
    <row r="12313">
      <c r="A12313" s="11" t="s">
        <v>52</v>
      </c>
      <c r="B12313" s="12">
        <v>1016.233</v>
      </c>
      <c r="C12313" s="12">
        <v>0</v>
      </c>
      <c r="D12313" s="13">
        <v>0</v>
      </c>
      <c r="E12313" s="12">
        <v>0</v>
      </c>
      <c r="F12313" s="14">
        <v>0</v>
      </c>
      <c r="G12313" s="13">
        <v>3000000</v>
      </c>
      <c r="H12313" s="14">
        <v>3048699000</v>
      </c>
      <c r="I12313" s="14" t="e">
        <f>=Round(56374.23180000,0)</f>
        <v>#VALUE!</v>
      </c>
      <c r="J12313" s="14" t="e">
        <f>=Round(0.00000000,0)</f>
        <v>#VALUE!</v>
      </c>
    </row>
    <row r="12314">
      <c r="A12314" s="11" t="s">
        <v>53</v>
      </c>
      <c r="B12314" s="12">
        <v>1016.653</v>
      </c>
      <c r="C12314" s="12">
        <v>0</v>
      </c>
      <c r="D12314" s="13">
        <v>0</v>
      </c>
      <c r="E12314" s="12">
        <v>0</v>
      </c>
      <c r="F12314" s="14">
        <v>0</v>
      </c>
      <c r="G12314" s="13">
        <v>3000000</v>
      </c>
      <c r="H12314" s="14">
        <v>3049959000</v>
      </c>
      <c r="I12314" s="14" t="e">
        <f>=Round(56809.09070000,0)</f>
        <v>#VALUE!</v>
      </c>
      <c r="J12314" s="14" t="e">
        <f>=Round(0.00000000,0)</f>
        <v>#VALUE!</v>
      </c>
    </row>
    <row r="12315">
      <c r="A12315" s="11" t="s">
        <v>54</v>
      </c>
      <c r="B12315" s="12">
        <v>1016.828</v>
      </c>
      <c r="C12315" s="12">
        <v>0</v>
      </c>
      <c r="D12315" s="13">
        <v>0</v>
      </c>
      <c r="E12315" s="12">
        <v>0</v>
      </c>
      <c r="F12315" s="14">
        <v>0</v>
      </c>
      <c r="G12315" s="13">
        <v>3000000</v>
      </c>
      <c r="H12315" s="14">
        <v>3050484000</v>
      </c>
      <c r="I12315" s="14" t="e">
        <f>=Round(56832.56930000,0)</f>
        <v>#VALUE!</v>
      </c>
      <c r="J12315" s="14" t="e">
        <f>=Round(0.00000000,0)</f>
        <v>#VALUE!</v>
      </c>
    </row>
    <row r="12316">
      <c r="A12316" s="11" t="s">
        <v>55</v>
      </c>
      <c r="B12316" s="12">
        <v>1015.874</v>
      </c>
      <c r="C12316" s="12">
        <v>0</v>
      </c>
      <c r="D12316" s="13">
        <v>0</v>
      </c>
      <c r="E12316" s="12">
        <v>0</v>
      </c>
      <c r="F12316" s="14">
        <v>0</v>
      </c>
      <c r="G12316" s="13">
        <v>3000000</v>
      </c>
      <c r="H12316" s="14">
        <v>3047622000</v>
      </c>
      <c r="I12316" s="14" t="e">
        <f>=Round(56842.35210000,0)</f>
        <v>#VALUE!</v>
      </c>
      <c r="J12316" s="14" t="e">
        <f>=Round(0.00000000,0)</f>
        <v>#VALUE!</v>
      </c>
    </row>
    <row r="12317" ht="-1">
      <c r="A12317" s="15"/>
      <c r="B12317" s="16" t="s">
        <v>56</v>
      </c>
      <c r="C12317" s="15"/>
      <c r="D12317" s="15"/>
      <c r="E12317" s="15"/>
      <c r="F12317" s="15"/>
      <c r="G12317" s="15"/>
      <c r="H12317" s="15"/>
      <c r="I12317" s="17" t="e">
        <f>=Round(SUM(I12291:I12316),0)</f>
        <v>#VALUE!</v>
      </c>
      <c r="J12317" s="17" t="e">
        <f>=Round(SUM(J12291:J12316),0)</f>
        <v>#VALUE!</v>
      </c>
    </row>
    <row r="12318">
      <c r="A12318" s="1" t="s">
        <v>0</v>
      </c>
      <c r="B12318" s="1"/>
      <c r="C12318" s="1"/>
      <c r="D12318" s="1"/>
    </row>
    <row r="12319">
      <c r="A12319" s="0" t="s">
        <v>1</v>
      </c>
      <c r="C12319" s="0" t="s">
        <v>419</v>
      </c>
      <c r="H12319" s="2" t="s">
        <v>3</v>
      </c>
    </row>
    <row r="12320">
      <c r="A12320" s="0" t="s">
        <v>4</v>
      </c>
      <c r="C12320" s="0" t="s">
        <v>422</v>
      </c>
      <c r="H12320" s="3" t="s">
        <v>6</v>
      </c>
    </row>
    <row r="12321">
      <c r="A12321" s="0" t="s">
        <v>7</v>
      </c>
      <c r="C12321" s="4" t="s">
        <v>420</v>
      </c>
      <c r="H12321" s="2" t="s">
        <v>9</v>
      </c>
    </row>
    <row r="12322">
      <c r="A12322" s="0" t="s">
        <v>10</v>
      </c>
      <c r="C12322" s="4" t="s">
        <v>11</v>
      </c>
      <c r="H12322" s="2" t="s">
        <v>12</v>
      </c>
    </row>
    <row r="12323">
      <c r="A12323" s="0" t="s">
        <v>13</v>
      </c>
      <c r="C12323" s="0" t="s">
        <v>14</v>
      </c>
    </row>
    <row r="12324">
      <c r="A12324" s="0" t="s">
        <v>15</v>
      </c>
      <c r="C12324" s="0" t="s">
        <v>16</v>
      </c>
    </row>
    <row r="12325">
      <c r="A12325" s="0" t="s">
        <v>17</v>
      </c>
      <c r="C12325" s="0" t="s">
        <v>18</v>
      </c>
    </row>
    <row r="12328">
      <c r="A12328" s="5" t="s">
        <v>19</v>
      </c>
      <c r="B12328" s="5" t="s">
        <v>20</v>
      </c>
      <c r="C12328" s="7" t="s">
        <v>21</v>
      </c>
      <c r="D12328" s="9"/>
      <c r="E12328" s="7" t="s">
        <v>22</v>
      </c>
      <c r="F12328" s="9"/>
      <c r="G12328" s="5" t="s">
        <v>23</v>
      </c>
      <c r="H12328" s="5" t="s">
        <v>24</v>
      </c>
      <c r="I12328" s="5" t="s">
        <v>421</v>
      </c>
      <c r="J12328" s="5" t="s">
        <v>26</v>
      </c>
    </row>
    <row r="12329">
      <c r="A12329" s="6"/>
      <c r="B12329" s="6"/>
      <c r="C12329" s="8" t="s">
        <v>27</v>
      </c>
      <c r="D12329" s="8" t="s">
        <v>28</v>
      </c>
      <c r="E12329" s="8" t="s">
        <v>27</v>
      </c>
      <c r="F12329" s="8" t="s">
        <v>28</v>
      </c>
      <c r="G12329" s="6"/>
      <c r="H12329" s="6"/>
      <c r="I12329" s="10" t="s">
        <v>29</v>
      </c>
      <c r="J12329" s="6"/>
    </row>
    <row r="12330">
      <c r="A12330" s="11" t="s">
        <v>30</v>
      </c>
      <c r="B12330" s="12">
        <v>1037.147</v>
      </c>
      <c r="C12330" s="12">
        <v>0</v>
      </c>
      <c r="D12330" s="13">
        <v>0</v>
      </c>
      <c r="E12330" s="12">
        <v>0</v>
      </c>
      <c r="F12330" s="14">
        <v>0</v>
      </c>
      <c r="G12330" s="13">
        <v>500000</v>
      </c>
      <c r="H12330" s="14">
        <v>518573500</v>
      </c>
      <c r="I12330" s="14" t="e">
        <f>=Round(9655.44300000,0)</f>
        <v>#VALUE!</v>
      </c>
      <c r="J12330" s="14" t="e">
        <f>=Round(0.00000000,0)</f>
        <v>#VALUE!</v>
      </c>
    </row>
    <row r="12331">
      <c r="A12331" s="11" t="s">
        <v>31</v>
      </c>
      <c r="B12331" s="12">
        <v>1037.418</v>
      </c>
      <c r="C12331" s="12">
        <v>0</v>
      </c>
      <c r="D12331" s="13">
        <v>0</v>
      </c>
      <c r="E12331" s="12">
        <v>0</v>
      </c>
      <c r="F12331" s="14">
        <v>0</v>
      </c>
      <c r="G12331" s="13">
        <v>500000</v>
      </c>
      <c r="H12331" s="14">
        <v>518709000</v>
      </c>
      <c r="I12331" s="14" t="e">
        <f>=Round(9663.03630000,0)</f>
        <v>#VALUE!</v>
      </c>
      <c r="J12331" s="14" t="e">
        <f>=Round(0.00000000,0)</f>
        <v>#VALUE!</v>
      </c>
    </row>
    <row r="12332">
      <c r="A12332" s="11" t="s">
        <v>32</v>
      </c>
      <c r="B12332" s="12">
        <v>1037.689</v>
      </c>
      <c r="C12332" s="12">
        <v>0</v>
      </c>
      <c r="D12332" s="13">
        <v>0</v>
      </c>
      <c r="E12332" s="12">
        <v>0</v>
      </c>
      <c r="F12332" s="14">
        <v>0</v>
      </c>
      <c r="G12332" s="13">
        <v>500000</v>
      </c>
      <c r="H12332" s="14">
        <v>518844500</v>
      </c>
      <c r="I12332" s="14" t="e">
        <f>=Round(9665.56110000,0)</f>
        <v>#VALUE!</v>
      </c>
      <c r="J12332" s="14" t="e">
        <f>=Round(0.00000000,0)</f>
        <v>#VALUE!</v>
      </c>
    </row>
    <row r="12333">
      <c r="A12333" s="11" t="s">
        <v>33</v>
      </c>
      <c r="B12333" s="12">
        <v>1037.96</v>
      </c>
      <c r="C12333" s="12">
        <v>0</v>
      </c>
      <c r="D12333" s="13">
        <v>0</v>
      </c>
      <c r="E12333" s="12">
        <v>0</v>
      </c>
      <c r="F12333" s="14">
        <v>0</v>
      </c>
      <c r="G12333" s="13">
        <v>500000</v>
      </c>
      <c r="H12333" s="14">
        <v>518980000</v>
      </c>
      <c r="I12333" s="14" t="e">
        <f>=Round(9668.08600000,0)</f>
        <v>#VALUE!</v>
      </c>
      <c r="J12333" s="14" t="e">
        <f>=Round(0.00000000,0)</f>
        <v>#VALUE!</v>
      </c>
    </row>
    <row r="12334">
      <c r="A12334" s="11" t="s">
        <v>34</v>
      </c>
      <c r="B12334" s="12">
        <v>1038.231</v>
      </c>
      <c r="C12334" s="12">
        <v>0</v>
      </c>
      <c r="D12334" s="13">
        <v>0</v>
      </c>
      <c r="E12334" s="12">
        <v>0</v>
      </c>
      <c r="F12334" s="14">
        <v>0</v>
      </c>
      <c r="G12334" s="13">
        <v>500000</v>
      </c>
      <c r="H12334" s="14">
        <v>519115500</v>
      </c>
      <c r="I12334" s="14" t="e">
        <f>=Round(9670.61090000,0)</f>
        <v>#VALUE!</v>
      </c>
      <c r="J12334" s="14" t="e">
        <f>=Round(0.00000000,0)</f>
        <v>#VALUE!</v>
      </c>
    </row>
    <row r="12335">
      <c r="A12335" s="11" t="s">
        <v>35</v>
      </c>
      <c r="B12335" s="12">
        <v>1038.231</v>
      </c>
      <c r="C12335" s="12">
        <v>0</v>
      </c>
      <c r="D12335" s="13">
        <v>0</v>
      </c>
      <c r="E12335" s="12">
        <v>0</v>
      </c>
      <c r="F12335" s="14">
        <v>0</v>
      </c>
      <c r="G12335" s="13">
        <v>500000</v>
      </c>
      <c r="H12335" s="14">
        <v>519115500</v>
      </c>
      <c r="I12335" s="14" t="e">
        <f>=Round(9673.13580000,0)</f>
        <v>#VALUE!</v>
      </c>
      <c r="J12335" s="14" t="e">
        <f>=Round(0.00000000,0)</f>
        <v>#VALUE!</v>
      </c>
    </row>
    <row r="12336">
      <c r="A12336" s="11" t="s">
        <v>36</v>
      </c>
      <c r="B12336" s="12">
        <v>1038.231</v>
      </c>
      <c r="C12336" s="12">
        <v>0</v>
      </c>
      <c r="D12336" s="13">
        <v>0</v>
      </c>
      <c r="E12336" s="12">
        <v>0</v>
      </c>
      <c r="F12336" s="14">
        <v>0</v>
      </c>
      <c r="G12336" s="13">
        <v>500000</v>
      </c>
      <c r="H12336" s="14">
        <v>519115500</v>
      </c>
      <c r="I12336" s="14" t="e">
        <f>=Round(9673.13580000,0)</f>
        <v>#VALUE!</v>
      </c>
      <c r="J12336" s="14" t="e">
        <f>=Round(0.00000000,0)</f>
        <v>#VALUE!</v>
      </c>
    </row>
    <row r="12337">
      <c r="A12337" s="11" t="s">
        <v>37</v>
      </c>
      <c r="B12337" s="12">
        <v>1039.04</v>
      </c>
      <c r="C12337" s="12">
        <v>0</v>
      </c>
      <c r="D12337" s="13">
        <v>0</v>
      </c>
      <c r="E12337" s="12">
        <v>0</v>
      </c>
      <c r="F12337" s="14">
        <v>0</v>
      </c>
      <c r="G12337" s="13">
        <v>500000</v>
      </c>
      <c r="H12337" s="14">
        <v>519520000</v>
      </c>
      <c r="I12337" s="14" t="e">
        <f>=Round(9673.13580000,0)</f>
        <v>#VALUE!</v>
      </c>
      <c r="J12337" s="14" t="e">
        <f>=Round(0.00000000,0)</f>
        <v>#VALUE!</v>
      </c>
    </row>
    <row r="12338">
      <c r="A12338" s="11" t="s">
        <v>38</v>
      </c>
      <c r="B12338" s="12">
        <v>1039.311</v>
      </c>
      <c r="C12338" s="12">
        <v>0</v>
      </c>
      <c r="D12338" s="13">
        <v>0</v>
      </c>
      <c r="E12338" s="12">
        <v>0</v>
      </c>
      <c r="F12338" s="14">
        <v>0</v>
      </c>
      <c r="G12338" s="13">
        <v>500000</v>
      </c>
      <c r="H12338" s="14">
        <v>519655500</v>
      </c>
      <c r="I12338" s="14" t="e">
        <f>=Round(9680.67320000,0)</f>
        <v>#VALUE!</v>
      </c>
      <c r="J12338" s="14" t="e">
        <f>=Round(0.00000000,0)</f>
        <v>#VALUE!</v>
      </c>
    </row>
    <row r="12339">
      <c r="A12339" s="11" t="s">
        <v>39</v>
      </c>
      <c r="B12339" s="12">
        <v>1038.583</v>
      </c>
      <c r="C12339" s="12">
        <v>0</v>
      </c>
      <c r="D12339" s="13">
        <v>0</v>
      </c>
      <c r="E12339" s="12">
        <v>0</v>
      </c>
      <c r="F12339" s="14">
        <v>0</v>
      </c>
      <c r="G12339" s="13">
        <v>500000</v>
      </c>
      <c r="H12339" s="14">
        <v>519291500</v>
      </c>
      <c r="I12339" s="14" t="e">
        <f>=Round(9683.19810000,0)</f>
        <v>#VALUE!</v>
      </c>
      <c r="J12339" s="14" t="e">
        <f>=Round(0.00000000,0)</f>
        <v>#VALUE!</v>
      </c>
    </row>
    <row r="12340">
      <c r="A12340" s="11" t="s">
        <v>40</v>
      </c>
      <c r="B12340" s="12">
        <v>1037.856</v>
      </c>
      <c r="C12340" s="12">
        <v>0</v>
      </c>
      <c r="D12340" s="13">
        <v>0</v>
      </c>
      <c r="E12340" s="12">
        <v>0</v>
      </c>
      <c r="F12340" s="14">
        <v>0</v>
      </c>
      <c r="G12340" s="13">
        <v>500000</v>
      </c>
      <c r="H12340" s="14">
        <v>518928000</v>
      </c>
      <c r="I12340" s="14" t="e">
        <f>=Round(9676.41540000,0)</f>
        <v>#VALUE!</v>
      </c>
      <c r="J12340" s="14" t="e">
        <f>=Round(0.00000000,0)</f>
        <v>#VALUE!</v>
      </c>
    </row>
    <row r="12341">
      <c r="A12341" s="11" t="s">
        <v>41</v>
      </c>
      <c r="B12341" s="12">
        <v>1036.859</v>
      </c>
      <c r="C12341" s="12">
        <v>0</v>
      </c>
      <c r="D12341" s="13">
        <v>0</v>
      </c>
      <c r="E12341" s="12">
        <v>0</v>
      </c>
      <c r="F12341" s="14">
        <v>0</v>
      </c>
      <c r="G12341" s="13">
        <v>500000</v>
      </c>
      <c r="H12341" s="14">
        <v>518429500</v>
      </c>
      <c r="I12341" s="14" t="e">
        <f>=Round(9669.64200000,0)</f>
        <v>#VALUE!</v>
      </c>
      <c r="J12341" s="14" t="e">
        <f>=Round(0.00000000,0)</f>
        <v>#VALUE!</v>
      </c>
    </row>
    <row r="12342">
      <c r="A12342" s="11" t="s">
        <v>42</v>
      </c>
      <c r="B12342" s="12">
        <v>1036.859</v>
      </c>
      <c r="C12342" s="12">
        <v>0</v>
      </c>
      <c r="D12342" s="13">
        <v>0</v>
      </c>
      <c r="E12342" s="12">
        <v>0</v>
      </c>
      <c r="F12342" s="14">
        <v>0</v>
      </c>
      <c r="G12342" s="13">
        <v>500000</v>
      </c>
      <c r="H12342" s="14">
        <v>518429500</v>
      </c>
      <c r="I12342" s="14" t="e">
        <f>=Round(9660.35300000,0)</f>
        <v>#VALUE!</v>
      </c>
      <c r="J12342" s="14" t="e">
        <f>=Round(0.00000000,0)</f>
        <v>#VALUE!</v>
      </c>
    </row>
    <row r="12343">
      <c r="A12343" s="11" t="s">
        <v>43</v>
      </c>
      <c r="B12343" s="12">
        <v>1036.859</v>
      </c>
      <c r="C12343" s="12">
        <v>0</v>
      </c>
      <c r="D12343" s="13">
        <v>0</v>
      </c>
      <c r="E12343" s="12">
        <v>0</v>
      </c>
      <c r="F12343" s="14">
        <v>0</v>
      </c>
      <c r="G12343" s="13">
        <v>500000</v>
      </c>
      <c r="H12343" s="14">
        <v>518429500</v>
      </c>
      <c r="I12343" s="14" t="e">
        <f>=Round(9660.35300000,0)</f>
        <v>#VALUE!</v>
      </c>
      <c r="J12343" s="14" t="e">
        <f>=Round(0.00000000,0)</f>
        <v>#VALUE!</v>
      </c>
    </row>
    <row r="12344">
      <c r="A12344" s="11" t="s">
        <v>44</v>
      </c>
      <c r="B12344" s="12">
        <v>1036.401</v>
      </c>
      <c r="C12344" s="12">
        <v>0</v>
      </c>
      <c r="D12344" s="13">
        <v>0</v>
      </c>
      <c r="E12344" s="12">
        <v>0</v>
      </c>
      <c r="F12344" s="14">
        <v>0</v>
      </c>
      <c r="G12344" s="13">
        <v>500000</v>
      </c>
      <c r="H12344" s="14">
        <v>518200500</v>
      </c>
      <c r="I12344" s="14" t="e">
        <f>=Round(9660.35300000,0)</f>
        <v>#VALUE!</v>
      </c>
      <c r="J12344" s="14" t="e">
        <f>=Round(0.00000000,0)</f>
        <v>#VALUE!</v>
      </c>
    </row>
    <row r="12345">
      <c r="A12345" s="11" t="s">
        <v>45</v>
      </c>
      <c r="B12345" s="12">
        <v>1034.917</v>
      </c>
      <c r="C12345" s="12">
        <v>0</v>
      </c>
      <c r="D12345" s="13">
        <v>0</v>
      </c>
      <c r="E12345" s="12">
        <v>0</v>
      </c>
      <c r="F12345" s="14">
        <v>0</v>
      </c>
      <c r="G12345" s="13">
        <v>500000</v>
      </c>
      <c r="H12345" s="14">
        <v>517458500</v>
      </c>
      <c r="I12345" s="14" t="e">
        <f>=Round(9656.08580000,0)</f>
        <v>#VALUE!</v>
      </c>
      <c r="J12345" s="14" t="e">
        <f>=Round(0.00000000,0)</f>
        <v>#VALUE!</v>
      </c>
    </row>
    <row r="12346">
      <c r="A12346" s="11" t="s">
        <v>46</v>
      </c>
      <c r="B12346" s="12">
        <v>1037.125</v>
      </c>
      <c r="C12346" s="12">
        <v>0</v>
      </c>
      <c r="D12346" s="13">
        <v>0</v>
      </c>
      <c r="E12346" s="12">
        <v>0</v>
      </c>
      <c r="F12346" s="14">
        <v>0</v>
      </c>
      <c r="G12346" s="13">
        <v>500000</v>
      </c>
      <c r="H12346" s="14">
        <v>518562500</v>
      </c>
      <c r="I12346" s="14" t="e">
        <f>=Round(9642.25950000,0)</f>
        <v>#VALUE!</v>
      </c>
      <c r="J12346" s="14" t="e">
        <f>=Round(0.00000000,0)</f>
        <v>#VALUE!</v>
      </c>
    </row>
    <row r="12347">
      <c r="A12347" s="11" t="s">
        <v>47</v>
      </c>
      <c r="B12347" s="12">
        <v>1038.278</v>
      </c>
      <c r="C12347" s="12">
        <v>0</v>
      </c>
      <c r="D12347" s="13">
        <v>0</v>
      </c>
      <c r="E12347" s="12">
        <v>0</v>
      </c>
      <c r="F12347" s="14">
        <v>0</v>
      </c>
      <c r="G12347" s="13">
        <v>500000</v>
      </c>
      <c r="H12347" s="14">
        <v>519139000</v>
      </c>
      <c r="I12347" s="14" t="e">
        <f>=Round(9662.83130000,0)</f>
        <v>#VALUE!</v>
      </c>
      <c r="J12347" s="14" t="e">
        <f>=Round(0.00000000,0)</f>
        <v>#VALUE!</v>
      </c>
    </row>
    <row r="12348">
      <c r="A12348" s="11" t="s">
        <v>48</v>
      </c>
      <c r="B12348" s="12">
        <v>1038.991</v>
      </c>
      <c r="C12348" s="12">
        <v>0</v>
      </c>
      <c r="D12348" s="13">
        <v>0</v>
      </c>
      <c r="E12348" s="12">
        <v>0</v>
      </c>
      <c r="F12348" s="14">
        <v>0</v>
      </c>
      <c r="G12348" s="13">
        <v>500000</v>
      </c>
      <c r="H12348" s="14">
        <v>519495500</v>
      </c>
      <c r="I12348" s="14" t="e">
        <f>=Round(9673.57370000,0)</f>
        <v>#VALUE!</v>
      </c>
      <c r="J12348" s="14" t="e">
        <f>=Round(0.00000000,0)</f>
        <v>#VALUE!</v>
      </c>
    </row>
    <row r="12349">
      <c r="A12349" s="11" t="s">
        <v>49</v>
      </c>
      <c r="B12349" s="12">
        <v>1038.991</v>
      </c>
      <c r="C12349" s="12">
        <v>0</v>
      </c>
      <c r="D12349" s="13">
        <v>0</v>
      </c>
      <c r="E12349" s="12">
        <v>0</v>
      </c>
      <c r="F12349" s="14">
        <v>0</v>
      </c>
      <c r="G12349" s="13">
        <v>500000</v>
      </c>
      <c r="H12349" s="14">
        <v>519495500</v>
      </c>
      <c r="I12349" s="14" t="e">
        <f>=Round(9680.21670000,0)</f>
        <v>#VALUE!</v>
      </c>
      <c r="J12349" s="14" t="e">
        <f>=Round(0.00000000,0)</f>
        <v>#VALUE!</v>
      </c>
    </row>
    <row r="12350">
      <c r="A12350" s="11" t="s">
        <v>50</v>
      </c>
      <c r="B12350" s="12">
        <v>1038.991</v>
      </c>
      <c r="C12350" s="12">
        <v>0</v>
      </c>
      <c r="D12350" s="13">
        <v>0</v>
      </c>
      <c r="E12350" s="12">
        <v>0</v>
      </c>
      <c r="F12350" s="14">
        <v>0</v>
      </c>
      <c r="G12350" s="13">
        <v>500000</v>
      </c>
      <c r="H12350" s="14">
        <v>519495500</v>
      </c>
      <c r="I12350" s="14" t="e">
        <f>=Round(9680.21670000,0)</f>
        <v>#VALUE!</v>
      </c>
      <c r="J12350" s="14" t="e">
        <f>=Round(0.00000000,0)</f>
        <v>#VALUE!</v>
      </c>
    </row>
    <row r="12351">
      <c r="A12351" s="11" t="s">
        <v>51</v>
      </c>
      <c r="B12351" s="12">
        <v>1008.454</v>
      </c>
      <c r="C12351" s="12">
        <v>0</v>
      </c>
      <c r="D12351" s="13">
        <v>0</v>
      </c>
      <c r="E12351" s="12">
        <v>0</v>
      </c>
      <c r="F12351" s="14">
        <v>0</v>
      </c>
      <c r="G12351" s="13">
        <v>500000</v>
      </c>
      <c r="H12351" s="14">
        <v>504227000</v>
      </c>
      <c r="I12351" s="14" t="e">
        <f>=Round(9680.21670000,0)</f>
        <v>#VALUE!</v>
      </c>
      <c r="J12351" s="14" t="e">
        <f>=Round(0.00000000,0)</f>
        <v>#VALUE!</v>
      </c>
    </row>
    <row r="12352">
      <c r="A12352" s="11" t="s">
        <v>52</v>
      </c>
      <c r="B12352" s="12">
        <v>1016.233</v>
      </c>
      <c r="C12352" s="12">
        <v>0</v>
      </c>
      <c r="D12352" s="13">
        <v>0</v>
      </c>
      <c r="E12352" s="12">
        <v>0</v>
      </c>
      <c r="F12352" s="14">
        <v>0</v>
      </c>
      <c r="G12352" s="13">
        <v>500000</v>
      </c>
      <c r="H12352" s="14">
        <v>508116500</v>
      </c>
      <c r="I12352" s="14" t="e">
        <f>=Round(9395.70530000,0)</f>
        <v>#VALUE!</v>
      </c>
      <c r="J12352" s="14" t="e">
        <f>=Round(0.00000000,0)</f>
        <v>#VALUE!</v>
      </c>
    </row>
    <row r="12353">
      <c r="A12353" s="11" t="s">
        <v>53</v>
      </c>
      <c r="B12353" s="12">
        <v>1016.653</v>
      </c>
      <c r="C12353" s="12">
        <v>0</v>
      </c>
      <c r="D12353" s="13">
        <v>0</v>
      </c>
      <c r="E12353" s="12">
        <v>0</v>
      </c>
      <c r="F12353" s="14">
        <v>0</v>
      </c>
      <c r="G12353" s="13">
        <v>500000</v>
      </c>
      <c r="H12353" s="14">
        <v>508326500</v>
      </c>
      <c r="I12353" s="14" t="e">
        <f>=Round(9468.18180000,0)</f>
        <v>#VALUE!</v>
      </c>
      <c r="J12353" s="14" t="e">
        <f>=Round(0.00000000,0)</f>
        <v>#VALUE!</v>
      </c>
    </row>
    <row r="12354">
      <c r="A12354" s="11" t="s">
        <v>54</v>
      </c>
      <c r="B12354" s="12">
        <v>1016.828</v>
      </c>
      <c r="C12354" s="12">
        <v>0</v>
      </c>
      <c r="D12354" s="13">
        <v>0</v>
      </c>
      <c r="E12354" s="12">
        <v>0</v>
      </c>
      <c r="F12354" s="14">
        <v>0</v>
      </c>
      <c r="G12354" s="13">
        <v>500000</v>
      </c>
      <c r="H12354" s="14">
        <v>508414000</v>
      </c>
      <c r="I12354" s="14" t="e">
        <f>=Round(9472.09490000,0)</f>
        <v>#VALUE!</v>
      </c>
      <c r="J12354" s="14" t="e">
        <f>=Round(0.00000000,0)</f>
        <v>#VALUE!</v>
      </c>
    </row>
    <row r="12355">
      <c r="A12355" s="11" t="s">
        <v>55</v>
      </c>
      <c r="B12355" s="12">
        <v>1015.874</v>
      </c>
      <c r="C12355" s="12">
        <v>0</v>
      </c>
      <c r="D12355" s="13">
        <v>0</v>
      </c>
      <c r="E12355" s="12">
        <v>0</v>
      </c>
      <c r="F12355" s="14">
        <v>0</v>
      </c>
      <c r="G12355" s="13">
        <v>500000</v>
      </c>
      <c r="H12355" s="14">
        <v>507937000</v>
      </c>
      <c r="I12355" s="14" t="e">
        <f>=Round(9473.72540000,0)</f>
        <v>#VALUE!</v>
      </c>
      <c r="J12355" s="14" t="e">
        <f>=Round(0.00000000,0)</f>
        <v>#VALUE!</v>
      </c>
    </row>
    <row r="12356" ht="-1">
      <c r="A12356" s="15"/>
      <c r="B12356" s="16" t="s">
        <v>56</v>
      </c>
      <c r="C12356" s="15"/>
      <c r="D12356" s="15"/>
      <c r="E12356" s="15"/>
      <c r="F12356" s="15"/>
      <c r="G12356" s="15"/>
      <c r="H12356" s="15"/>
      <c r="I12356" s="17" t="e">
        <f>=Round(SUM(I12330:I12355),0)</f>
        <v>#VALUE!</v>
      </c>
      <c r="J12356" s="17" t="e">
        <f>=Round(SUM(J12330:J12355),0)</f>
        <v>#VALUE!</v>
      </c>
    </row>
    <row r="12357">
      <c r="A12357" s="1" t="s">
        <v>0</v>
      </c>
      <c r="B12357" s="1"/>
      <c r="C12357" s="1"/>
      <c r="D12357" s="1"/>
    </row>
    <row r="12358">
      <c r="A12358" s="0" t="s">
        <v>1</v>
      </c>
      <c r="C12358" s="0" t="s">
        <v>419</v>
      </c>
      <c r="H12358" s="2" t="s">
        <v>3</v>
      </c>
    </row>
    <row r="12359">
      <c r="A12359" s="0" t="s">
        <v>4</v>
      </c>
      <c r="C12359" s="0" t="s">
        <v>127</v>
      </c>
      <c r="H12359" s="3" t="s">
        <v>6</v>
      </c>
    </row>
    <row r="12360">
      <c r="A12360" s="0" t="s">
        <v>7</v>
      </c>
      <c r="C12360" s="4" t="s">
        <v>420</v>
      </c>
      <c r="H12360" s="2" t="s">
        <v>9</v>
      </c>
    </row>
    <row r="12361">
      <c r="A12361" s="0" t="s">
        <v>10</v>
      </c>
      <c r="C12361" s="4" t="s">
        <v>124</v>
      </c>
      <c r="H12361" s="2" t="s">
        <v>12</v>
      </c>
    </row>
    <row r="12362">
      <c r="A12362" s="0" t="s">
        <v>13</v>
      </c>
      <c r="C12362" s="0" t="s">
        <v>14</v>
      </c>
    </row>
    <row r="12363">
      <c r="A12363" s="0" t="s">
        <v>15</v>
      </c>
      <c r="C12363" s="0" t="s">
        <v>16</v>
      </c>
    </row>
    <row r="12364">
      <c r="A12364" s="0" t="s">
        <v>17</v>
      </c>
      <c r="C12364" s="0" t="s">
        <v>18</v>
      </c>
    </row>
    <row r="12367">
      <c r="A12367" s="5" t="s">
        <v>19</v>
      </c>
      <c r="B12367" s="5" t="s">
        <v>20</v>
      </c>
      <c r="C12367" s="7" t="s">
        <v>21</v>
      </c>
      <c r="D12367" s="9"/>
      <c r="E12367" s="7" t="s">
        <v>22</v>
      </c>
      <c r="F12367" s="9"/>
      <c r="G12367" s="5" t="s">
        <v>23</v>
      </c>
      <c r="H12367" s="5" t="s">
        <v>24</v>
      </c>
      <c r="I12367" s="5" t="s">
        <v>421</v>
      </c>
      <c r="J12367" s="5" t="s">
        <v>125</v>
      </c>
    </row>
    <row r="12368">
      <c r="A12368" s="6"/>
      <c r="B12368" s="6"/>
      <c r="C12368" s="8" t="s">
        <v>27</v>
      </c>
      <c r="D12368" s="8" t="s">
        <v>28</v>
      </c>
      <c r="E12368" s="8" t="s">
        <v>27</v>
      </c>
      <c r="F12368" s="8" t="s">
        <v>28</v>
      </c>
      <c r="G12368" s="6"/>
      <c r="H12368" s="6"/>
      <c r="I12368" s="10" t="s">
        <v>29</v>
      </c>
      <c r="J12368" s="6"/>
    </row>
    <row r="12369">
      <c r="A12369" s="11" t="s">
        <v>30</v>
      </c>
      <c r="B12369" s="12">
        <v>1037.147</v>
      </c>
      <c r="C12369" s="12">
        <v>0</v>
      </c>
      <c r="D12369" s="13">
        <v>0</v>
      </c>
      <c r="E12369" s="12">
        <v>0</v>
      </c>
      <c r="F12369" s="14">
        <v>0</v>
      </c>
      <c r="G12369" s="13">
        <v>1109154.742</v>
      </c>
      <c r="H12369" s="14">
        <v>1150356513.2010739</v>
      </c>
      <c r="I12369" s="14" t="e">
        <f>=Round(21418.76070000,0)</f>
        <v>#VALUE!</v>
      </c>
      <c r="J12369" s="14" t="e">
        <f>=Round(9735.79060000,0)</f>
        <v>#VALUE!</v>
      </c>
    </row>
    <row r="12370">
      <c r="A12370" s="11" t="s">
        <v>31</v>
      </c>
      <c r="B12370" s="12">
        <v>1037.418</v>
      </c>
      <c r="C12370" s="12">
        <v>0</v>
      </c>
      <c r="D12370" s="13">
        <v>0</v>
      </c>
      <c r="E12370" s="12">
        <v>0</v>
      </c>
      <c r="F12370" s="14">
        <v>0</v>
      </c>
      <c r="G12370" s="13">
        <v>1109154.742</v>
      </c>
      <c r="H12370" s="14">
        <v>1150657094.1361561</v>
      </c>
      <c r="I12370" s="14" t="e">
        <f>=Round(21435.60500000,0)</f>
        <v>#VALUE!</v>
      </c>
      <c r="J12370" s="14" t="e">
        <f>=Round(9743.44710000,0)</f>
        <v>#VALUE!</v>
      </c>
    </row>
    <row r="12371">
      <c r="A12371" s="11" t="s">
        <v>32</v>
      </c>
      <c r="B12371" s="12">
        <v>1037.689</v>
      </c>
      <c r="C12371" s="12">
        <v>0</v>
      </c>
      <c r="D12371" s="13">
        <v>0</v>
      </c>
      <c r="E12371" s="12">
        <v>0</v>
      </c>
      <c r="F12371" s="14">
        <v>0</v>
      </c>
      <c r="G12371" s="13">
        <v>1109154.742</v>
      </c>
      <c r="H12371" s="14">
        <v>1150957675.071238</v>
      </c>
      <c r="I12371" s="14" t="e">
        <f>=Round(21441.20600000,0)</f>
        <v>#VALUE!</v>
      </c>
      <c r="J12371" s="14" t="e">
        <f>=Round(9745.99300000,0)</f>
        <v>#VALUE!</v>
      </c>
    </row>
    <row r="12372">
      <c r="A12372" s="11" t="s">
        <v>33</v>
      </c>
      <c r="B12372" s="12">
        <v>1037.96</v>
      </c>
      <c r="C12372" s="12">
        <v>0</v>
      </c>
      <c r="D12372" s="13">
        <v>0</v>
      </c>
      <c r="E12372" s="12">
        <v>0</v>
      </c>
      <c r="F12372" s="14">
        <v>0</v>
      </c>
      <c r="G12372" s="13">
        <v>1109154.742</v>
      </c>
      <c r="H12372" s="14">
        <v>1151258256.00632</v>
      </c>
      <c r="I12372" s="14" t="e">
        <f>=Round(21446.80700000,0)</f>
        <v>#VALUE!</v>
      </c>
      <c r="J12372" s="14" t="e">
        <f>=Round(9748.53890000,0)</f>
        <v>#VALUE!</v>
      </c>
    </row>
    <row r="12373">
      <c r="A12373" s="11" t="s">
        <v>34</v>
      </c>
      <c r="B12373" s="12">
        <v>1038.231</v>
      </c>
      <c r="C12373" s="12">
        <v>0</v>
      </c>
      <c r="D12373" s="13">
        <v>0</v>
      </c>
      <c r="E12373" s="12">
        <v>0</v>
      </c>
      <c r="F12373" s="14">
        <v>0</v>
      </c>
      <c r="G12373" s="13">
        <v>1109154.742</v>
      </c>
      <c r="H12373" s="14">
        <v>1151558836.941402</v>
      </c>
      <c r="I12373" s="14" t="e">
        <f>=Round(21452.40790000,0)</f>
        <v>#VALUE!</v>
      </c>
      <c r="J12373" s="14" t="e">
        <f>=Round(9751.08480000,0)</f>
        <v>#VALUE!</v>
      </c>
    </row>
    <row r="12374">
      <c r="A12374" s="11" t="s">
        <v>35</v>
      </c>
      <c r="B12374" s="12">
        <v>1038.231</v>
      </c>
      <c r="C12374" s="12">
        <v>0</v>
      </c>
      <c r="D12374" s="13">
        <v>0</v>
      </c>
      <c r="E12374" s="12">
        <v>0</v>
      </c>
      <c r="F12374" s="14">
        <v>0</v>
      </c>
      <c r="G12374" s="13">
        <v>1109154.742</v>
      </c>
      <c r="H12374" s="14">
        <v>1151558836.941402</v>
      </c>
      <c r="I12374" s="14" t="e">
        <f>=Round(21458.00890000,0)</f>
        <v>#VALUE!</v>
      </c>
      <c r="J12374" s="14" t="e">
        <f>=Round(9753.63070000,0)</f>
        <v>#VALUE!</v>
      </c>
    </row>
    <row r="12375">
      <c r="A12375" s="11" t="s">
        <v>36</v>
      </c>
      <c r="B12375" s="12">
        <v>1038.231</v>
      </c>
      <c r="C12375" s="12">
        <v>0</v>
      </c>
      <c r="D12375" s="13">
        <v>0</v>
      </c>
      <c r="E12375" s="12">
        <v>0</v>
      </c>
      <c r="F12375" s="14">
        <v>0</v>
      </c>
      <c r="G12375" s="13">
        <v>1109154.742</v>
      </c>
      <c r="H12375" s="14">
        <v>1151558836.941402</v>
      </c>
      <c r="I12375" s="14" t="e">
        <f>=Round(21458.00890000,0)</f>
        <v>#VALUE!</v>
      </c>
      <c r="J12375" s="14" t="e">
        <f>=Round(9753.63070000,0)</f>
        <v>#VALUE!</v>
      </c>
    </row>
    <row r="12376">
      <c r="A12376" s="11" t="s">
        <v>37</v>
      </c>
      <c r="B12376" s="12">
        <v>1039.04</v>
      </c>
      <c r="C12376" s="12">
        <v>0</v>
      </c>
      <c r="D12376" s="13">
        <v>0</v>
      </c>
      <c r="E12376" s="12">
        <v>0</v>
      </c>
      <c r="F12376" s="14">
        <v>0</v>
      </c>
      <c r="G12376" s="13">
        <v>1109154.742</v>
      </c>
      <c r="H12376" s="14">
        <v>1152456143.12768</v>
      </c>
      <c r="I12376" s="14" t="e">
        <f>=Round(21458.00890000,0)</f>
        <v>#VALUE!</v>
      </c>
      <c r="J12376" s="14" t="e">
        <f>=Round(9753.63070000,0)</f>
        <v>#VALUE!</v>
      </c>
    </row>
    <row r="12377">
      <c r="A12377" s="11" t="s">
        <v>38</v>
      </c>
      <c r="B12377" s="12">
        <v>1039.311</v>
      </c>
      <c r="C12377" s="12">
        <v>0</v>
      </c>
      <c r="D12377" s="13">
        <v>0</v>
      </c>
      <c r="E12377" s="12">
        <v>0</v>
      </c>
      <c r="F12377" s="14">
        <v>0</v>
      </c>
      <c r="G12377" s="13">
        <v>1109154.742</v>
      </c>
      <c r="H12377" s="14">
        <v>1152756724.062762</v>
      </c>
      <c r="I12377" s="14" t="e">
        <f>=Round(21474.72920000,0)</f>
        <v>#VALUE!</v>
      </c>
      <c r="J12377" s="14" t="e">
        <f>=Round(9761.23080000,0)</f>
        <v>#VALUE!</v>
      </c>
    </row>
    <row r="12378">
      <c r="A12378" s="11" t="s">
        <v>39</v>
      </c>
      <c r="B12378" s="12">
        <v>1038.583</v>
      </c>
      <c r="C12378" s="12">
        <v>0</v>
      </c>
      <c r="D12378" s="13">
        <v>0</v>
      </c>
      <c r="E12378" s="12">
        <v>0</v>
      </c>
      <c r="F12378" s="14">
        <v>0</v>
      </c>
      <c r="G12378" s="13">
        <v>1109154.742</v>
      </c>
      <c r="H12378" s="14">
        <v>1151949259.4105861</v>
      </c>
      <c r="I12378" s="14" t="e">
        <f>=Round(21480.33020000,0)</f>
        <v>#VALUE!</v>
      </c>
      <c r="J12378" s="14" t="e">
        <f>=Round(9763.77670000,0)</f>
        <v>#VALUE!</v>
      </c>
    </row>
    <row r="12379">
      <c r="A12379" s="11" t="s">
        <v>40</v>
      </c>
      <c r="B12379" s="12">
        <v>1037.856</v>
      </c>
      <c r="C12379" s="12">
        <v>0</v>
      </c>
      <c r="D12379" s="13">
        <v>0</v>
      </c>
      <c r="E12379" s="12">
        <v>0</v>
      </c>
      <c r="F12379" s="14">
        <v>0</v>
      </c>
      <c r="G12379" s="13">
        <v>1109154.742</v>
      </c>
      <c r="H12379" s="14">
        <v>1151142903.913152</v>
      </c>
      <c r="I12379" s="14" t="e">
        <f>=Round(21465.28400000,0)</f>
        <v>#VALUE!</v>
      </c>
      <c r="J12379" s="14" t="e">
        <f>=Round(9756.93750000,0)</f>
        <v>#VALUE!</v>
      </c>
    </row>
    <row r="12380">
      <c r="A12380" s="11" t="s">
        <v>41</v>
      </c>
      <c r="B12380" s="12">
        <v>1036.859</v>
      </c>
      <c r="C12380" s="12">
        <v>0</v>
      </c>
      <c r="D12380" s="13">
        <v>0</v>
      </c>
      <c r="E12380" s="12">
        <v>0</v>
      </c>
      <c r="F12380" s="14">
        <v>0</v>
      </c>
      <c r="G12380" s="13">
        <v>1109154.742</v>
      </c>
      <c r="H12380" s="14">
        <v>1150037076.6353779</v>
      </c>
      <c r="I12380" s="14" t="e">
        <f>=Round(21450.25850000,0)</f>
        <v>#VALUE!</v>
      </c>
      <c r="J12380" s="14" t="e">
        <f>=Round(9750.10770000,0)</f>
        <v>#VALUE!</v>
      </c>
    </row>
    <row r="12381">
      <c r="A12381" s="11" t="s">
        <v>42</v>
      </c>
      <c r="B12381" s="12">
        <v>1036.859</v>
      </c>
      <c r="C12381" s="12">
        <v>0</v>
      </c>
      <c r="D12381" s="13">
        <v>0</v>
      </c>
      <c r="E12381" s="12">
        <v>0</v>
      </c>
      <c r="F12381" s="14">
        <v>0</v>
      </c>
      <c r="G12381" s="13">
        <v>1109154.742</v>
      </c>
      <c r="H12381" s="14">
        <v>1150037076.6353779</v>
      </c>
      <c r="I12381" s="14" t="e">
        <f>=Round(21429.65260000,0)</f>
        <v>#VALUE!</v>
      </c>
      <c r="J12381" s="14" t="e">
        <f>=Round(9740.74150000,0)</f>
        <v>#VALUE!</v>
      </c>
    </row>
    <row r="12382">
      <c r="A12382" s="11" t="s">
        <v>43</v>
      </c>
      <c r="B12382" s="12">
        <v>1036.859</v>
      </c>
      <c r="C12382" s="12">
        <v>0</v>
      </c>
      <c r="D12382" s="13">
        <v>0</v>
      </c>
      <c r="E12382" s="12">
        <v>0</v>
      </c>
      <c r="F12382" s="14">
        <v>0</v>
      </c>
      <c r="G12382" s="13">
        <v>1109154.742</v>
      </c>
      <c r="H12382" s="14">
        <v>1150037076.6353779</v>
      </c>
      <c r="I12382" s="14" t="e">
        <f>=Round(21429.65260000,0)</f>
        <v>#VALUE!</v>
      </c>
      <c r="J12382" s="14" t="e">
        <f>=Round(9740.74150000,0)</f>
        <v>#VALUE!</v>
      </c>
    </row>
    <row r="12383">
      <c r="A12383" s="11" t="s">
        <v>44</v>
      </c>
      <c r="B12383" s="12">
        <v>1036.401</v>
      </c>
      <c r="C12383" s="12">
        <v>0</v>
      </c>
      <c r="D12383" s="13">
        <v>0</v>
      </c>
      <c r="E12383" s="12">
        <v>0</v>
      </c>
      <c r="F12383" s="14">
        <v>0</v>
      </c>
      <c r="G12383" s="13">
        <v>1109154.742</v>
      </c>
      <c r="H12383" s="14">
        <v>1149529083.7635419</v>
      </c>
      <c r="I12383" s="14" t="e">
        <f>=Round(21429.65260000,0)</f>
        <v>#VALUE!</v>
      </c>
      <c r="J12383" s="14" t="e">
        <f>=Round(9740.74150000,0)</f>
        <v>#VALUE!</v>
      </c>
    </row>
    <row r="12384">
      <c r="A12384" s="11" t="s">
        <v>45</v>
      </c>
      <c r="B12384" s="12">
        <v>1034.917</v>
      </c>
      <c r="C12384" s="12">
        <v>0</v>
      </c>
      <c r="D12384" s="13">
        <v>0</v>
      </c>
      <c r="E12384" s="12">
        <v>0</v>
      </c>
      <c r="F12384" s="14">
        <v>0</v>
      </c>
      <c r="G12384" s="13">
        <v>1109154.742</v>
      </c>
      <c r="H12384" s="14">
        <v>1147883098.1264141</v>
      </c>
      <c r="I12384" s="14" t="e">
        <f>=Round(21420.18680000,0)</f>
        <v>#VALUE!</v>
      </c>
      <c r="J12384" s="14" t="e">
        <f>=Round(9736.43880000,0)</f>
        <v>#VALUE!</v>
      </c>
    </row>
    <row r="12385">
      <c r="A12385" s="11" t="s">
        <v>46</v>
      </c>
      <c r="B12385" s="12">
        <v>1037.125</v>
      </c>
      <c r="C12385" s="12">
        <v>0</v>
      </c>
      <c r="D12385" s="13">
        <v>0</v>
      </c>
      <c r="E12385" s="12">
        <v>0</v>
      </c>
      <c r="F12385" s="14">
        <v>0</v>
      </c>
      <c r="G12385" s="13">
        <v>1109154.742</v>
      </c>
      <c r="H12385" s="14">
        <v>1150332111.79675</v>
      </c>
      <c r="I12385" s="14" t="e">
        <f>=Round(21389.51570000,0)</f>
        <v>#VALUE!</v>
      </c>
      <c r="J12385" s="14" t="e">
        <f>=Round(9722.49740000,0)</f>
        <v>#VALUE!</v>
      </c>
    </row>
    <row r="12386">
      <c r="A12386" s="11" t="s">
        <v>47</v>
      </c>
      <c r="B12386" s="12">
        <v>1038.278</v>
      </c>
      <c r="C12386" s="12">
        <v>0</v>
      </c>
      <c r="D12386" s="13">
        <v>0</v>
      </c>
      <c r="E12386" s="12">
        <v>0</v>
      </c>
      <c r="F12386" s="14">
        <v>0</v>
      </c>
      <c r="G12386" s="13">
        <v>1109154.742</v>
      </c>
      <c r="H12386" s="14">
        <v>1151610967.2142761</v>
      </c>
      <c r="I12386" s="14" t="e">
        <f>=Round(21435.15030000,0)</f>
        <v>#VALUE!</v>
      </c>
      <c r="J12386" s="14" t="e">
        <f>=Round(9743.24040000,0)</f>
        <v>#VALUE!</v>
      </c>
    </row>
    <row r="12387">
      <c r="A12387" s="11" t="s">
        <v>48</v>
      </c>
      <c r="B12387" s="12">
        <v>1038.991</v>
      </c>
      <c r="C12387" s="12">
        <v>0</v>
      </c>
      <c r="D12387" s="13">
        <v>0</v>
      </c>
      <c r="E12387" s="12">
        <v>0</v>
      </c>
      <c r="F12387" s="14">
        <v>0</v>
      </c>
      <c r="G12387" s="13">
        <v>1109154.742</v>
      </c>
      <c r="H12387" s="14">
        <v>1152401794.5453219</v>
      </c>
      <c r="I12387" s="14" t="e">
        <f>=Round(21458.98030000,0)</f>
        <v>#VALUE!</v>
      </c>
      <c r="J12387" s="14" t="e">
        <f>=Round(9754.07220000,0)</f>
        <v>#VALUE!</v>
      </c>
    </row>
    <row r="12388">
      <c r="A12388" s="11" t="s">
        <v>49</v>
      </c>
      <c r="B12388" s="12">
        <v>1038.991</v>
      </c>
      <c r="C12388" s="12">
        <v>0</v>
      </c>
      <c r="D12388" s="13">
        <v>0</v>
      </c>
      <c r="E12388" s="12">
        <v>0</v>
      </c>
      <c r="F12388" s="14">
        <v>0</v>
      </c>
      <c r="G12388" s="13">
        <v>1109154.742</v>
      </c>
      <c r="H12388" s="14">
        <v>1152401794.5453219</v>
      </c>
      <c r="I12388" s="14" t="e">
        <f>=Round(21473.71650000,0)</f>
        <v>#VALUE!</v>
      </c>
      <c r="J12388" s="14" t="e">
        <f>=Round(9760.77050000,0)</f>
        <v>#VALUE!</v>
      </c>
    </row>
    <row r="12389">
      <c r="A12389" s="11" t="s">
        <v>50</v>
      </c>
      <c r="B12389" s="12">
        <v>1038.991</v>
      </c>
      <c r="C12389" s="12">
        <v>0</v>
      </c>
      <c r="D12389" s="13">
        <v>0</v>
      </c>
      <c r="E12389" s="12">
        <v>0</v>
      </c>
      <c r="F12389" s="14">
        <v>0</v>
      </c>
      <c r="G12389" s="13">
        <v>1109154.742</v>
      </c>
      <c r="H12389" s="14">
        <v>1152401794.5453219</v>
      </c>
      <c r="I12389" s="14" t="e">
        <f>=Round(21473.71650000,0)</f>
        <v>#VALUE!</v>
      </c>
      <c r="J12389" s="14" t="e">
        <f>=Round(9760.77050000,0)</f>
        <v>#VALUE!</v>
      </c>
    </row>
    <row r="12390">
      <c r="A12390" s="11" t="s">
        <v>51</v>
      </c>
      <c r="B12390" s="12">
        <v>1008.454</v>
      </c>
      <c r="C12390" s="12">
        <v>0</v>
      </c>
      <c r="D12390" s="13">
        <v>0</v>
      </c>
      <c r="E12390" s="12">
        <v>5000.602</v>
      </c>
      <c r="F12390" s="14">
        <v>5042857.09</v>
      </c>
      <c r="G12390" s="13">
        <v>1109154.742</v>
      </c>
      <c r="H12390" s="14">
        <v>1118531536.1888681</v>
      </c>
      <c r="I12390" s="14" t="e">
        <f>=Round(21473.71650000,0)</f>
        <v>#VALUE!</v>
      </c>
      <c r="J12390" s="14" t="e">
        <f>=Round(9760.77050000,0)</f>
        <v>#VALUE!</v>
      </c>
    </row>
    <row r="12391">
      <c r="A12391" s="11" t="s">
        <v>52</v>
      </c>
      <c r="B12391" s="12">
        <v>1016.233</v>
      </c>
      <c r="C12391" s="12">
        <v>0</v>
      </c>
      <c r="D12391" s="13">
        <v>0</v>
      </c>
      <c r="E12391" s="12">
        <v>0</v>
      </c>
      <c r="F12391" s="14">
        <v>0</v>
      </c>
      <c r="G12391" s="13">
        <v>1104154.14</v>
      </c>
      <c r="H12391" s="14">
        <v>1122077874.15462</v>
      </c>
      <c r="I12391" s="14" t="e">
        <f>=Round(20842.58220000,0)</f>
        <v>#VALUE!</v>
      </c>
      <c r="J12391" s="14" t="e">
        <f>=Round(9473.89150000,0)</f>
        <v>#VALUE!</v>
      </c>
    </row>
    <row r="12392">
      <c r="A12392" s="11" t="s">
        <v>53</v>
      </c>
      <c r="B12392" s="12">
        <v>1016.653</v>
      </c>
      <c r="C12392" s="12">
        <v>0</v>
      </c>
      <c r="D12392" s="13">
        <v>0</v>
      </c>
      <c r="E12392" s="12">
        <v>0</v>
      </c>
      <c r="F12392" s="14">
        <v>0</v>
      </c>
      <c r="G12392" s="13">
        <v>1104154.14</v>
      </c>
      <c r="H12392" s="14">
        <v>1122541618.89342</v>
      </c>
      <c r="I12392" s="14" t="e">
        <f>=Round(20908.66420000,0)</f>
        <v>#VALUE!</v>
      </c>
      <c r="J12392" s="14" t="e">
        <f>=Round(9503.92880000,0)</f>
        <v>#VALUE!</v>
      </c>
    </row>
    <row r="12393">
      <c r="A12393" s="11" t="s">
        <v>54</v>
      </c>
      <c r="B12393" s="12">
        <v>1016.828</v>
      </c>
      <c r="C12393" s="12">
        <v>0</v>
      </c>
      <c r="D12393" s="13">
        <v>0</v>
      </c>
      <c r="E12393" s="12">
        <v>0</v>
      </c>
      <c r="F12393" s="14">
        <v>0</v>
      </c>
      <c r="G12393" s="13">
        <v>1104154.14</v>
      </c>
      <c r="H12393" s="14">
        <v>1122734845.86792</v>
      </c>
      <c r="I12393" s="14" t="e">
        <f>=Round(20917.30560000,0)</f>
        <v>#VALUE!</v>
      </c>
      <c r="J12393" s="14" t="e">
        <f>=Round(9507.85670000,0)</f>
        <v>#VALUE!</v>
      </c>
    </row>
    <row r="12394">
      <c r="A12394" s="11" t="s">
        <v>55</v>
      </c>
      <c r="B12394" s="12">
        <v>1015.874</v>
      </c>
      <c r="C12394" s="12">
        <v>0</v>
      </c>
      <c r="D12394" s="13">
        <v>0</v>
      </c>
      <c r="E12394" s="12">
        <v>0</v>
      </c>
      <c r="F12394" s="14">
        <v>0</v>
      </c>
      <c r="G12394" s="13">
        <v>1104154.14</v>
      </c>
      <c r="H12394" s="14">
        <v>1121681482.81836</v>
      </c>
      <c r="I12394" s="14" t="e">
        <f>=Round(20920.90610000,0)</f>
        <v>#VALUE!</v>
      </c>
      <c r="J12394" s="14" t="e">
        <f>=Round(9509.49330000,0)</f>
        <v>#VALUE!</v>
      </c>
    </row>
    <row r="12395" ht="-1">
      <c r="A12395" s="15"/>
      <c r="B12395" s="16" t="s">
        <v>56</v>
      </c>
      <c r="C12395" s="15"/>
      <c r="D12395" s="15"/>
      <c r="E12395" s="15"/>
      <c r="F12395" s="15"/>
      <c r="G12395" s="15"/>
      <c r="H12395" s="15"/>
      <c r="I12395" s="17" t="e">
        <f>=Round(SUM(I12369:I12394),0)</f>
        <v>#VALUE!</v>
      </c>
      <c r="J12395" s="17" t="e">
        <f>=Round(SUM(J12369:J12394),0)</f>
        <v>#VALUE!</v>
      </c>
    </row>
    <row r="12396">
      <c r="A12396" s="1" t="s">
        <v>0</v>
      </c>
      <c r="B12396" s="1"/>
      <c r="C12396" s="1"/>
      <c r="D12396" s="1"/>
    </row>
    <row r="12397">
      <c r="A12397" s="0" t="s">
        <v>1</v>
      </c>
      <c r="C12397" s="0" t="s">
        <v>419</v>
      </c>
      <c r="H12397" s="2" t="s">
        <v>3</v>
      </c>
    </row>
    <row r="12398">
      <c r="A12398" s="0" t="s">
        <v>4</v>
      </c>
      <c r="C12398" s="0" t="s">
        <v>132</v>
      </c>
      <c r="H12398" s="3" t="s">
        <v>6</v>
      </c>
    </row>
    <row r="12399">
      <c r="A12399" s="0" t="s">
        <v>7</v>
      </c>
      <c r="C12399" s="4" t="s">
        <v>420</v>
      </c>
      <c r="H12399" s="2" t="s">
        <v>9</v>
      </c>
    </row>
    <row r="12400">
      <c r="A12400" s="0" t="s">
        <v>10</v>
      </c>
      <c r="C12400" s="4" t="s">
        <v>124</v>
      </c>
      <c r="H12400" s="2" t="s">
        <v>12</v>
      </c>
    </row>
    <row r="12401">
      <c r="A12401" s="0" t="s">
        <v>13</v>
      </c>
      <c r="C12401" s="0" t="s">
        <v>14</v>
      </c>
    </row>
    <row r="12402">
      <c r="A12402" s="0" t="s">
        <v>15</v>
      </c>
      <c r="C12402" s="0" t="s">
        <v>16</v>
      </c>
    </row>
    <row r="12403">
      <c r="A12403" s="0" t="s">
        <v>17</v>
      </c>
      <c r="C12403" s="0" t="s">
        <v>18</v>
      </c>
    </row>
    <row r="12406">
      <c r="A12406" s="5" t="s">
        <v>19</v>
      </c>
      <c r="B12406" s="5" t="s">
        <v>20</v>
      </c>
      <c r="C12406" s="7" t="s">
        <v>21</v>
      </c>
      <c r="D12406" s="9"/>
      <c r="E12406" s="7" t="s">
        <v>22</v>
      </c>
      <c r="F12406" s="9"/>
      <c r="G12406" s="5" t="s">
        <v>23</v>
      </c>
      <c r="H12406" s="5" t="s">
        <v>24</v>
      </c>
      <c r="I12406" s="5" t="s">
        <v>421</v>
      </c>
      <c r="J12406" s="5" t="s">
        <v>125</v>
      </c>
    </row>
    <row r="12407">
      <c r="A12407" s="6"/>
      <c r="B12407" s="6"/>
      <c r="C12407" s="8" t="s">
        <v>27</v>
      </c>
      <c r="D12407" s="8" t="s">
        <v>28</v>
      </c>
      <c r="E12407" s="8" t="s">
        <v>27</v>
      </c>
      <c r="F12407" s="8" t="s">
        <v>28</v>
      </c>
      <c r="G12407" s="6"/>
      <c r="H12407" s="6"/>
      <c r="I12407" s="10" t="s">
        <v>29</v>
      </c>
      <c r="J12407" s="6"/>
    </row>
    <row r="12408">
      <c r="A12408" s="11" t="s">
        <v>30</v>
      </c>
      <c r="B12408" s="12">
        <v>1037.147</v>
      </c>
      <c r="C12408" s="12">
        <v>0</v>
      </c>
      <c r="D12408" s="13">
        <v>0</v>
      </c>
      <c r="E12408" s="12">
        <v>0</v>
      </c>
      <c r="F12408" s="14">
        <v>0</v>
      </c>
      <c r="G12408" s="13">
        <v>7598900</v>
      </c>
      <c r="H12408" s="14">
        <v>7881176338.3</v>
      </c>
      <c r="I12408" s="14" t="e">
        <f>=Round(146741.49090000,0)</f>
        <v>#VALUE!</v>
      </c>
      <c r="J12408" s="14" t="e">
        <f>=Round(66700.61100000,0)</f>
        <v>#VALUE!</v>
      </c>
    </row>
    <row r="12409">
      <c r="A12409" s="11" t="s">
        <v>31</v>
      </c>
      <c r="B12409" s="12">
        <v>1037.418</v>
      </c>
      <c r="C12409" s="12">
        <v>0</v>
      </c>
      <c r="D12409" s="13">
        <v>0</v>
      </c>
      <c r="E12409" s="12">
        <v>0</v>
      </c>
      <c r="F12409" s="14">
        <v>0</v>
      </c>
      <c r="G12409" s="13">
        <v>7598900</v>
      </c>
      <c r="H12409" s="14">
        <v>7883235640.2</v>
      </c>
      <c r="I12409" s="14" t="e">
        <f>=Round(146856.89240000,0)</f>
        <v>#VALUE!</v>
      </c>
      <c r="J12409" s="14" t="e">
        <f>=Round(66753.06620000,0)</f>
        <v>#VALUE!</v>
      </c>
    </row>
    <row r="12410">
      <c r="A12410" s="11" t="s">
        <v>32</v>
      </c>
      <c r="B12410" s="12">
        <v>1037.689</v>
      </c>
      <c r="C12410" s="12">
        <v>0</v>
      </c>
      <c r="D12410" s="13">
        <v>0</v>
      </c>
      <c r="E12410" s="12">
        <v>0</v>
      </c>
      <c r="F12410" s="14">
        <v>0</v>
      </c>
      <c r="G12410" s="13">
        <v>7598900</v>
      </c>
      <c r="H12410" s="14">
        <v>7885294942.1</v>
      </c>
      <c r="I12410" s="14" t="e">
        <f>=Round(146895.26520000,0)</f>
        <v>#VALUE!</v>
      </c>
      <c r="J12410" s="14" t="e">
        <f>=Round(66770.50830000,0)</f>
        <v>#VALUE!</v>
      </c>
    </row>
    <row r="12411">
      <c r="A12411" s="11" t="s">
        <v>33</v>
      </c>
      <c r="B12411" s="12">
        <v>1037.96</v>
      </c>
      <c r="C12411" s="12">
        <v>0</v>
      </c>
      <c r="D12411" s="13">
        <v>0</v>
      </c>
      <c r="E12411" s="12">
        <v>0</v>
      </c>
      <c r="F12411" s="14">
        <v>0</v>
      </c>
      <c r="G12411" s="13">
        <v>7598900</v>
      </c>
      <c r="H12411" s="14">
        <v>7887354244</v>
      </c>
      <c r="I12411" s="14" t="e">
        <f>=Round(146933.63800000,0)</f>
        <v>#VALUE!</v>
      </c>
      <c r="J12411" s="14" t="e">
        <f>=Round(66787.95050000,0)</f>
        <v>#VALUE!</v>
      </c>
    </row>
    <row r="12412">
      <c r="A12412" s="11" t="s">
        <v>34</v>
      </c>
      <c r="B12412" s="12">
        <v>1038.231</v>
      </c>
      <c r="C12412" s="12">
        <v>0</v>
      </c>
      <c r="D12412" s="13">
        <v>0</v>
      </c>
      <c r="E12412" s="12">
        <v>0</v>
      </c>
      <c r="F12412" s="14">
        <v>0</v>
      </c>
      <c r="G12412" s="13">
        <v>7598900</v>
      </c>
      <c r="H12412" s="14">
        <v>7889413545.9</v>
      </c>
      <c r="I12412" s="14" t="e">
        <f>=Round(146972.01080000,0)</f>
        <v>#VALUE!</v>
      </c>
      <c r="J12412" s="14" t="e">
        <f>=Round(66805.39260000,0)</f>
        <v>#VALUE!</v>
      </c>
    </row>
    <row r="12413">
      <c r="A12413" s="11" t="s">
        <v>35</v>
      </c>
      <c r="B12413" s="12">
        <v>1038.231</v>
      </c>
      <c r="C12413" s="12">
        <v>0</v>
      </c>
      <c r="D12413" s="13">
        <v>0</v>
      </c>
      <c r="E12413" s="12">
        <v>0</v>
      </c>
      <c r="F12413" s="14">
        <v>0</v>
      </c>
      <c r="G12413" s="13">
        <v>7598900</v>
      </c>
      <c r="H12413" s="14">
        <v>7889413545.9</v>
      </c>
      <c r="I12413" s="14" t="e">
        <f>=Round(147010.38360000,0)</f>
        <v>#VALUE!</v>
      </c>
      <c r="J12413" s="14" t="e">
        <f>=Round(66822.83480000,0)</f>
        <v>#VALUE!</v>
      </c>
    </row>
    <row r="12414">
      <c r="A12414" s="11" t="s">
        <v>36</v>
      </c>
      <c r="B12414" s="12">
        <v>1038.231</v>
      </c>
      <c r="C12414" s="12">
        <v>0</v>
      </c>
      <c r="D12414" s="13">
        <v>0</v>
      </c>
      <c r="E12414" s="12">
        <v>0</v>
      </c>
      <c r="F12414" s="14">
        <v>0</v>
      </c>
      <c r="G12414" s="13">
        <v>7598900</v>
      </c>
      <c r="H12414" s="14">
        <v>7889413545.9</v>
      </c>
      <c r="I12414" s="14" t="e">
        <f>=Round(147010.38360000,0)</f>
        <v>#VALUE!</v>
      </c>
      <c r="J12414" s="14" t="e">
        <f>=Round(66822.83480000,0)</f>
        <v>#VALUE!</v>
      </c>
    </row>
    <row r="12415">
      <c r="A12415" s="11" t="s">
        <v>37</v>
      </c>
      <c r="B12415" s="12">
        <v>1039.04</v>
      </c>
      <c r="C12415" s="12">
        <v>0</v>
      </c>
      <c r="D12415" s="13">
        <v>0</v>
      </c>
      <c r="E12415" s="12">
        <v>0</v>
      </c>
      <c r="F12415" s="14">
        <v>0</v>
      </c>
      <c r="G12415" s="13">
        <v>7598900</v>
      </c>
      <c r="H12415" s="14">
        <v>7895561056</v>
      </c>
      <c r="I12415" s="14" t="e">
        <f>=Round(147010.38360000,0)</f>
        <v>#VALUE!</v>
      </c>
      <c r="J12415" s="14" t="e">
        <f>=Round(66822.83480000,0)</f>
        <v>#VALUE!</v>
      </c>
    </row>
    <row r="12416">
      <c r="A12416" s="11" t="s">
        <v>38</v>
      </c>
      <c r="B12416" s="12">
        <v>1039.311</v>
      </c>
      <c r="C12416" s="12">
        <v>0</v>
      </c>
      <c r="D12416" s="13">
        <v>0</v>
      </c>
      <c r="E12416" s="12">
        <v>0</v>
      </c>
      <c r="F12416" s="14">
        <v>0</v>
      </c>
      <c r="G12416" s="13">
        <v>7598900</v>
      </c>
      <c r="H12416" s="14">
        <v>7897620357.9</v>
      </c>
      <c r="I12416" s="14" t="e">
        <f>=Round(147124.93550000,0)</f>
        <v>#VALUE!</v>
      </c>
      <c r="J12416" s="14" t="e">
        <f>=Round(66874.90380000,0)</f>
        <v>#VALUE!</v>
      </c>
    </row>
    <row r="12417">
      <c r="A12417" s="11" t="s">
        <v>39</v>
      </c>
      <c r="B12417" s="12">
        <v>1038.583</v>
      </c>
      <c r="C12417" s="12">
        <v>0</v>
      </c>
      <c r="D12417" s="13">
        <v>0</v>
      </c>
      <c r="E12417" s="12">
        <v>0</v>
      </c>
      <c r="F12417" s="14">
        <v>0</v>
      </c>
      <c r="G12417" s="13">
        <v>7598900</v>
      </c>
      <c r="H12417" s="14">
        <v>7892088358.7</v>
      </c>
      <c r="I12417" s="14" t="e">
        <f>=Round(147163.30830000,0)</f>
        <v>#VALUE!</v>
      </c>
      <c r="J12417" s="14" t="e">
        <f>=Round(66892.34600000,0)</f>
        <v>#VALUE!</v>
      </c>
    </row>
    <row r="12418">
      <c r="A12418" s="11" t="s">
        <v>40</v>
      </c>
      <c r="B12418" s="12">
        <v>1037.856</v>
      </c>
      <c r="C12418" s="12">
        <v>0</v>
      </c>
      <c r="D12418" s="13">
        <v>0</v>
      </c>
      <c r="E12418" s="12">
        <v>0</v>
      </c>
      <c r="F12418" s="14">
        <v>0</v>
      </c>
      <c r="G12418" s="13">
        <v>7598900</v>
      </c>
      <c r="H12418" s="14">
        <v>7886563958.4</v>
      </c>
      <c r="I12418" s="14" t="e">
        <f>=Round(147060.22570000,0)</f>
        <v>#VALUE!</v>
      </c>
      <c r="J12418" s="14" t="e">
        <f>=Round(66845.49030000,0)</f>
        <v>#VALUE!</v>
      </c>
    </row>
    <row r="12419">
      <c r="A12419" s="11" t="s">
        <v>41</v>
      </c>
      <c r="B12419" s="12">
        <v>1036.859</v>
      </c>
      <c r="C12419" s="12">
        <v>0</v>
      </c>
      <c r="D12419" s="13">
        <v>0</v>
      </c>
      <c r="E12419" s="12">
        <v>0</v>
      </c>
      <c r="F12419" s="14">
        <v>0</v>
      </c>
      <c r="G12419" s="13">
        <v>7598900</v>
      </c>
      <c r="H12419" s="14">
        <v>7878987855.1</v>
      </c>
      <c r="I12419" s="14" t="e">
        <f>=Round(146957.28470000,0)</f>
        <v>#VALUE!</v>
      </c>
      <c r="J12419" s="14" t="e">
        <f>=Round(66798.69900000,0)</f>
        <v>#VALUE!</v>
      </c>
    </row>
    <row r="12420">
      <c r="A12420" s="11" t="s">
        <v>42</v>
      </c>
      <c r="B12420" s="12">
        <v>1036.859</v>
      </c>
      <c r="C12420" s="12">
        <v>0</v>
      </c>
      <c r="D12420" s="13">
        <v>0</v>
      </c>
      <c r="E12420" s="12">
        <v>0</v>
      </c>
      <c r="F12420" s="14">
        <v>0</v>
      </c>
      <c r="G12420" s="13">
        <v>7598900</v>
      </c>
      <c r="H12420" s="14">
        <v>7878987855.1</v>
      </c>
      <c r="I12420" s="14" t="e">
        <f>=Round(146816.11250000,0)</f>
        <v>#VALUE!</v>
      </c>
      <c r="J12420" s="14" t="e">
        <f>=Round(66734.52990000,0)</f>
        <v>#VALUE!</v>
      </c>
    </row>
    <row r="12421">
      <c r="A12421" s="11" t="s">
        <v>43</v>
      </c>
      <c r="B12421" s="12">
        <v>1036.859</v>
      </c>
      <c r="C12421" s="12">
        <v>0</v>
      </c>
      <c r="D12421" s="13">
        <v>0</v>
      </c>
      <c r="E12421" s="12">
        <v>0</v>
      </c>
      <c r="F12421" s="14">
        <v>0</v>
      </c>
      <c r="G12421" s="13">
        <v>7598900</v>
      </c>
      <c r="H12421" s="14">
        <v>7878987855.1</v>
      </c>
      <c r="I12421" s="14" t="e">
        <f>=Round(146816.11250000,0)</f>
        <v>#VALUE!</v>
      </c>
      <c r="J12421" s="14" t="e">
        <f>=Round(66734.52990000,0)</f>
        <v>#VALUE!</v>
      </c>
    </row>
    <row r="12422">
      <c r="A12422" s="11" t="s">
        <v>44</v>
      </c>
      <c r="B12422" s="12">
        <v>1036.401</v>
      </c>
      <c r="C12422" s="12">
        <v>0</v>
      </c>
      <c r="D12422" s="13">
        <v>0</v>
      </c>
      <c r="E12422" s="12">
        <v>0</v>
      </c>
      <c r="F12422" s="14">
        <v>0</v>
      </c>
      <c r="G12422" s="13">
        <v>7598900</v>
      </c>
      <c r="H12422" s="14">
        <v>7875507558.9</v>
      </c>
      <c r="I12422" s="14" t="e">
        <f>=Round(146816.11250000,0)</f>
        <v>#VALUE!</v>
      </c>
      <c r="J12422" s="14" t="e">
        <f>=Round(66734.52990000,0)</f>
        <v>#VALUE!</v>
      </c>
    </row>
    <row r="12423">
      <c r="A12423" s="11" t="s">
        <v>45</v>
      </c>
      <c r="B12423" s="12">
        <v>1034.917</v>
      </c>
      <c r="C12423" s="12">
        <v>0</v>
      </c>
      <c r="D12423" s="13">
        <v>0</v>
      </c>
      <c r="E12423" s="12">
        <v>0</v>
      </c>
      <c r="F12423" s="14">
        <v>0</v>
      </c>
      <c r="G12423" s="13">
        <v>7598900</v>
      </c>
      <c r="H12423" s="14">
        <v>7864230791.3</v>
      </c>
      <c r="I12423" s="14" t="e">
        <f>=Round(146751.26110000,0)</f>
        <v>#VALUE!</v>
      </c>
      <c r="J12423" s="14" t="e">
        <f>=Round(66705.05200000,0)</f>
        <v>#VALUE!</v>
      </c>
    </row>
    <row r="12424">
      <c r="A12424" s="11" t="s">
        <v>46</v>
      </c>
      <c r="B12424" s="12">
        <v>1037.125</v>
      </c>
      <c r="C12424" s="12">
        <v>0</v>
      </c>
      <c r="D12424" s="13">
        <v>0</v>
      </c>
      <c r="E12424" s="12">
        <v>0</v>
      </c>
      <c r="F12424" s="14">
        <v>0</v>
      </c>
      <c r="G12424" s="13">
        <v>7598900</v>
      </c>
      <c r="H12424" s="14">
        <v>7881009162.5</v>
      </c>
      <c r="I12424" s="14" t="e">
        <f>=Round(146541.13110000,0)</f>
        <v>#VALUE!</v>
      </c>
      <c r="J12424" s="14" t="e">
        <f>=Round(66609.53850000,0)</f>
        <v>#VALUE!</v>
      </c>
    </row>
    <row r="12425">
      <c r="A12425" s="11" t="s">
        <v>47</v>
      </c>
      <c r="B12425" s="12">
        <v>1038.278</v>
      </c>
      <c r="C12425" s="12">
        <v>0</v>
      </c>
      <c r="D12425" s="13">
        <v>0</v>
      </c>
      <c r="E12425" s="12">
        <v>0</v>
      </c>
      <c r="F12425" s="14">
        <v>0</v>
      </c>
      <c r="G12425" s="13">
        <v>7598900</v>
      </c>
      <c r="H12425" s="14">
        <v>7889770694.2</v>
      </c>
      <c r="I12425" s="14" t="e">
        <f>=Round(146853.77730000,0)</f>
        <v>#VALUE!</v>
      </c>
      <c r="J12425" s="14" t="e">
        <f>=Round(66751.65020000,0)</f>
        <v>#VALUE!</v>
      </c>
    </row>
    <row r="12426">
      <c r="A12426" s="11" t="s">
        <v>48</v>
      </c>
      <c r="B12426" s="12">
        <v>1038.991</v>
      </c>
      <c r="C12426" s="12">
        <v>0</v>
      </c>
      <c r="D12426" s="13">
        <v>0</v>
      </c>
      <c r="E12426" s="12">
        <v>0</v>
      </c>
      <c r="F12426" s="14">
        <v>0</v>
      </c>
      <c r="G12426" s="13">
        <v>7598900</v>
      </c>
      <c r="H12426" s="14">
        <v>7895188709.9</v>
      </c>
      <c r="I12426" s="14" t="e">
        <f>=Round(147017.03860000,0)</f>
        <v>#VALUE!</v>
      </c>
      <c r="J12426" s="14" t="e">
        <f>=Round(66825.85980000,0)</f>
        <v>#VALUE!</v>
      </c>
    </row>
    <row r="12427">
      <c r="A12427" s="11" t="s">
        <v>49</v>
      </c>
      <c r="B12427" s="12">
        <v>1038.991</v>
      </c>
      <c r="C12427" s="12">
        <v>0</v>
      </c>
      <c r="D12427" s="13">
        <v>0</v>
      </c>
      <c r="E12427" s="12">
        <v>0</v>
      </c>
      <c r="F12427" s="14">
        <v>0</v>
      </c>
      <c r="G12427" s="13">
        <v>7598900</v>
      </c>
      <c r="H12427" s="14">
        <v>7895188709.9</v>
      </c>
      <c r="I12427" s="14" t="e">
        <f>=Round(147117.99730000,0)</f>
        <v>#VALUE!</v>
      </c>
      <c r="J12427" s="14" t="e">
        <f>=Round(66871.75010000,0)</f>
        <v>#VALUE!</v>
      </c>
    </row>
    <row r="12428">
      <c r="A12428" s="11" t="s">
        <v>50</v>
      </c>
      <c r="B12428" s="12">
        <v>1038.991</v>
      </c>
      <c r="C12428" s="12">
        <v>0</v>
      </c>
      <c r="D12428" s="13">
        <v>0</v>
      </c>
      <c r="E12428" s="12">
        <v>0</v>
      </c>
      <c r="F12428" s="14">
        <v>0</v>
      </c>
      <c r="G12428" s="13">
        <v>7598900</v>
      </c>
      <c r="H12428" s="14">
        <v>7895188709.9</v>
      </c>
      <c r="I12428" s="14" t="e">
        <f>=Round(147117.99730000,0)</f>
        <v>#VALUE!</v>
      </c>
      <c r="J12428" s="14" t="e">
        <f>=Round(66871.75010000,0)</f>
        <v>#VALUE!</v>
      </c>
    </row>
    <row r="12429">
      <c r="A12429" s="11" t="s">
        <v>51</v>
      </c>
      <c r="B12429" s="12">
        <v>1008.454</v>
      </c>
      <c r="C12429" s="12">
        <v>0</v>
      </c>
      <c r="D12429" s="13">
        <v>0</v>
      </c>
      <c r="E12429" s="12">
        <v>0</v>
      </c>
      <c r="F12429" s="14">
        <v>0</v>
      </c>
      <c r="G12429" s="13">
        <v>7598900</v>
      </c>
      <c r="H12429" s="14">
        <v>7663141100.6</v>
      </c>
      <c r="I12429" s="14" t="e">
        <f>=Round(147117.99730000,0)</f>
        <v>#VALUE!</v>
      </c>
      <c r="J12429" s="14" t="e">
        <f>=Round(66871.75010000,0)</f>
        <v>#VALUE!</v>
      </c>
    </row>
    <row r="12430">
      <c r="A12430" s="11" t="s">
        <v>52</v>
      </c>
      <c r="B12430" s="12">
        <v>1016.233</v>
      </c>
      <c r="C12430" s="12">
        <v>0</v>
      </c>
      <c r="D12430" s="13">
        <v>0</v>
      </c>
      <c r="E12430" s="12">
        <v>0</v>
      </c>
      <c r="F12430" s="14">
        <v>0</v>
      </c>
      <c r="G12430" s="13">
        <v>7598900</v>
      </c>
      <c r="H12430" s="14">
        <v>7722252943.7</v>
      </c>
      <c r="I12430" s="14" t="e">
        <f>=Round(142794.05000000,0)</f>
        <v>#VALUE!</v>
      </c>
      <c r="J12430" s="14" t="e">
        <f>=Round(64906.32150000,0)</f>
        <v>#VALUE!</v>
      </c>
    </row>
    <row r="12431">
      <c r="A12431" s="11" t="s">
        <v>53</v>
      </c>
      <c r="B12431" s="12">
        <v>1016.653</v>
      </c>
      <c r="C12431" s="12">
        <v>0</v>
      </c>
      <c r="D12431" s="13">
        <v>0</v>
      </c>
      <c r="E12431" s="12">
        <v>0</v>
      </c>
      <c r="F12431" s="14">
        <v>0</v>
      </c>
      <c r="G12431" s="13">
        <v>7598900</v>
      </c>
      <c r="H12431" s="14">
        <v>7725444481.7</v>
      </c>
      <c r="I12431" s="14" t="e">
        <f>=Round(143895.53300000,0)</f>
        <v>#VALUE!</v>
      </c>
      <c r="J12431" s="14" t="e">
        <f>=Round(65406.99500000,0)</f>
        <v>#VALUE!</v>
      </c>
    </row>
    <row r="12432">
      <c r="A12432" s="11" t="s">
        <v>54</v>
      </c>
      <c r="B12432" s="12">
        <v>1016.828</v>
      </c>
      <c r="C12432" s="12">
        <v>0</v>
      </c>
      <c r="D12432" s="13">
        <v>0</v>
      </c>
      <c r="E12432" s="12">
        <v>0</v>
      </c>
      <c r="F12432" s="14">
        <v>0</v>
      </c>
      <c r="G12432" s="13">
        <v>7598900</v>
      </c>
      <c r="H12432" s="14">
        <v>7726774289.2</v>
      </c>
      <c r="I12432" s="14" t="e">
        <f>=Round(143955.00370000,0)</f>
        <v>#VALUE!</v>
      </c>
      <c r="J12432" s="14" t="e">
        <f>=Round(65434.02720000,0)</f>
        <v>#VALUE!</v>
      </c>
    </row>
    <row r="12433">
      <c r="A12433" s="11" t="s">
        <v>55</v>
      </c>
      <c r="B12433" s="12">
        <v>1015.874</v>
      </c>
      <c r="C12433" s="12">
        <v>0</v>
      </c>
      <c r="D12433" s="13">
        <v>0</v>
      </c>
      <c r="E12433" s="12">
        <v>0</v>
      </c>
      <c r="F12433" s="14">
        <v>0</v>
      </c>
      <c r="G12433" s="13">
        <v>7598900</v>
      </c>
      <c r="H12433" s="14">
        <v>7719524938.6</v>
      </c>
      <c r="I12433" s="14" t="e">
        <f>=Round(143979.78320000,0)</f>
        <v>#VALUE!</v>
      </c>
      <c r="J12433" s="14" t="e">
        <f>=Round(65445.29060000,0)</f>
        <v>#VALUE!</v>
      </c>
    </row>
    <row r="12434" ht="-1">
      <c r="A12434" s="15"/>
      <c r="B12434" s="16" t="s">
        <v>56</v>
      </c>
      <c r="C12434" s="15"/>
      <c r="D12434" s="15"/>
      <c r="E12434" s="15"/>
      <c r="F12434" s="15"/>
      <c r="G12434" s="15"/>
      <c r="H12434" s="15"/>
      <c r="I12434" s="17" t="e">
        <f>=Round(SUM(I12408:I12433),0)</f>
        <v>#VALUE!</v>
      </c>
      <c r="J12434" s="17" t="e">
        <f>=Round(SUM(J12408:J12433),0)</f>
        <v>#VALUE!</v>
      </c>
    </row>
    <row r="12435">
      <c r="A12435" s="1" t="s">
        <v>0</v>
      </c>
      <c r="B12435" s="1"/>
      <c r="C12435" s="1"/>
      <c r="D12435" s="1"/>
    </row>
    <row r="12436">
      <c r="A12436" s="0" t="s">
        <v>1</v>
      </c>
      <c r="C12436" s="0" t="s">
        <v>419</v>
      </c>
      <c r="H12436" s="2" t="s">
        <v>3</v>
      </c>
    </row>
    <row r="12437">
      <c r="A12437" s="0" t="s">
        <v>4</v>
      </c>
      <c r="C12437" s="0" t="s">
        <v>423</v>
      </c>
      <c r="H12437" s="3" t="s">
        <v>6</v>
      </c>
    </row>
    <row r="12438">
      <c r="A12438" s="0" t="s">
        <v>7</v>
      </c>
      <c r="C12438" s="4" t="s">
        <v>420</v>
      </c>
      <c r="H12438" s="2" t="s">
        <v>9</v>
      </c>
    </row>
    <row r="12439">
      <c r="A12439" s="0" t="s">
        <v>10</v>
      </c>
      <c r="C12439" s="4" t="s">
        <v>11</v>
      </c>
      <c r="H12439" s="2" t="s">
        <v>12</v>
      </c>
    </row>
    <row r="12440">
      <c r="A12440" s="0" t="s">
        <v>13</v>
      </c>
      <c r="C12440" s="0" t="s">
        <v>14</v>
      </c>
    </row>
    <row r="12441">
      <c r="A12441" s="0" t="s">
        <v>15</v>
      </c>
      <c r="C12441" s="0" t="s">
        <v>16</v>
      </c>
    </row>
    <row r="12442">
      <c r="A12442" s="0" t="s">
        <v>17</v>
      </c>
      <c r="C12442" s="0" t="s">
        <v>18</v>
      </c>
    </row>
    <row r="12445">
      <c r="A12445" s="5" t="s">
        <v>19</v>
      </c>
      <c r="B12445" s="5" t="s">
        <v>20</v>
      </c>
      <c r="C12445" s="7" t="s">
        <v>21</v>
      </c>
      <c r="D12445" s="9"/>
      <c r="E12445" s="7" t="s">
        <v>22</v>
      </c>
      <c r="F12445" s="9"/>
      <c r="G12445" s="5" t="s">
        <v>23</v>
      </c>
      <c r="H12445" s="5" t="s">
        <v>24</v>
      </c>
      <c r="I12445" s="5" t="s">
        <v>421</v>
      </c>
      <c r="J12445" s="5" t="s">
        <v>26</v>
      </c>
    </row>
    <row r="12446">
      <c r="A12446" s="6"/>
      <c r="B12446" s="6"/>
      <c r="C12446" s="8" t="s">
        <v>27</v>
      </c>
      <c r="D12446" s="8" t="s">
        <v>28</v>
      </c>
      <c r="E12446" s="8" t="s">
        <v>27</v>
      </c>
      <c r="F12446" s="8" t="s">
        <v>28</v>
      </c>
      <c r="G12446" s="6"/>
      <c r="H12446" s="6"/>
      <c r="I12446" s="10" t="s">
        <v>29</v>
      </c>
      <c r="J12446" s="6"/>
    </row>
    <row r="12447">
      <c r="A12447" s="11" t="s">
        <v>30</v>
      </c>
      <c r="B12447" s="12">
        <v>1037.147</v>
      </c>
      <c r="C12447" s="12">
        <v>0</v>
      </c>
      <c r="D12447" s="13">
        <v>0</v>
      </c>
      <c r="E12447" s="12">
        <v>0</v>
      </c>
      <c r="F12447" s="14">
        <v>0</v>
      </c>
      <c r="G12447" s="13">
        <v>5000000</v>
      </c>
      <c r="H12447" s="14">
        <v>5185735000</v>
      </c>
      <c r="I12447" s="14" t="e">
        <f>=Round(96554.42950000,0)</f>
        <v>#VALUE!</v>
      </c>
      <c r="J12447" s="14" t="e">
        <f>=Round(0.00000000,0)</f>
        <v>#VALUE!</v>
      </c>
    </row>
    <row r="12448">
      <c r="A12448" s="11" t="s">
        <v>31</v>
      </c>
      <c r="B12448" s="12">
        <v>1037.418</v>
      </c>
      <c r="C12448" s="12">
        <v>0</v>
      </c>
      <c r="D12448" s="13">
        <v>0</v>
      </c>
      <c r="E12448" s="12">
        <v>0</v>
      </c>
      <c r="F12448" s="14">
        <v>0</v>
      </c>
      <c r="G12448" s="13">
        <v>5000000</v>
      </c>
      <c r="H12448" s="14">
        <v>5187090000</v>
      </c>
      <c r="I12448" s="14" t="e">
        <f>=Round(96630.36260000,0)</f>
        <v>#VALUE!</v>
      </c>
      <c r="J12448" s="14" t="e">
        <f>=Round(0.00000000,0)</f>
        <v>#VALUE!</v>
      </c>
    </row>
    <row r="12449">
      <c r="A12449" s="11" t="s">
        <v>32</v>
      </c>
      <c r="B12449" s="12">
        <v>1037.689</v>
      </c>
      <c r="C12449" s="12">
        <v>0</v>
      </c>
      <c r="D12449" s="13">
        <v>0</v>
      </c>
      <c r="E12449" s="12">
        <v>0</v>
      </c>
      <c r="F12449" s="14">
        <v>0</v>
      </c>
      <c r="G12449" s="13">
        <v>5000000</v>
      </c>
      <c r="H12449" s="14">
        <v>5188445000</v>
      </c>
      <c r="I12449" s="14" t="e">
        <f>=Round(96655.61150000,0)</f>
        <v>#VALUE!</v>
      </c>
      <c r="J12449" s="14" t="e">
        <f>=Round(0.00000000,0)</f>
        <v>#VALUE!</v>
      </c>
    </row>
    <row r="12450">
      <c r="A12450" s="11" t="s">
        <v>33</v>
      </c>
      <c r="B12450" s="12">
        <v>1037.96</v>
      </c>
      <c r="C12450" s="12">
        <v>0</v>
      </c>
      <c r="D12450" s="13">
        <v>0</v>
      </c>
      <c r="E12450" s="12">
        <v>0</v>
      </c>
      <c r="F12450" s="14">
        <v>0</v>
      </c>
      <c r="G12450" s="13">
        <v>5000000</v>
      </c>
      <c r="H12450" s="14">
        <v>5189800000</v>
      </c>
      <c r="I12450" s="14" t="e">
        <f>=Round(96680.86040000,0)</f>
        <v>#VALUE!</v>
      </c>
      <c r="J12450" s="14" t="e">
        <f>=Round(0.00000000,0)</f>
        <v>#VALUE!</v>
      </c>
    </row>
    <row r="12451">
      <c r="A12451" s="11" t="s">
        <v>34</v>
      </c>
      <c r="B12451" s="12">
        <v>1038.231</v>
      </c>
      <c r="C12451" s="12">
        <v>0</v>
      </c>
      <c r="D12451" s="13">
        <v>0</v>
      </c>
      <c r="E12451" s="12">
        <v>0</v>
      </c>
      <c r="F12451" s="14">
        <v>0</v>
      </c>
      <c r="G12451" s="13">
        <v>5000000</v>
      </c>
      <c r="H12451" s="14">
        <v>5191155000</v>
      </c>
      <c r="I12451" s="14" t="e">
        <f>=Round(96706.10930000,0)</f>
        <v>#VALUE!</v>
      </c>
      <c r="J12451" s="14" t="e">
        <f>=Round(0.00000000,0)</f>
        <v>#VALUE!</v>
      </c>
    </row>
    <row r="12452">
      <c r="A12452" s="11" t="s">
        <v>35</v>
      </c>
      <c r="B12452" s="12">
        <v>1038.231</v>
      </c>
      <c r="C12452" s="12">
        <v>0</v>
      </c>
      <c r="D12452" s="13">
        <v>0</v>
      </c>
      <c r="E12452" s="12">
        <v>0</v>
      </c>
      <c r="F12452" s="14">
        <v>0</v>
      </c>
      <c r="G12452" s="13">
        <v>5000000</v>
      </c>
      <c r="H12452" s="14">
        <v>5191155000</v>
      </c>
      <c r="I12452" s="14" t="e">
        <f>=Round(96731.35820000,0)</f>
        <v>#VALUE!</v>
      </c>
      <c r="J12452" s="14" t="e">
        <f>=Round(0.00000000,0)</f>
        <v>#VALUE!</v>
      </c>
    </row>
    <row r="12453">
      <c r="A12453" s="11" t="s">
        <v>36</v>
      </c>
      <c r="B12453" s="12">
        <v>1038.231</v>
      </c>
      <c r="C12453" s="12">
        <v>0</v>
      </c>
      <c r="D12453" s="13">
        <v>0</v>
      </c>
      <c r="E12453" s="12">
        <v>0</v>
      </c>
      <c r="F12453" s="14">
        <v>0</v>
      </c>
      <c r="G12453" s="13">
        <v>5000000</v>
      </c>
      <c r="H12453" s="14">
        <v>5191155000</v>
      </c>
      <c r="I12453" s="14" t="e">
        <f>=Round(96731.35820000,0)</f>
        <v>#VALUE!</v>
      </c>
      <c r="J12453" s="14" t="e">
        <f>=Round(0.00000000,0)</f>
        <v>#VALUE!</v>
      </c>
    </row>
    <row r="12454">
      <c r="A12454" s="11" t="s">
        <v>37</v>
      </c>
      <c r="B12454" s="12">
        <v>1039.04</v>
      </c>
      <c r="C12454" s="12">
        <v>0</v>
      </c>
      <c r="D12454" s="13">
        <v>0</v>
      </c>
      <c r="E12454" s="12">
        <v>0</v>
      </c>
      <c r="F12454" s="14">
        <v>0</v>
      </c>
      <c r="G12454" s="13">
        <v>5000000</v>
      </c>
      <c r="H12454" s="14">
        <v>5195200000</v>
      </c>
      <c r="I12454" s="14" t="e">
        <f>=Round(96731.35820000,0)</f>
        <v>#VALUE!</v>
      </c>
      <c r="J12454" s="14" t="e">
        <f>=Round(0.00000000,0)</f>
        <v>#VALUE!</v>
      </c>
    </row>
    <row r="12455">
      <c r="A12455" s="11" t="s">
        <v>38</v>
      </c>
      <c r="B12455" s="12">
        <v>1039.311</v>
      </c>
      <c r="C12455" s="12">
        <v>0</v>
      </c>
      <c r="D12455" s="13">
        <v>0</v>
      </c>
      <c r="E12455" s="12">
        <v>0</v>
      </c>
      <c r="F12455" s="14">
        <v>0</v>
      </c>
      <c r="G12455" s="13">
        <v>5000000</v>
      </c>
      <c r="H12455" s="14">
        <v>5196555000</v>
      </c>
      <c r="I12455" s="14" t="e">
        <f>=Round(96806.73220000,0)</f>
        <v>#VALUE!</v>
      </c>
      <c r="J12455" s="14" t="e">
        <f>=Round(0.00000000,0)</f>
        <v>#VALUE!</v>
      </c>
    </row>
    <row r="12456">
      <c r="A12456" s="11" t="s">
        <v>39</v>
      </c>
      <c r="B12456" s="12">
        <v>1038.583</v>
      </c>
      <c r="C12456" s="12">
        <v>0</v>
      </c>
      <c r="D12456" s="13">
        <v>0</v>
      </c>
      <c r="E12456" s="12">
        <v>0</v>
      </c>
      <c r="F12456" s="14">
        <v>0</v>
      </c>
      <c r="G12456" s="13">
        <v>5000000</v>
      </c>
      <c r="H12456" s="14">
        <v>5192915000</v>
      </c>
      <c r="I12456" s="14" t="e">
        <f>=Round(96831.98110000,0)</f>
        <v>#VALUE!</v>
      </c>
      <c r="J12456" s="14" t="e">
        <f>=Round(0.00000000,0)</f>
        <v>#VALUE!</v>
      </c>
    </row>
    <row r="12457">
      <c r="A12457" s="11" t="s">
        <v>40</v>
      </c>
      <c r="B12457" s="12">
        <v>1037.856</v>
      </c>
      <c r="C12457" s="12">
        <v>0</v>
      </c>
      <c r="D12457" s="13">
        <v>0</v>
      </c>
      <c r="E12457" s="12">
        <v>0</v>
      </c>
      <c r="F12457" s="14">
        <v>0</v>
      </c>
      <c r="G12457" s="13">
        <v>5000000</v>
      </c>
      <c r="H12457" s="14">
        <v>5189280000</v>
      </c>
      <c r="I12457" s="14" t="e">
        <f>=Round(96764.15380000,0)</f>
        <v>#VALUE!</v>
      </c>
      <c r="J12457" s="14" t="e">
        <f>=Round(0.00000000,0)</f>
        <v>#VALUE!</v>
      </c>
    </row>
    <row r="12458">
      <c r="A12458" s="11" t="s">
        <v>41</v>
      </c>
      <c r="B12458" s="12">
        <v>1036.859</v>
      </c>
      <c r="C12458" s="12">
        <v>0</v>
      </c>
      <c r="D12458" s="13">
        <v>0</v>
      </c>
      <c r="E12458" s="12">
        <v>0</v>
      </c>
      <c r="F12458" s="14">
        <v>0</v>
      </c>
      <c r="G12458" s="13">
        <v>5000000</v>
      </c>
      <c r="H12458" s="14">
        <v>5184295000</v>
      </c>
      <c r="I12458" s="14" t="e">
        <f>=Round(96696.41970000,0)</f>
        <v>#VALUE!</v>
      </c>
      <c r="J12458" s="14" t="e">
        <f>=Round(0.00000000,0)</f>
        <v>#VALUE!</v>
      </c>
    </row>
    <row r="12459">
      <c r="A12459" s="11" t="s">
        <v>42</v>
      </c>
      <c r="B12459" s="12">
        <v>1036.859</v>
      </c>
      <c r="C12459" s="12">
        <v>0</v>
      </c>
      <c r="D12459" s="13">
        <v>0</v>
      </c>
      <c r="E12459" s="12">
        <v>0</v>
      </c>
      <c r="F12459" s="14">
        <v>0</v>
      </c>
      <c r="G12459" s="13">
        <v>5000000</v>
      </c>
      <c r="H12459" s="14">
        <v>5184295000</v>
      </c>
      <c r="I12459" s="14" t="e">
        <f>=Round(96603.52980000,0)</f>
        <v>#VALUE!</v>
      </c>
      <c r="J12459" s="14" t="e">
        <f>=Round(0.00000000,0)</f>
        <v>#VALUE!</v>
      </c>
    </row>
    <row r="12460">
      <c r="A12460" s="11" t="s">
        <v>43</v>
      </c>
      <c r="B12460" s="12">
        <v>1036.859</v>
      </c>
      <c r="C12460" s="12">
        <v>0</v>
      </c>
      <c r="D12460" s="13">
        <v>0</v>
      </c>
      <c r="E12460" s="12">
        <v>0</v>
      </c>
      <c r="F12460" s="14">
        <v>0</v>
      </c>
      <c r="G12460" s="13">
        <v>5000000</v>
      </c>
      <c r="H12460" s="14">
        <v>5184295000</v>
      </c>
      <c r="I12460" s="14" t="e">
        <f>=Round(96603.52980000,0)</f>
        <v>#VALUE!</v>
      </c>
      <c r="J12460" s="14" t="e">
        <f>=Round(0.00000000,0)</f>
        <v>#VALUE!</v>
      </c>
    </row>
    <row r="12461">
      <c r="A12461" s="11" t="s">
        <v>44</v>
      </c>
      <c r="B12461" s="12">
        <v>1036.401</v>
      </c>
      <c r="C12461" s="12">
        <v>0</v>
      </c>
      <c r="D12461" s="13">
        <v>0</v>
      </c>
      <c r="E12461" s="12">
        <v>0</v>
      </c>
      <c r="F12461" s="14">
        <v>0</v>
      </c>
      <c r="G12461" s="13">
        <v>5000000</v>
      </c>
      <c r="H12461" s="14">
        <v>5182005000</v>
      </c>
      <c r="I12461" s="14" t="e">
        <f>=Round(96603.52980000,0)</f>
        <v>#VALUE!</v>
      </c>
      <c r="J12461" s="14" t="e">
        <f>=Round(0.00000000,0)</f>
        <v>#VALUE!</v>
      </c>
    </row>
    <row r="12462">
      <c r="A12462" s="11" t="s">
        <v>45</v>
      </c>
      <c r="B12462" s="12">
        <v>1034.917</v>
      </c>
      <c r="C12462" s="12">
        <v>0</v>
      </c>
      <c r="D12462" s="13">
        <v>0</v>
      </c>
      <c r="E12462" s="12">
        <v>0</v>
      </c>
      <c r="F12462" s="14">
        <v>0</v>
      </c>
      <c r="G12462" s="13">
        <v>5000000</v>
      </c>
      <c r="H12462" s="14">
        <v>5174585000</v>
      </c>
      <c r="I12462" s="14" t="e">
        <f>=Round(96560.85820000,0)</f>
        <v>#VALUE!</v>
      </c>
      <c r="J12462" s="14" t="e">
        <f>=Round(0.00000000,0)</f>
        <v>#VALUE!</v>
      </c>
    </row>
    <row r="12463">
      <c r="A12463" s="11" t="s">
        <v>46</v>
      </c>
      <c r="B12463" s="12">
        <v>1037.125</v>
      </c>
      <c r="C12463" s="12">
        <v>0</v>
      </c>
      <c r="D12463" s="13">
        <v>0</v>
      </c>
      <c r="E12463" s="12">
        <v>0</v>
      </c>
      <c r="F12463" s="14">
        <v>0</v>
      </c>
      <c r="G12463" s="13">
        <v>5000000</v>
      </c>
      <c r="H12463" s="14">
        <v>5185625000</v>
      </c>
      <c r="I12463" s="14" t="e">
        <f>=Round(96422.59480000,0)</f>
        <v>#VALUE!</v>
      </c>
      <c r="J12463" s="14" t="e">
        <f>=Round(0.00000000,0)</f>
        <v>#VALUE!</v>
      </c>
    </row>
    <row r="12464">
      <c r="A12464" s="11" t="s">
        <v>47</v>
      </c>
      <c r="B12464" s="12">
        <v>1038.278</v>
      </c>
      <c r="C12464" s="12">
        <v>0</v>
      </c>
      <c r="D12464" s="13">
        <v>0</v>
      </c>
      <c r="E12464" s="12">
        <v>0</v>
      </c>
      <c r="F12464" s="14">
        <v>0</v>
      </c>
      <c r="G12464" s="13">
        <v>5000000</v>
      </c>
      <c r="H12464" s="14">
        <v>5191390000</v>
      </c>
      <c r="I12464" s="14" t="e">
        <f>=Round(96628.31280000,0)</f>
        <v>#VALUE!</v>
      </c>
      <c r="J12464" s="14" t="e">
        <f>=Round(0.00000000,0)</f>
        <v>#VALUE!</v>
      </c>
    </row>
    <row r="12465">
      <c r="A12465" s="11" t="s">
        <v>48</v>
      </c>
      <c r="B12465" s="12">
        <v>1038.991</v>
      </c>
      <c r="C12465" s="12">
        <v>0</v>
      </c>
      <c r="D12465" s="13">
        <v>0</v>
      </c>
      <c r="E12465" s="12">
        <v>0</v>
      </c>
      <c r="F12465" s="14">
        <v>0</v>
      </c>
      <c r="G12465" s="13">
        <v>5000000</v>
      </c>
      <c r="H12465" s="14">
        <v>5194955000</v>
      </c>
      <c r="I12465" s="14" t="e">
        <f>=Round(96735.73720000,0)</f>
        <v>#VALUE!</v>
      </c>
      <c r="J12465" s="14" t="e">
        <f>=Round(0.00000000,0)</f>
        <v>#VALUE!</v>
      </c>
    </row>
    <row r="12466">
      <c r="A12466" s="11" t="s">
        <v>49</v>
      </c>
      <c r="B12466" s="12">
        <v>1038.991</v>
      </c>
      <c r="C12466" s="12">
        <v>0</v>
      </c>
      <c r="D12466" s="13">
        <v>0</v>
      </c>
      <c r="E12466" s="12">
        <v>0</v>
      </c>
      <c r="F12466" s="14">
        <v>0</v>
      </c>
      <c r="G12466" s="13">
        <v>5000000</v>
      </c>
      <c r="H12466" s="14">
        <v>5194955000</v>
      </c>
      <c r="I12466" s="14" t="e">
        <f>=Round(96802.16690000,0)</f>
        <v>#VALUE!</v>
      </c>
      <c r="J12466" s="14" t="e">
        <f>=Round(0.00000000,0)</f>
        <v>#VALUE!</v>
      </c>
    </row>
    <row r="12467">
      <c r="A12467" s="11" t="s">
        <v>50</v>
      </c>
      <c r="B12467" s="12">
        <v>1038.991</v>
      </c>
      <c r="C12467" s="12">
        <v>0</v>
      </c>
      <c r="D12467" s="13">
        <v>0</v>
      </c>
      <c r="E12467" s="12">
        <v>0</v>
      </c>
      <c r="F12467" s="14">
        <v>0</v>
      </c>
      <c r="G12467" s="13">
        <v>5000000</v>
      </c>
      <c r="H12467" s="14">
        <v>5194955000</v>
      </c>
      <c r="I12467" s="14" t="e">
        <f>=Round(96802.16690000,0)</f>
        <v>#VALUE!</v>
      </c>
      <c r="J12467" s="14" t="e">
        <f>=Round(0.00000000,0)</f>
        <v>#VALUE!</v>
      </c>
    </row>
    <row r="12468">
      <c r="A12468" s="11" t="s">
        <v>51</v>
      </c>
      <c r="B12468" s="12">
        <v>1008.454</v>
      </c>
      <c r="C12468" s="12">
        <v>0</v>
      </c>
      <c r="D12468" s="13">
        <v>0</v>
      </c>
      <c r="E12468" s="12">
        <v>0</v>
      </c>
      <c r="F12468" s="14">
        <v>0</v>
      </c>
      <c r="G12468" s="13">
        <v>5000000</v>
      </c>
      <c r="H12468" s="14">
        <v>5042270000</v>
      </c>
      <c r="I12468" s="14" t="e">
        <f>=Round(96802.16690000,0)</f>
        <v>#VALUE!</v>
      </c>
      <c r="J12468" s="14" t="e">
        <f>=Round(0.00000000,0)</f>
        <v>#VALUE!</v>
      </c>
    </row>
    <row r="12469">
      <c r="A12469" s="11" t="s">
        <v>52</v>
      </c>
      <c r="B12469" s="12">
        <v>1016.233</v>
      </c>
      <c r="C12469" s="12">
        <v>0</v>
      </c>
      <c r="D12469" s="13">
        <v>0</v>
      </c>
      <c r="E12469" s="12">
        <v>0</v>
      </c>
      <c r="F12469" s="14">
        <v>0</v>
      </c>
      <c r="G12469" s="13">
        <v>5000000</v>
      </c>
      <c r="H12469" s="14">
        <v>5081165000</v>
      </c>
      <c r="I12469" s="14" t="e">
        <f>=Round(93957.05300000,0)</f>
        <v>#VALUE!</v>
      </c>
      <c r="J12469" s="14" t="e">
        <f>=Round(0.00000000,0)</f>
        <v>#VALUE!</v>
      </c>
    </row>
    <row r="12470">
      <c r="A12470" s="11" t="s">
        <v>53</v>
      </c>
      <c r="B12470" s="12">
        <v>1016.653</v>
      </c>
      <c r="C12470" s="12">
        <v>0</v>
      </c>
      <c r="D12470" s="13">
        <v>0</v>
      </c>
      <c r="E12470" s="12">
        <v>0</v>
      </c>
      <c r="F12470" s="14">
        <v>0</v>
      </c>
      <c r="G12470" s="13">
        <v>5000000</v>
      </c>
      <c r="H12470" s="14">
        <v>5083265000</v>
      </c>
      <c r="I12470" s="14" t="e">
        <f>=Round(94681.81780000,0)</f>
        <v>#VALUE!</v>
      </c>
      <c r="J12470" s="14" t="e">
        <f>=Round(0.00000000,0)</f>
        <v>#VALUE!</v>
      </c>
    </row>
    <row r="12471">
      <c r="A12471" s="11" t="s">
        <v>54</v>
      </c>
      <c r="B12471" s="12">
        <v>1016.828</v>
      </c>
      <c r="C12471" s="12">
        <v>0</v>
      </c>
      <c r="D12471" s="13">
        <v>0</v>
      </c>
      <c r="E12471" s="12">
        <v>0</v>
      </c>
      <c r="F12471" s="14">
        <v>0</v>
      </c>
      <c r="G12471" s="13">
        <v>5000000</v>
      </c>
      <c r="H12471" s="14">
        <v>5084140000</v>
      </c>
      <c r="I12471" s="14" t="e">
        <f>=Round(94720.94890000,0)</f>
        <v>#VALUE!</v>
      </c>
      <c r="J12471" s="14" t="e">
        <f>=Round(0.00000000,0)</f>
        <v>#VALUE!</v>
      </c>
    </row>
    <row r="12472">
      <c r="A12472" s="11" t="s">
        <v>55</v>
      </c>
      <c r="B12472" s="12">
        <v>1015.874</v>
      </c>
      <c r="C12472" s="12">
        <v>0</v>
      </c>
      <c r="D12472" s="13">
        <v>0</v>
      </c>
      <c r="E12472" s="12">
        <v>0</v>
      </c>
      <c r="F12472" s="14">
        <v>0</v>
      </c>
      <c r="G12472" s="13">
        <v>5000000</v>
      </c>
      <c r="H12472" s="14">
        <v>5079370000</v>
      </c>
      <c r="I12472" s="14" t="e">
        <f>=Round(94737.25360000,0)</f>
        <v>#VALUE!</v>
      </c>
      <c r="J12472" s="14" t="e">
        <f>=Round(0.00000000,0)</f>
        <v>#VALUE!</v>
      </c>
    </row>
    <row r="12473" ht="-1">
      <c r="A12473" s="15"/>
      <c r="B12473" s="16" t="s">
        <v>56</v>
      </c>
      <c r="C12473" s="15"/>
      <c r="D12473" s="15"/>
      <c r="E12473" s="15"/>
      <c r="F12473" s="15"/>
      <c r="G12473" s="15"/>
      <c r="H12473" s="15"/>
      <c r="I12473" s="17" t="e">
        <f>=Round(SUM(I12447:I12472),0)</f>
        <v>#VALUE!</v>
      </c>
      <c r="J12473" s="17" t="e">
        <f>=Round(SUM(J12447:J12472),0)</f>
        <v>#VALUE!</v>
      </c>
    </row>
    <row r="12474">
      <c r="A12474" s="1" t="s">
        <v>0</v>
      </c>
      <c r="B12474" s="1"/>
      <c r="C12474" s="1"/>
      <c r="D12474" s="1"/>
    </row>
    <row r="12475">
      <c r="A12475" s="0" t="s">
        <v>1</v>
      </c>
      <c r="C12475" s="0" t="s">
        <v>419</v>
      </c>
      <c r="H12475" s="2" t="s">
        <v>3</v>
      </c>
    </row>
    <row r="12476">
      <c r="A12476" s="0" t="s">
        <v>4</v>
      </c>
      <c r="C12476" s="0" t="s">
        <v>424</v>
      </c>
      <c r="H12476" s="3" t="s">
        <v>6</v>
      </c>
    </row>
    <row r="12477">
      <c r="A12477" s="0" t="s">
        <v>7</v>
      </c>
      <c r="C12477" s="4" t="s">
        <v>420</v>
      </c>
      <c r="H12477" s="2" t="s">
        <v>9</v>
      </c>
    </row>
    <row r="12478">
      <c r="A12478" s="0" t="s">
        <v>10</v>
      </c>
      <c r="C12478" s="4" t="s">
        <v>11</v>
      </c>
      <c r="H12478" s="2" t="s">
        <v>12</v>
      </c>
    </row>
    <row r="12479">
      <c r="A12479" s="0" t="s">
        <v>13</v>
      </c>
      <c r="C12479" s="0" t="s">
        <v>14</v>
      </c>
    </row>
    <row r="12480">
      <c r="A12480" s="0" t="s">
        <v>15</v>
      </c>
      <c r="C12480" s="0" t="s">
        <v>16</v>
      </c>
    </row>
    <row r="12481">
      <c r="A12481" s="0" t="s">
        <v>17</v>
      </c>
      <c r="C12481" s="0" t="s">
        <v>18</v>
      </c>
    </row>
    <row r="12484">
      <c r="A12484" s="5" t="s">
        <v>19</v>
      </c>
      <c r="B12484" s="5" t="s">
        <v>20</v>
      </c>
      <c r="C12484" s="7" t="s">
        <v>21</v>
      </c>
      <c r="D12484" s="9"/>
      <c r="E12484" s="7" t="s">
        <v>22</v>
      </c>
      <c r="F12484" s="9"/>
      <c r="G12484" s="5" t="s">
        <v>23</v>
      </c>
      <c r="H12484" s="5" t="s">
        <v>24</v>
      </c>
      <c r="I12484" s="5" t="s">
        <v>421</v>
      </c>
      <c r="J12484" s="5" t="s">
        <v>26</v>
      </c>
    </row>
    <row r="12485">
      <c r="A12485" s="6"/>
      <c r="B12485" s="6"/>
      <c r="C12485" s="8" t="s">
        <v>27</v>
      </c>
      <c r="D12485" s="8" t="s">
        <v>28</v>
      </c>
      <c r="E12485" s="8" t="s">
        <v>27</v>
      </c>
      <c r="F12485" s="8" t="s">
        <v>28</v>
      </c>
      <c r="G12485" s="6"/>
      <c r="H12485" s="6"/>
      <c r="I12485" s="10" t="s">
        <v>29</v>
      </c>
      <c r="J12485" s="6"/>
    </row>
    <row r="12486">
      <c r="A12486" s="11" t="s">
        <v>30</v>
      </c>
      <c r="B12486" s="12">
        <v>1037.147</v>
      </c>
      <c r="C12486" s="12">
        <v>0</v>
      </c>
      <c r="D12486" s="13">
        <v>0</v>
      </c>
      <c r="E12486" s="12">
        <v>0</v>
      </c>
      <c r="F12486" s="14">
        <v>0</v>
      </c>
      <c r="G12486" s="13">
        <v>5000000</v>
      </c>
      <c r="H12486" s="14">
        <v>5185735000</v>
      </c>
      <c r="I12486" s="14" t="e">
        <f>=Round(96554.42950000,0)</f>
        <v>#VALUE!</v>
      </c>
      <c r="J12486" s="14" t="e">
        <f>=Round(0.00000000,0)</f>
        <v>#VALUE!</v>
      </c>
    </row>
    <row r="12487">
      <c r="A12487" s="11" t="s">
        <v>31</v>
      </c>
      <c r="B12487" s="12">
        <v>1037.418</v>
      </c>
      <c r="C12487" s="12">
        <v>0</v>
      </c>
      <c r="D12487" s="13">
        <v>0</v>
      </c>
      <c r="E12487" s="12">
        <v>0</v>
      </c>
      <c r="F12487" s="14">
        <v>0</v>
      </c>
      <c r="G12487" s="13">
        <v>5000000</v>
      </c>
      <c r="H12487" s="14">
        <v>5187090000</v>
      </c>
      <c r="I12487" s="14" t="e">
        <f>=Round(96630.36260000,0)</f>
        <v>#VALUE!</v>
      </c>
      <c r="J12487" s="14" t="e">
        <f>=Round(0.00000000,0)</f>
        <v>#VALUE!</v>
      </c>
    </row>
    <row r="12488">
      <c r="A12488" s="11" t="s">
        <v>32</v>
      </c>
      <c r="B12488" s="12">
        <v>1037.689</v>
      </c>
      <c r="C12488" s="12">
        <v>0</v>
      </c>
      <c r="D12488" s="13">
        <v>0</v>
      </c>
      <c r="E12488" s="12">
        <v>0</v>
      </c>
      <c r="F12488" s="14">
        <v>0</v>
      </c>
      <c r="G12488" s="13">
        <v>5000000</v>
      </c>
      <c r="H12488" s="14">
        <v>5188445000</v>
      </c>
      <c r="I12488" s="14" t="e">
        <f>=Round(96655.61150000,0)</f>
        <v>#VALUE!</v>
      </c>
      <c r="J12488" s="14" t="e">
        <f>=Round(0.00000000,0)</f>
        <v>#VALUE!</v>
      </c>
    </row>
    <row r="12489">
      <c r="A12489" s="11" t="s">
        <v>33</v>
      </c>
      <c r="B12489" s="12">
        <v>1037.96</v>
      </c>
      <c r="C12489" s="12">
        <v>0</v>
      </c>
      <c r="D12489" s="13">
        <v>0</v>
      </c>
      <c r="E12489" s="12">
        <v>0</v>
      </c>
      <c r="F12489" s="14">
        <v>0</v>
      </c>
      <c r="G12489" s="13">
        <v>5000000</v>
      </c>
      <c r="H12489" s="14">
        <v>5189800000</v>
      </c>
      <c r="I12489" s="14" t="e">
        <f>=Round(96680.86040000,0)</f>
        <v>#VALUE!</v>
      </c>
      <c r="J12489" s="14" t="e">
        <f>=Round(0.00000000,0)</f>
        <v>#VALUE!</v>
      </c>
    </row>
    <row r="12490">
      <c r="A12490" s="11" t="s">
        <v>34</v>
      </c>
      <c r="B12490" s="12">
        <v>1038.231</v>
      </c>
      <c r="C12490" s="12">
        <v>0</v>
      </c>
      <c r="D12490" s="13">
        <v>0</v>
      </c>
      <c r="E12490" s="12">
        <v>0</v>
      </c>
      <c r="F12490" s="14">
        <v>0</v>
      </c>
      <c r="G12490" s="13">
        <v>5000000</v>
      </c>
      <c r="H12490" s="14">
        <v>5191155000</v>
      </c>
      <c r="I12490" s="14" t="e">
        <f>=Round(96706.10930000,0)</f>
        <v>#VALUE!</v>
      </c>
      <c r="J12490" s="14" t="e">
        <f>=Round(0.00000000,0)</f>
        <v>#VALUE!</v>
      </c>
    </row>
    <row r="12491">
      <c r="A12491" s="11" t="s">
        <v>35</v>
      </c>
      <c r="B12491" s="12">
        <v>1038.231</v>
      </c>
      <c r="C12491" s="12">
        <v>0</v>
      </c>
      <c r="D12491" s="13">
        <v>0</v>
      </c>
      <c r="E12491" s="12">
        <v>0</v>
      </c>
      <c r="F12491" s="14">
        <v>0</v>
      </c>
      <c r="G12491" s="13">
        <v>5000000</v>
      </c>
      <c r="H12491" s="14">
        <v>5191155000</v>
      </c>
      <c r="I12491" s="14" t="e">
        <f>=Round(96731.35820000,0)</f>
        <v>#VALUE!</v>
      </c>
      <c r="J12491" s="14" t="e">
        <f>=Round(0.00000000,0)</f>
        <v>#VALUE!</v>
      </c>
    </row>
    <row r="12492">
      <c r="A12492" s="11" t="s">
        <v>36</v>
      </c>
      <c r="B12492" s="12">
        <v>1038.231</v>
      </c>
      <c r="C12492" s="12">
        <v>0</v>
      </c>
      <c r="D12492" s="13">
        <v>0</v>
      </c>
      <c r="E12492" s="12">
        <v>0</v>
      </c>
      <c r="F12492" s="14">
        <v>0</v>
      </c>
      <c r="G12492" s="13">
        <v>5000000</v>
      </c>
      <c r="H12492" s="14">
        <v>5191155000</v>
      </c>
      <c r="I12492" s="14" t="e">
        <f>=Round(96731.35820000,0)</f>
        <v>#VALUE!</v>
      </c>
      <c r="J12492" s="14" t="e">
        <f>=Round(0.00000000,0)</f>
        <v>#VALUE!</v>
      </c>
    </row>
    <row r="12493">
      <c r="A12493" s="11" t="s">
        <v>37</v>
      </c>
      <c r="B12493" s="12">
        <v>1039.04</v>
      </c>
      <c r="C12493" s="12">
        <v>0</v>
      </c>
      <c r="D12493" s="13">
        <v>0</v>
      </c>
      <c r="E12493" s="12">
        <v>0</v>
      </c>
      <c r="F12493" s="14">
        <v>0</v>
      </c>
      <c r="G12493" s="13">
        <v>5000000</v>
      </c>
      <c r="H12493" s="14">
        <v>5195200000</v>
      </c>
      <c r="I12493" s="14" t="e">
        <f>=Round(96731.35820000,0)</f>
        <v>#VALUE!</v>
      </c>
      <c r="J12493" s="14" t="e">
        <f>=Round(0.00000000,0)</f>
        <v>#VALUE!</v>
      </c>
    </row>
    <row r="12494">
      <c r="A12494" s="11" t="s">
        <v>38</v>
      </c>
      <c r="B12494" s="12">
        <v>1039.311</v>
      </c>
      <c r="C12494" s="12">
        <v>0</v>
      </c>
      <c r="D12494" s="13">
        <v>0</v>
      </c>
      <c r="E12494" s="12">
        <v>0</v>
      </c>
      <c r="F12494" s="14">
        <v>0</v>
      </c>
      <c r="G12494" s="13">
        <v>5000000</v>
      </c>
      <c r="H12494" s="14">
        <v>5196555000</v>
      </c>
      <c r="I12494" s="14" t="e">
        <f>=Round(96806.73220000,0)</f>
        <v>#VALUE!</v>
      </c>
      <c r="J12494" s="14" t="e">
        <f>=Round(0.00000000,0)</f>
        <v>#VALUE!</v>
      </c>
    </row>
    <row r="12495">
      <c r="A12495" s="11" t="s">
        <v>39</v>
      </c>
      <c r="B12495" s="12">
        <v>1038.583</v>
      </c>
      <c r="C12495" s="12">
        <v>0</v>
      </c>
      <c r="D12495" s="13">
        <v>0</v>
      </c>
      <c r="E12495" s="12">
        <v>0</v>
      </c>
      <c r="F12495" s="14">
        <v>0</v>
      </c>
      <c r="G12495" s="13">
        <v>5000000</v>
      </c>
      <c r="H12495" s="14">
        <v>5192915000</v>
      </c>
      <c r="I12495" s="14" t="e">
        <f>=Round(96831.98110000,0)</f>
        <v>#VALUE!</v>
      </c>
      <c r="J12495" s="14" t="e">
        <f>=Round(0.00000000,0)</f>
        <v>#VALUE!</v>
      </c>
    </row>
    <row r="12496">
      <c r="A12496" s="11" t="s">
        <v>40</v>
      </c>
      <c r="B12496" s="12">
        <v>1037.856</v>
      </c>
      <c r="C12496" s="12">
        <v>0</v>
      </c>
      <c r="D12496" s="13">
        <v>0</v>
      </c>
      <c r="E12496" s="12">
        <v>0</v>
      </c>
      <c r="F12496" s="14">
        <v>0</v>
      </c>
      <c r="G12496" s="13">
        <v>5000000</v>
      </c>
      <c r="H12496" s="14">
        <v>5189280000</v>
      </c>
      <c r="I12496" s="14" t="e">
        <f>=Round(96764.15380000,0)</f>
        <v>#VALUE!</v>
      </c>
      <c r="J12496" s="14" t="e">
        <f>=Round(0.00000000,0)</f>
        <v>#VALUE!</v>
      </c>
    </row>
    <row r="12497">
      <c r="A12497" s="11" t="s">
        <v>41</v>
      </c>
      <c r="B12497" s="12">
        <v>1036.859</v>
      </c>
      <c r="C12497" s="12">
        <v>0</v>
      </c>
      <c r="D12497" s="13">
        <v>0</v>
      </c>
      <c r="E12497" s="12">
        <v>0</v>
      </c>
      <c r="F12497" s="14">
        <v>0</v>
      </c>
      <c r="G12497" s="13">
        <v>5000000</v>
      </c>
      <c r="H12497" s="14">
        <v>5184295000</v>
      </c>
      <c r="I12497" s="14" t="e">
        <f>=Round(96696.41970000,0)</f>
        <v>#VALUE!</v>
      </c>
      <c r="J12497" s="14" t="e">
        <f>=Round(0.00000000,0)</f>
        <v>#VALUE!</v>
      </c>
    </row>
    <row r="12498">
      <c r="A12498" s="11" t="s">
        <v>42</v>
      </c>
      <c r="B12498" s="12">
        <v>1036.859</v>
      </c>
      <c r="C12498" s="12">
        <v>0</v>
      </c>
      <c r="D12498" s="13">
        <v>0</v>
      </c>
      <c r="E12498" s="12">
        <v>0</v>
      </c>
      <c r="F12498" s="14">
        <v>0</v>
      </c>
      <c r="G12498" s="13">
        <v>5000000</v>
      </c>
      <c r="H12498" s="14">
        <v>5184295000</v>
      </c>
      <c r="I12498" s="14" t="e">
        <f>=Round(96603.52980000,0)</f>
        <v>#VALUE!</v>
      </c>
      <c r="J12498" s="14" t="e">
        <f>=Round(0.00000000,0)</f>
        <v>#VALUE!</v>
      </c>
    </row>
    <row r="12499">
      <c r="A12499" s="11" t="s">
        <v>43</v>
      </c>
      <c r="B12499" s="12">
        <v>1036.859</v>
      </c>
      <c r="C12499" s="12">
        <v>0</v>
      </c>
      <c r="D12499" s="13">
        <v>0</v>
      </c>
      <c r="E12499" s="12">
        <v>0</v>
      </c>
      <c r="F12499" s="14">
        <v>0</v>
      </c>
      <c r="G12499" s="13">
        <v>5000000</v>
      </c>
      <c r="H12499" s="14">
        <v>5184295000</v>
      </c>
      <c r="I12499" s="14" t="e">
        <f>=Round(96603.52980000,0)</f>
        <v>#VALUE!</v>
      </c>
      <c r="J12499" s="14" t="e">
        <f>=Round(0.00000000,0)</f>
        <v>#VALUE!</v>
      </c>
    </row>
    <row r="12500">
      <c r="A12500" s="11" t="s">
        <v>44</v>
      </c>
      <c r="B12500" s="12">
        <v>1036.401</v>
      </c>
      <c r="C12500" s="12">
        <v>0</v>
      </c>
      <c r="D12500" s="13">
        <v>0</v>
      </c>
      <c r="E12500" s="12">
        <v>0</v>
      </c>
      <c r="F12500" s="14">
        <v>0</v>
      </c>
      <c r="G12500" s="13">
        <v>5000000</v>
      </c>
      <c r="H12500" s="14">
        <v>5182005000</v>
      </c>
      <c r="I12500" s="14" t="e">
        <f>=Round(96603.52980000,0)</f>
        <v>#VALUE!</v>
      </c>
      <c r="J12500" s="14" t="e">
        <f>=Round(0.00000000,0)</f>
        <v>#VALUE!</v>
      </c>
    </row>
    <row r="12501">
      <c r="A12501" s="11" t="s">
        <v>45</v>
      </c>
      <c r="B12501" s="12">
        <v>1034.917</v>
      </c>
      <c r="C12501" s="12">
        <v>0</v>
      </c>
      <c r="D12501" s="13">
        <v>0</v>
      </c>
      <c r="E12501" s="12">
        <v>0</v>
      </c>
      <c r="F12501" s="14">
        <v>0</v>
      </c>
      <c r="G12501" s="13">
        <v>5000000</v>
      </c>
      <c r="H12501" s="14">
        <v>5174585000</v>
      </c>
      <c r="I12501" s="14" t="e">
        <f>=Round(96560.85820000,0)</f>
        <v>#VALUE!</v>
      </c>
      <c r="J12501" s="14" t="e">
        <f>=Round(0.00000000,0)</f>
        <v>#VALUE!</v>
      </c>
    </row>
    <row r="12502">
      <c r="A12502" s="11" t="s">
        <v>46</v>
      </c>
      <c r="B12502" s="12">
        <v>1037.125</v>
      </c>
      <c r="C12502" s="12">
        <v>0</v>
      </c>
      <c r="D12502" s="13">
        <v>0</v>
      </c>
      <c r="E12502" s="12">
        <v>0</v>
      </c>
      <c r="F12502" s="14">
        <v>0</v>
      </c>
      <c r="G12502" s="13">
        <v>5000000</v>
      </c>
      <c r="H12502" s="14">
        <v>5185625000</v>
      </c>
      <c r="I12502" s="14" t="e">
        <f>=Round(96422.59480000,0)</f>
        <v>#VALUE!</v>
      </c>
      <c r="J12502" s="14" t="e">
        <f>=Round(0.00000000,0)</f>
        <v>#VALUE!</v>
      </c>
    </row>
    <row r="12503">
      <c r="A12503" s="11" t="s">
        <v>47</v>
      </c>
      <c r="B12503" s="12">
        <v>1038.278</v>
      </c>
      <c r="C12503" s="12">
        <v>0</v>
      </c>
      <c r="D12503" s="13">
        <v>0</v>
      </c>
      <c r="E12503" s="12">
        <v>0</v>
      </c>
      <c r="F12503" s="14">
        <v>0</v>
      </c>
      <c r="G12503" s="13">
        <v>5000000</v>
      </c>
      <c r="H12503" s="14">
        <v>5191390000</v>
      </c>
      <c r="I12503" s="14" t="e">
        <f>=Round(96628.31280000,0)</f>
        <v>#VALUE!</v>
      </c>
      <c r="J12503" s="14" t="e">
        <f>=Round(0.00000000,0)</f>
        <v>#VALUE!</v>
      </c>
    </row>
    <row r="12504">
      <c r="A12504" s="11" t="s">
        <v>48</v>
      </c>
      <c r="B12504" s="12">
        <v>1038.991</v>
      </c>
      <c r="C12504" s="12">
        <v>0</v>
      </c>
      <c r="D12504" s="13">
        <v>0</v>
      </c>
      <c r="E12504" s="12">
        <v>0</v>
      </c>
      <c r="F12504" s="14">
        <v>0</v>
      </c>
      <c r="G12504" s="13">
        <v>5000000</v>
      </c>
      <c r="H12504" s="14">
        <v>5194955000</v>
      </c>
      <c r="I12504" s="14" t="e">
        <f>=Round(96735.73720000,0)</f>
        <v>#VALUE!</v>
      </c>
      <c r="J12504" s="14" t="e">
        <f>=Round(0.00000000,0)</f>
        <v>#VALUE!</v>
      </c>
    </row>
    <row r="12505">
      <c r="A12505" s="11" t="s">
        <v>49</v>
      </c>
      <c r="B12505" s="12">
        <v>1038.991</v>
      </c>
      <c r="C12505" s="12">
        <v>0</v>
      </c>
      <c r="D12505" s="13">
        <v>0</v>
      </c>
      <c r="E12505" s="12">
        <v>0</v>
      </c>
      <c r="F12505" s="14">
        <v>0</v>
      </c>
      <c r="G12505" s="13">
        <v>5000000</v>
      </c>
      <c r="H12505" s="14">
        <v>5194955000</v>
      </c>
      <c r="I12505" s="14" t="e">
        <f>=Round(96802.16690000,0)</f>
        <v>#VALUE!</v>
      </c>
      <c r="J12505" s="14" t="e">
        <f>=Round(0.00000000,0)</f>
        <v>#VALUE!</v>
      </c>
    </row>
    <row r="12506">
      <c r="A12506" s="11" t="s">
        <v>50</v>
      </c>
      <c r="B12506" s="12">
        <v>1038.991</v>
      </c>
      <c r="C12506" s="12">
        <v>0</v>
      </c>
      <c r="D12506" s="13">
        <v>0</v>
      </c>
      <c r="E12506" s="12">
        <v>0</v>
      </c>
      <c r="F12506" s="14">
        <v>0</v>
      </c>
      <c r="G12506" s="13">
        <v>5000000</v>
      </c>
      <c r="H12506" s="14">
        <v>5194955000</v>
      </c>
      <c r="I12506" s="14" t="e">
        <f>=Round(96802.16690000,0)</f>
        <v>#VALUE!</v>
      </c>
      <c r="J12506" s="14" t="e">
        <f>=Round(0.00000000,0)</f>
        <v>#VALUE!</v>
      </c>
    </row>
    <row r="12507">
      <c r="A12507" s="11" t="s">
        <v>51</v>
      </c>
      <c r="B12507" s="12">
        <v>1008.454</v>
      </c>
      <c r="C12507" s="12">
        <v>0</v>
      </c>
      <c r="D12507" s="13">
        <v>0</v>
      </c>
      <c r="E12507" s="12">
        <v>0</v>
      </c>
      <c r="F12507" s="14">
        <v>0</v>
      </c>
      <c r="G12507" s="13">
        <v>5000000</v>
      </c>
      <c r="H12507" s="14">
        <v>5042270000</v>
      </c>
      <c r="I12507" s="14" t="e">
        <f>=Round(96802.16690000,0)</f>
        <v>#VALUE!</v>
      </c>
      <c r="J12507" s="14" t="e">
        <f>=Round(0.00000000,0)</f>
        <v>#VALUE!</v>
      </c>
    </row>
    <row r="12508">
      <c r="A12508" s="11" t="s">
        <v>52</v>
      </c>
      <c r="B12508" s="12">
        <v>1016.233</v>
      </c>
      <c r="C12508" s="12">
        <v>0</v>
      </c>
      <c r="D12508" s="13">
        <v>0</v>
      </c>
      <c r="E12508" s="12">
        <v>0</v>
      </c>
      <c r="F12508" s="14">
        <v>0</v>
      </c>
      <c r="G12508" s="13">
        <v>5000000</v>
      </c>
      <c r="H12508" s="14">
        <v>5081165000</v>
      </c>
      <c r="I12508" s="14" t="e">
        <f>=Round(93957.05300000,0)</f>
        <v>#VALUE!</v>
      </c>
      <c r="J12508" s="14" t="e">
        <f>=Round(0.00000000,0)</f>
        <v>#VALUE!</v>
      </c>
    </row>
    <row r="12509">
      <c r="A12509" s="11" t="s">
        <v>53</v>
      </c>
      <c r="B12509" s="12">
        <v>1016.653</v>
      </c>
      <c r="C12509" s="12">
        <v>0</v>
      </c>
      <c r="D12509" s="13">
        <v>0</v>
      </c>
      <c r="E12509" s="12">
        <v>0</v>
      </c>
      <c r="F12509" s="14">
        <v>0</v>
      </c>
      <c r="G12509" s="13">
        <v>5000000</v>
      </c>
      <c r="H12509" s="14">
        <v>5083265000</v>
      </c>
      <c r="I12509" s="14" t="e">
        <f>=Round(94681.81780000,0)</f>
        <v>#VALUE!</v>
      </c>
      <c r="J12509" s="14" t="e">
        <f>=Round(0.00000000,0)</f>
        <v>#VALUE!</v>
      </c>
    </row>
    <row r="12510">
      <c r="A12510" s="11" t="s">
        <v>54</v>
      </c>
      <c r="B12510" s="12">
        <v>1016.828</v>
      </c>
      <c r="C12510" s="12">
        <v>0</v>
      </c>
      <c r="D12510" s="13">
        <v>0</v>
      </c>
      <c r="E12510" s="12">
        <v>0</v>
      </c>
      <c r="F12510" s="14">
        <v>0</v>
      </c>
      <c r="G12510" s="13">
        <v>5000000</v>
      </c>
      <c r="H12510" s="14">
        <v>5084140000</v>
      </c>
      <c r="I12510" s="14" t="e">
        <f>=Round(94720.94890000,0)</f>
        <v>#VALUE!</v>
      </c>
      <c r="J12510" s="14" t="e">
        <f>=Round(0.00000000,0)</f>
        <v>#VALUE!</v>
      </c>
    </row>
    <row r="12511">
      <c r="A12511" s="11" t="s">
        <v>55</v>
      </c>
      <c r="B12511" s="12">
        <v>1015.874</v>
      </c>
      <c r="C12511" s="12">
        <v>0</v>
      </c>
      <c r="D12511" s="13">
        <v>0</v>
      </c>
      <c r="E12511" s="12">
        <v>0</v>
      </c>
      <c r="F12511" s="14">
        <v>0</v>
      </c>
      <c r="G12511" s="13">
        <v>5000000</v>
      </c>
      <c r="H12511" s="14">
        <v>5079370000</v>
      </c>
      <c r="I12511" s="14" t="e">
        <f>=Round(94737.25360000,0)</f>
        <v>#VALUE!</v>
      </c>
      <c r="J12511" s="14" t="e">
        <f>=Round(0.00000000,0)</f>
        <v>#VALUE!</v>
      </c>
    </row>
    <row r="12512" ht="-1">
      <c r="A12512" s="15"/>
      <c r="B12512" s="16" t="s">
        <v>56</v>
      </c>
      <c r="C12512" s="15"/>
      <c r="D12512" s="15"/>
      <c r="E12512" s="15"/>
      <c r="F12512" s="15"/>
      <c r="G12512" s="15"/>
      <c r="H12512" s="15"/>
      <c r="I12512" s="17" t="e">
        <f>=Round(SUM(I12486:I12511),0)</f>
        <v>#VALUE!</v>
      </c>
      <c r="J12512" s="17" t="e">
        <f>=Round(SUM(J12486:J12511),0)</f>
        <v>#VALUE!</v>
      </c>
    </row>
    <row r="12513">
      <c r="A12513" s="1" t="s">
        <v>0</v>
      </c>
      <c r="B12513" s="1"/>
      <c r="C12513" s="1"/>
      <c r="D12513" s="1"/>
    </row>
    <row r="12514">
      <c r="A12514" s="0" t="s">
        <v>1</v>
      </c>
      <c r="C12514" s="0" t="s">
        <v>419</v>
      </c>
      <c r="H12514" s="2" t="s">
        <v>3</v>
      </c>
    </row>
    <row r="12515">
      <c r="A12515" s="0" t="s">
        <v>4</v>
      </c>
      <c r="C12515" s="0" t="s">
        <v>425</v>
      </c>
      <c r="H12515" s="3" t="s">
        <v>6</v>
      </c>
    </row>
    <row r="12516">
      <c r="A12516" s="0" t="s">
        <v>7</v>
      </c>
      <c r="C12516" s="4" t="s">
        <v>420</v>
      </c>
      <c r="H12516" s="2" t="s">
        <v>9</v>
      </c>
    </row>
    <row r="12517">
      <c r="A12517" s="0" t="s">
        <v>10</v>
      </c>
      <c r="C12517" s="4" t="s">
        <v>11</v>
      </c>
      <c r="H12517" s="2" t="s">
        <v>12</v>
      </c>
    </row>
    <row r="12518">
      <c r="A12518" s="0" t="s">
        <v>13</v>
      </c>
      <c r="C12518" s="0" t="s">
        <v>14</v>
      </c>
    </row>
    <row r="12519">
      <c r="A12519" s="0" t="s">
        <v>15</v>
      </c>
      <c r="C12519" s="0" t="s">
        <v>16</v>
      </c>
    </row>
    <row r="12520">
      <c r="A12520" s="0" t="s">
        <v>17</v>
      </c>
      <c r="C12520" s="0" t="s">
        <v>18</v>
      </c>
    </row>
    <row r="12523">
      <c r="A12523" s="5" t="s">
        <v>19</v>
      </c>
      <c r="B12523" s="5" t="s">
        <v>20</v>
      </c>
      <c r="C12523" s="7" t="s">
        <v>21</v>
      </c>
      <c r="D12523" s="9"/>
      <c r="E12523" s="7" t="s">
        <v>22</v>
      </c>
      <c r="F12523" s="9"/>
      <c r="G12523" s="5" t="s">
        <v>23</v>
      </c>
      <c r="H12523" s="5" t="s">
        <v>24</v>
      </c>
      <c r="I12523" s="5" t="s">
        <v>421</v>
      </c>
      <c r="J12523" s="5" t="s">
        <v>26</v>
      </c>
    </row>
    <row r="12524">
      <c r="A12524" s="6"/>
      <c r="B12524" s="6"/>
      <c r="C12524" s="8" t="s">
        <v>27</v>
      </c>
      <c r="D12524" s="8" t="s">
        <v>28</v>
      </c>
      <c r="E12524" s="8" t="s">
        <v>27</v>
      </c>
      <c r="F12524" s="8" t="s">
        <v>28</v>
      </c>
      <c r="G12524" s="6"/>
      <c r="H12524" s="6"/>
      <c r="I12524" s="10" t="s">
        <v>29</v>
      </c>
      <c r="J12524" s="6"/>
    </row>
    <row r="12525">
      <c r="A12525" s="11" t="s">
        <v>30</v>
      </c>
      <c r="B12525" s="12">
        <v>1037.147</v>
      </c>
      <c r="C12525" s="12">
        <v>0</v>
      </c>
      <c r="D12525" s="13">
        <v>0</v>
      </c>
      <c r="E12525" s="12">
        <v>0</v>
      </c>
      <c r="F12525" s="14">
        <v>0</v>
      </c>
      <c r="G12525" s="13">
        <v>229100000</v>
      </c>
      <c r="H12525" s="14">
        <v>237610377700</v>
      </c>
      <c r="I12525" s="14" t="e">
        <f>=Round(4424123.96010000,0)</f>
        <v>#VALUE!</v>
      </c>
      <c r="J12525" s="14" t="e">
        <f>=Round(0.00000000,0)</f>
        <v>#VALUE!</v>
      </c>
    </row>
    <row r="12526">
      <c r="A12526" s="11" t="s">
        <v>31</v>
      </c>
      <c r="B12526" s="12">
        <v>1037.418</v>
      </c>
      <c r="C12526" s="12">
        <v>0</v>
      </c>
      <c r="D12526" s="13">
        <v>0</v>
      </c>
      <c r="E12526" s="12">
        <v>0</v>
      </c>
      <c r="F12526" s="14">
        <v>0</v>
      </c>
      <c r="G12526" s="13">
        <v>229100000</v>
      </c>
      <c r="H12526" s="14">
        <v>237672463800</v>
      </c>
      <c r="I12526" s="14" t="e">
        <f>=Round(4427603.21290000,0)</f>
        <v>#VALUE!</v>
      </c>
      <c r="J12526" s="14" t="e">
        <f>=Round(0.00000000,0)</f>
        <v>#VALUE!</v>
      </c>
    </row>
    <row r="12527">
      <c r="A12527" s="11" t="s">
        <v>32</v>
      </c>
      <c r="B12527" s="12">
        <v>1037.689</v>
      </c>
      <c r="C12527" s="12">
        <v>0</v>
      </c>
      <c r="D12527" s="13">
        <v>0</v>
      </c>
      <c r="E12527" s="12">
        <v>0</v>
      </c>
      <c r="F12527" s="14">
        <v>0</v>
      </c>
      <c r="G12527" s="13">
        <v>229100000</v>
      </c>
      <c r="H12527" s="14">
        <v>237734549900</v>
      </c>
      <c r="I12527" s="14" t="e">
        <f>=Round(4428760.11780000,0)</f>
        <v>#VALUE!</v>
      </c>
      <c r="J12527" s="14" t="e">
        <f>=Round(0.00000000,0)</f>
        <v>#VALUE!</v>
      </c>
    </row>
    <row r="12528">
      <c r="A12528" s="11" t="s">
        <v>33</v>
      </c>
      <c r="B12528" s="12">
        <v>1037.96</v>
      </c>
      <c r="C12528" s="12">
        <v>0</v>
      </c>
      <c r="D12528" s="13">
        <v>0</v>
      </c>
      <c r="E12528" s="12">
        <v>0</v>
      </c>
      <c r="F12528" s="14">
        <v>0</v>
      </c>
      <c r="G12528" s="13">
        <v>229100000</v>
      </c>
      <c r="H12528" s="14">
        <v>237796636000</v>
      </c>
      <c r="I12528" s="14" t="e">
        <f>=Round(4429917.02270000,0)</f>
        <v>#VALUE!</v>
      </c>
      <c r="J12528" s="14" t="e">
        <f>=Round(0.00000000,0)</f>
        <v>#VALUE!</v>
      </c>
    </row>
    <row r="12529">
      <c r="A12529" s="11" t="s">
        <v>34</v>
      </c>
      <c r="B12529" s="12">
        <v>1038.231</v>
      </c>
      <c r="C12529" s="12">
        <v>0</v>
      </c>
      <c r="D12529" s="13">
        <v>0</v>
      </c>
      <c r="E12529" s="12">
        <v>0</v>
      </c>
      <c r="F12529" s="14">
        <v>0</v>
      </c>
      <c r="G12529" s="13">
        <v>229100000</v>
      </c>
      <c r="H12529" s="14">
        <v>237858722100</v>
      </c>
      <c r="I12529" s="14" t="e">
        <f>=Round(4431073.92770000,0)</f>
        <v>#VALUE!</v>
      </c>
      <c r="J12529" s="14" t="e">
        <f>=Round(0.00000000,0)</f>
        <v>#VALUE!</v>
      </c>
    </row>
    <row r="12530">
      <c r="A12530" s="11" t="s">
        <v>35</v>
      </c>
      <c r="B12530" s="12">
        <v>1038.231</v>
      </c>
      <c r="C12530" s="12">
        <v>0</v>
      </c>
      <c r="D12530" s="13">
        <v>0</v>
      </c>
      <c r="E12530" s="12">
        <v>0</v>
      </c>
      <c r="F12530" s="14">
        <v>0</v>
      </c>
      <c r="G12530" s="13">
        <v>229100000</v>
      </c>
      <c r="H12530" s="14">
        <v>237858722100</v>
      </c>
      <c r="I12530" s="14" t="e">
        <f>=Round(4432230.83260000,0)</f>
        <v>#VALUE!</v>
      </c>
      <c r="J12530" s="14" t="e">
        <f>=Round(0.00000000,0)</f>
        <v>#VALUE!</v>
      </c>
    </row>
    <row r="12531">
      <c r="A12531" s="11" t="s">
        <v>36</v>
      </c>
      <c r="B12531" s="12">
        <v>1038.231</v>
      </c>
      <c r="C12531" s="12">
        <v>0</v>
      </c>
      <c r="D12531" s="13">
        <v>0</v>
      </c>
      <c r="E12531" s="12">
        <v>0</v>
      </c>
      <c r="F12531" s="14">
        <v>0</v>
      </c>
      <c r="G12531" s="13">
        <v>229100000</v>
      </c>
      <c r="H12531" s="14">
        <v>237858722100</v>
      </c>
      <c r="I12531" s="14" t="e">
        <f>=Round(4432230.83260000,0)</f>
        <v>#VALUE!</v>
      </c>
      <c r="J12531" s="14" t="e">
        <f>=Round(0.00000000,0)</f>
        <v>#VALUE!</v>
      </c>
    </row>
    <row r="12532">
      <c r="A12532" s="11" t="s">
        <v>37</v>
      </c>
      <c r="B12532" s="12">
        <v>1039.04</v>
      </c>
      <c r="C12532" s="12">
        <v>0</v>
      </c>
      <c r="D12532" s="13">
        <v>0</v>
      </c>
      <c r="E12532" s="12">
        <v>0</v>
      </c>
      <c r="F12532" s="14">
        <v>0</v>
      </c>
      <c r="G12532" s="13">
        <v>229100000</v>
      </c>
      <c r="H12532" s="14">
        <v>238044064000</v>
      </c>
      <c r="I12532" s="14" t="e">
        <f>=Round(4432230.83260000,0)</f>
        <v>#VALUE!</v>
      </c>
      <c r="J12532" s="14" t="e">
        <f>=Round(0.00000000,0)</f>
        <v>#VALUE!</v>
      </c>
    </row>
    <row r="12533">
      <c r="A12533" s="11" t="s">
        <v>38</v>
      </c>
      <c r="B12533" s="12">
        <v>1039.311</v>
      </c>
      <c r="C12533" s="12">
        <v>0</v>
      </c>
      <c r="D12533" s="13">
        <v>0</v>
      </c>
      <c r="E12533" s="12">
        <v>0</v>
      </c>
      <c r="F12533" s="14">
        <v>0</v>
      </c>
      <c r="G12533" s="13">
        <v>229100000</v>
      </c>
      <c r="H12533" s="14">
        <v>238106150100</v>
      </c>
      <c r="I12533" s="14" t="e">
        <f>=Round(4435684.47130000,0)</f>
        <v>#VALUE!</v>
      </c>
      <c r="J12533" s="14" t="e">
        <f>=Round(0.00000000,0)</f>
        <v>#VALUE!</v>
      </c>
    </row>
    <row r="12534">
      <c r="A12534" s="11" t="s">
        <v>39</v>
      </c>
      <c r="B12534" s="12">
        <v>1038.583</v>
      </c>
      <c r="C12534" s="12">
        <v>0</v>
      </c>
      <c r="D12534" s="13">
        <v>0</v>
      </c>
      <c r="E12534" s="12">
        <v>0</v>
      </c>
      <c r="F12534" s="14">
        <v>0</v>
      </c>
      <c r="G12534" s="13">
        <v>229100000</v>
      </c>
      <c r="H12534" s="14">
        <v>237939365300</v>
      </c>
      <c r="I12534" s="14" t="e">
        <f>=Round(4436841.37620000,0)</f>
        <v>#VALUE!</v>
      </c>
      <c r="J12534" s="14" t="e">
        <f>=Round(0.00000000,0)</f>
        <v>#VALUE!</v>
      </c>
    </row>
    <row r="12535">
      <c r="A12535" s="11" t="s">
        <v>40</v>
      </c>
      <c r="B12535" s="12">
        <v>1037.856</v>
      </c>
      <c r="C12535" s="12">
        <v>0</v>
      </c>
      <c r="D12535" s="13">
        <v>0</v>
      </c>
      <c r="E12535" s="12">
        <v>0</v>
      </c>
      <c r="F12535" s="14">
        <v>0</v>
      </c>
      <c r="G12535" s="13">
        <v>229100000</v>
      </c>
      <c r="H12535" s="14">
        <v>237772809600</v>
      </c>
      <c r="I12535" s="14" t="e">
        <f>=Round(4433733.52830000,0)</f>
        <v>#VALUE!</v>
      </c>
      <c r="J12535" s="14" t="e">
        <f>=Round(0.00000000,0)</f>
        <v>#VALUE!</v>
      </c>
    </row>
    <row r="12536">
      <c r="A12536" s="11" t="s">
        <v>41</v>
      </c>
      <c r="B12536" s="12">
        <v>1036.859</v>
      </c>
      <c r="C12536" s="12">
        <v>0</v>
      </c>
      <c r="D12536" s="13">
        <v>0</v>
      </c>
      <c r="E12536" s="12">
        <v>0</v>
      </c>
      <c r="F12536" s="14">
        <v>0</v>
      </c>
      <c r="G12536" s="13">
        <v>229100000</v>
      </c>
      <c r="H12536" s="14">
        <v>237544396900</v>
      </c>
      <c r="I12536" s="14" t="e">
        <f>=Round(4430629.94940000,0)</f>
        <v>#VALUE!</v>
      </c>
      <c r="J12536" s="14" t="e">
        <f>=Round(0.00000000,0)</f>
        <v>#VALUE!</v>
      </c>
    </row>
    <row r="12537">
      <c r="A12537" s="11" t="s">
        <v>42</v>
      </c>
      <c r="B12537" s="12">
        <v>1036.859</v>
      </c>
      <c r="C12537" s="12">
        <v>0</v>
      </c>
      <c r="D12537" s="13">
        <v>0</v>
      </c>
      <c r="E12537" s="12">
        <v>0</v>
      </c>
      <c r="F12537" s="14">
        <v>0</v>
      </c>
      <c r="G12537" s="13">
        <v>229100000</v>
      </c>
      <c r="H12537" s="14">
        <v>237544396900</v>
      </c>
      <c r="I12537" s="14" t="e">
        <f>=Round(4426373.73460000,0)</f>
        <v>#VALUE!</v>
      </c>
      <c r="J12537" s="14" t="e">
        <f>=Round(0.00000000,0)</f>
        <v>#VALUE!</v>
      </c>
    </row>
    <row r="12538">
      <c r="A12538" s="11" t="s">
        <v>43</v>
      </c>
      <c r="B12538" s="12">
        <v>1036.859</v>
      </c>
      <c r="C12538" s="12">
        <v>0</v>
      </c>
      <c r="D12538" s="13">
        <v>0</v>
      </c>
      <c r="E12538" s="12">
        <v>0</v>
      </c>
      <c r="F12538" s="14">
        <v>0</v>
      </c>
      <c r="G12538" s="13">
        <v>229100000</v>
      </c>
      <c r="H12538" s="14">
        <v>237544396900</v>
      </c>
      <c r="I12538" s="14" t="e">
        <f>=Round(4426373.73460000,0)</f>
        <v>#VALUE!</v>
      </c>
      <c r="J12538" s="14" t="e">
        <f>=Round(0.00000000,0)</f>
        <v>#VALUE!</v>
      </c>
    </row>
    <row r="12539">
      <c r="A12539" s="11" t="s">
        <v>44</v>
      </c>
      <c r="B12539" s="12">
        <v>1036.401</v>
      </c>
      <c r="C12539" s="12">
        <v>0</v>
      </c>
      <c r="D12539" s="13">
        <v>0</v>
      </c>
      <c r="E12539" s="12">
        <v>0</v>
      </c>
      <c r="F12539" s="14">
        <v>0</v>
      </c>
      <c r="G12539" s="13">
        <v>229100000</v>
      </c>
      <c r="H12539" s="14">
        <v>237439469100</v>
      </c>
      <c r="I12539" s="14" t="e">
        <f>=Round(4426373.73460000,0)</f>
        <v>#VALUE!</v>
      </c>
      <c r="J12539" s="14" t="e">
        <f>=Round(0.00000000,0)</f>
        <v>#VALUE!</v>
      </c>
    </row>
    <row r="12540">
      <c r="A12540" s="11" t="s">
        <v>45</v>
      </c>
      <c r="B12540" s="12">
        <v>1034.917</v>
      </c>
      <c r="C12540" s="12">
        <v>0</v>
      </c>
      <c r="D12540" s="13">
        <v>0</v>
      </c>
      <c r="E12540" s="12">
        <v>0</v>
      </c>
      <c r="F12540" s="14">
        <v>0</v>
      </c>
      <c r="G12540" s="13">
        <v>229100000</v>
      </c>
      <c r="H12540" s="14">
        <v>237099484700</v>
      </c>
      <c r="I12540" s="14" t="e">
        <f>=Round(4424418.52260000,0)</f>
        <v>#VALUE!</v>
      </c>
      <c r="J12540" s="14" t="e">
        <f>=Round(0.00000000,0)</f>
        <v>#VALUE!</v>
      </c>
    </row>
    <row r="12541">
      <c r="A12541" s="11" t="s">
        <v>46</v>
      </c>
      <c r="B12541" s="12">
        <v>1037.125</v>
      </c>
      <c r="C12541" s="12">
        <v>0</v>
      </c>
      <c r="D12541" s="13">
        <v>0</v>
      </c>
      <c r="E12541" s="12">
        <v>0</v>
      </c>
      <c r="F12541" s="14">
        <v>0</v>
      </c>
      <c r="G12541" s="13">
        <v>229100000</v>
      </c>
      <c r="H12541" s="14">
        <v>237605337500</v>
      </c>
      <c r="I12541" s="14" t="e">
        <f>=Round(4418083.29410000,0)</f>
        <v>#VALUE!</v>
      </c>
      <c r="J12541" s="14" t="e">
        <f>=Round(0.00000000,0)</f>
        <v>#VALUE!</v>
      </c>
    </row>
    <row r="12542">
      <c r="A12542" s="11" t="s">
        <v>47</v>
      </c>
      <c r="B12542" s="12">
        <v>1038.278</v>
      </c>
      <c r="C12542" s="12">
        <v>0</v>
      </c>
      <c r="D12542" s="13">
        <v>0</v>
      </c>
      <c r="E12542" s="12">
        <v>0</v>
      </c>
      <c r="F12542" s="14">
        <v>0</v>
      </c>
      <c r="G12542" s="13">
        <v>229100000</v>
      </c>
      <c r="H12542" s="14">
        <v>237869489800</v>
      </c>
      <c r="I12542" s="14" t="e">
        <f>=Round(4427509.29440000,0)</f>
        <v>#VALUE!</v>
      </c>
      <c r="J12542" s="14" t="e">
        <f>=Round(0.00000000,0)</f>
        <v>#VALUE!</v>
      </c>
    </row>
    <row r="12543">
      <c r="A12543" s="11" t="s">
        <v>48</v>
      </c>
      <c r="B12543" s="12">
        <v>1038.991</v>
      </c>
      <c r="C12543" s="12">
        <v>0</v>
      </c>
      <c r="D12543" s="13">
        <v>0</v>
      </c>
      <c r="E12543" s="12">
        <v>0</v>
      </c>
      <c r="F12543" s="14">
        <v>0</v>
      </c>
      <c r="G12543" s="13">
        <v>229100000</v>
      </c>
      <c r="H12543" s="14">
        <v>238032838100</v>
      </c>
      <c r="I12543" s="14" t="e">
        <f>=Round(4432431.47660000,0)</f>
        <v>#VALUE!</v>
      </c>
      <c r="J12543" s="14" t="e">
        <f>=Round(0.00000000,0)</f>
        <v>#VALUE!</v>
      </c>
    </row>
    <row r="12544">
      <c r="A12544" s="11" t="s">
        <v>49</v>
      </c>
      <c r="B12544" s="12">
        <v>1038.991</v>
      </c>
      <c r="C12544" s="12">
        <v>0</v>
      </c>
      <c r="D12544" s="13">
        <v>0</v>
      </c>
      <c r="E12544" s="12">
        <v>0</v>
      </c>
      <c r="F12544" s="14">
        <v>0</v>
      </c>
      <c r="G12544" s="13">
        <v>229100000</v>
      </c>
      <c r="H12544" s="14">
        <v>238032838100</v>
      </c>
      <c r="I12544" s="14" t="e">
        <f>=Round(4435475.28920000,0)</f>
        <v>#VALUE!</v>
      </c>
      <c r="J12544" s="14" t="e">
        <f>=Round(0.00000000,0)</f>
        <v>#VALUE!</v>
      </c>
    </row>
    <row r="12545">
      <c r="A12545" s="11" t="s">
        <v>50</v>
      </c>
      <c r="B12545" s="12">
        <v>1038.991</v>
      </c>
      <c r="C12545" s="12">
        <v>0</v>
      </c>
      <c r="D12545" s="13">
        <v>0</v>
      </c>
      <c r="E12545" s="12">
        <v>0</v>
      </c>
      <c r="F12545" s="14">
        <v>0</v>
      </c>
      <c r="G12545" s="13">
        <v>229100000</v>
      </c>
      <c r="H12545" s="14">
        <v>238032838100</v>
      </c>
      <c r="I12545" s="14" t="e">
        <f>=Round(4435475.28920000,0)</f>
        <v>#VALUE!</v>
      </c>
      <c r="J12545" s="14" t="e">
        <f>=Round(0.00000000,0)</f>
        <v>#VALUE!</v>
      </c>
    </row>
    <row r="12546">
      <c r="A12546" s="11" t="s">
        <v>51</v>
      </c>
      <c r="B12546" s="12">
        <v>1008.454</v>
      </c>
      <c r="C12546" s="12">
        <v>0</v>
      </c>
      <c r="D12546" s="13">
        <v>0</v>
      </c>
      <c r="E12546" s="12">
        <v>229100000</v>
      </c>
      <c r="F12546" s="14">
        <v>231035895000</v>
      </c>
      <c r="G12546" s="13">
        <v>229100000</v>
      </c>
      <c r="H12546" s="14">
        <v>231036811400</v>
      </c>
      <c r="I12546" s="14" t="e">
        <f>=Round(4435475.28920000,0)</f>
        <v>#VALUE!</v>
      </c>
      <c r="J12546" s="14" t="e">
        <f>=Round(0.00000000,0)</f>
        <v>#VALUE!</v>
      </c>
    </row>
    <row r="12547">
      <c r="A12547" s="11" t="s">
        <v>52</v>
      </c>
      <c r="B12547" s="12">
        <v>1016.233</v>
      </c>
      <c r="C12547" s="12">
        <v>0</v>
      </c>
      <c r="D12547" s="13">
        <v>0</v>
      </c>
      <c r="E12547" s="12">
        <v>0</v>
      </c>
      <c r="F12547" s="14">
        <v>0</v>
      </c>
      <c r="G12547" s="13">
        <v>0</v>
      </c>
      <c r="H12547" s="14">
        <v>0</v>
      </c>
      <c r="I12547" s="14" t="e">
        <f>=Round(4305112.16870000,0)</f>
        <v>#VALUE!</v>
      </c>
      <c r="J12547" s="14" t="e">
        <f>=Round(0.00000000,0)</f>
        <v>#VALUE!</v>
      </c>
    </row>
    <row r="12548">
      <c r="A12548" s="11" t="s">
        <v>53</v>
      </c>
      <c r="B12548" s="12">
        <v>1016.653</v>
      </c>
      <c r="C12548" s="12">
        <v>0</v>
      </c>
      <c r="D12548" s="13">
        <v>0</v>
      </c>
      <c r="E12548" s="12">
        <v>0</v>
      </c>
      <c r="F12548" s="14">
        <v>0</v>
      </c>
      <c r="G12548" s="13">
        <v>0</v>
      </c>
      <c r="H12548" s="14">
        <v>0</v>
      </c>
      <c r="I12548" s="14" t="e">
        <f>=Round(0.00000000,0)</f>
        <v>#VALUE!</v>
      </c>
      <c r="J12548" s="14" t="e">
        <f>=Round(0.00000000,0)</f>
        <v>#VALUE!</v>
      </c>
    </row>
    <row r="12549">
      <c r="A12549" s="11" t="s">
        <v>54</v>
      </c>
      <c r="B12549" s="12">
        <v>1016.828</v>
      </c>
      <c r="C12549" s="12">
        <v>0</v>
      </c>
      <c r="D12549" s="13">
        <v>0</v>
      </c>
      <c r="E12549" s="12">
        <v>0</v>
      </c>
      <c r="F12549" s="14">
        <v>0</v>
      </c>
      <c r="G12549" s="13">
        <v>0</v>
      </c>
      <c r="H12549" s="14">
        <v>0</v>
      </c>
      <c r="I12549" s="14" t="e">
        <f>=Round(0.00000000,0)</f>
        <v>#VALUE!</v>
      </c>
      <c r="J12549" s="14" t="e">
        <f>=Round(0.00000000,0)</f>
        <v>#VALUE!</v>
      </c>
    </row>
    <row r="12550">
      <c r="A12550" s="11" t="s">
        <v>55</v>
      </c>
      <c r="B12550" s="12">
        <v>1015.874</v>
      </c>
      <c r="C12550" s="12">
        <v>0</v>
      </c>
      <c r="D12550" s="13">
        <v>0</v>
      </c>
      <c r="E12550" s="12">
        <v>0</v>
      </c>
      <c r="F12550" s="14">
        <v>0</v>
      </c>
      <c r="G12550" s="13">
        <v>0</v>
      </c>
      <c r="H12550" s="14">
        <v>0</v>
      </c>
      <c r="I12550" s="14" t="e">
        <f>=Round(0.00000000,0)</f>
        <v>#VALUE!</v>
      </c>
      <c r="J12550" s="14" t="e">
        <f>=Round(0.00000000,0)</f>
        <v>#VALUE!</v>
      </c>
    </row>
    <row r="12551" ht="-1">
      <c r="A12551" s="15"/>
      <c r="B12551" s="16" t="s">
        <v>56</v>
      </c>
      <c r="C12551" s="15"/>
      <c r="D12551" s="15"/>
      <c r="E12551" s="15"/>
      <c r="F12551" s="15"/>
      <c r="G12551" s="15"/>
      <c r="H12551" s="15"/>
      <c r="I12551" s="17" t="e">
        <f>=Round(SUM(I12525:I12550),0)</f>
        <v>#VALUE!</v>
      </c>
      <c r="J12551" s="17" t="e">
        <f>=Round(SUM(J12525:J12550),0)</f>
        <v>#VALUE!</v>
      </c>
    </row>
    <row r="12552">
      <c r="A12552" s="1" t="s">
        <v>0</v>
      </c>
      <c r="B12552" s="1"/>
      <c r="C12552" s="1"/>
      <c r="D12552" s="1"/>
    </row>
    <row r="12553">
      <c r="A12553" s="0" t="s">
        <v>1</v>
      </c>
      <c r="C12553" s="0" t="s">
        <v>419</v>
      </c>
      <c r="H12553" s="2" t="s">
        <v>3</v>
      </c>
    </row>
    <row r="12554">
      <c r="A12554" s="0" t="s">
        <v>4</v>
      </c>
      <c r="C12554" s="0" t="s">
        <v>426</v>
      </c>
      <c r="H12554" s="3" t="s">
        <v>6</v>
      </c>
    </row>
    <row r="12555">
      <c r="A12555" s="0" t="s">
        <v>7</v>
      </c>
      <c r="C12555" s="4" t="s">
        <v>420</v>
      </c>
      <c r="H12555" s="2" t="s">
        <v>9</v>
      </c>
    </row>
    <row r="12556">
      <c r="A12556" s="0" t="s">
        <v>10</v>
      </c>
      <c r="C12556" s="4" t="s">
        <v>11</v>
      </c>
      <c r="H12556" s="2" t="s">
        <v>12</v>
      </c>
    </row>
    <row r="12557">
      <c r="A12557" s="0" t="s">
        <v>13</v>
      </c>
      <c r="C12557" s="0" t="s">
        <v>14</v>
      </c>
    </row>
    <row r="12558">
      <c r="A12558" s="0" t="s">
        <v>15</v>
      </c>
      <c r="C12558" s="0" t="s">
        <v>16</v>
      </c>
    </row>
    <row r="12559">
      <c r="A12559" s="0" t="s">
        <v>17</v>
      </c>
      <c r="C12559" s="0" t="s">
        <v>18</v>
      </c>
    </row>
    <row r="12562">
      <c r="A12562" s="5" t="s">
        <v>19</v>
      </c>
      <c r="B12562" s="5" t="s">
        <v>20</v>
      </c>
      <c r="C12562" s="7" t="s">
        <v>21</v>
      </c>
      <c r="D12562" s="9"/>
      <c r="E12562" s="7" t="s">
        <v>22</v>
      </c>
      <c r="F12562" s="9"/>
      <c r="G12562" s="5" t="s">
        <v>23</v>
      </c>
      <c r="H12562" s="5" t="s">
        <v>24</v>
      </c>
      <c r="I12562" s="5" t="s">
        <v>421</v>
      </c>
      <c r="J12562" s="5" t="s">
        <v>26</v>
      </c>
    </row>
    <row r="12563">
      <c r="A12563" s="6"/>
      <c r="B12563" s="6"/>
      <c r="C12563" s="8" t="s">
        <v>27</v>
      </c>
      <c r="D12563" s="8" t="s">
        <v>28</v>
      </c>
      <c r="E12563" s="8" t="s">
        <v>27</v>
      </c>
      <c r="F12563" s="8" t="s">
        <v>28</v>
      </c>
      <c r="G12563" s="6"/>
      <c r="H12563" s="6"/>
      <c r="I12563" s="10" t="s">
        <v>29</v>
      </c>
      <c r="J12563" s="6"/>
    </row>
    <row r="12564">
      <c r="A12564" s="11" t="s">
        <v>30</v>
      </c>
      <c r="B12564" s="12">
        <v>1037.147</v>
      </c>
      <c r="C12564" s="12">
        <v>0</v>
      </c>
      <c r="D12564" s="13">
        <v>0</v>
      </c>
      <c r="E12564" s="12">
        <v>0</v>
      </c>
      <c r="F12564" s="14">
        <v>0</v>
      </c>
      <c r="G12564" s="13">
        <v>3000000</v>
      </c>
      <c r="H12564" s="14">
        <v>3111441000</v>
      </c>
      <c r="I12564" s="14" t="e">
        <f>=Round(57932.65770000,0)</f>
        <v>#VALUE!</v>
      </c>
      <c r="J12564" s="14" t="e">
        <f>=Round(0.00000000,0)</f>
        <v>#VALUE!</v>
      </c>
    </row>
    <row r="12565">
      <c r="A12565" s="11" t="s">
        <v>31</v>
      </c>
      <c r="B12565" s="12">
        <v>1037.418</v>
      </c>
      <c r="C12565" s="12">
        <v>0</v>
      </c>
      <c r="D12565" s="13">
        <v>0</v>
      </c>
      <c r="E12565" s="12">
        <v>0</v>
      </c>
      <c r="F12565" s="14">
        <v>0</v>
      </c>
      <c r="G12565" s="13">
        <v>3000000</v>
      </c>
      <c r="H12565" s="14">
        <v>3112254000</v>
      </c>
      <c r="I12565" s="14" t="e">
        <f>=Round(57978.21750000,0)</f>
        <v>#VALUE!</v>
      </c>
      <c r="J12565" s="14" t="e">
        <f>=Round(0.00000000,0)</f>
        <v>#VALUE!</v>
      </c>
    </row>
    <row r="12566">
      <c r="A12566" s="11" t="s">
        <v>32</v>
      </c>
      <c r="B12566" s="12">
        <v>1037.689</v>
      </c>
      <c r="C12566" s="12">
        <v>0</v>
      </c>
      <c r="D12566" s="13">
        <v>0</v>
      </c>
      <c r="E12566" s="12">
        <v>0</v>
      </c>
      <c r="F12566" s="14">
        <v>0</v>
      </c>
      <c r="G12566" s="13">
        <v>3000000</v>
      </c>
      <c r="H12566" s="14">
        <v>3113067000</v>
      </c>
      <c r="I12566" s="14" t="e">
        <f>=Round(57993.36690000,0)</f>
        <v>#VALUE!</v>
      </c>
      <c r="J12566" s="14" t="e">
        <f>=Round(0.00000000,0)</f>
        <v>#VALUE!</v>
      </c>
    </row>
    <row r="12567">
      <c r="A12567" s="11" t="s">
        <v>33</v>
      </c>
      <c r="B12567" s="12">
        <v>1037.96</v>
      </c>
      <c r="C12567" s="12">
        <v>0</v>
      </c>
      <c r="D12567" s="13">
        <v>0</v>
      </c>
      <c r="E12567" s="12">
        <v>0</v>
      </c>
      <c r="F12567" s="14">
        <v>0</v>
      </c>
      <c r="G12567" s="13">
        <v>3000000</v>
      </c>
      <c r="H12567" s="14">
        <v>3113880000</v>
      </c>
      <c r="I12567" s="14" t="e">
        <f>=Round(58008.51620000,0)</f>
        <v>#VALUE!</v>
      </c>
      <c r="J12567" s="14" t="e">
        <f>=Round(0.00000000,0)</f>
        <v>#VALUE!</v>
      </c>
    </row>
    <row r="12568">
      <c r="A12568" s="11" t="s">
        <v>34</v>
      </c>
      <c r="B12568" s="12">
        <v>1038.231</v>
      </c>
      <c r="C12568" s="12">
        <v>0</v>
      </c>
      <c r="D12568" s="13">
        <v>0</v>
      </c>
      <c r="E12568" s="12">
        <v>0</v>
      </c>
      <c r="F12568" s="14">
        <v>0</v>
      </c>
      <c r="G12568" s="13">
        <v>3000000</v>
      </c>
      <c r="H12568" s="14">
        <v>3114693000</v>
      </c>
      <c r="I12568" s="14" t="e">
        <f>=Round(58023.66560000,0)</f>
        <v>#VALUE!</v>
      </c>
      <c r="J12568" s="14" t="e">
        <f>=Round(0.00000000,0)</f>
        <v>#VALUE!</v>
      </c>
    </row>
    <row r="12569">
      <c r="A12569" s="11" t="s">
        <v>35</v>
      </c>
      <c r="B12569" s="12">
        <v>1038.231</v>
      </c>
      <c r="C12569" s="12">
        <v>0</v>
      </c>
      <c r="D12569" s="13">
        <v>0</v>
      </c>
      <c r="E12569" s="12">
        <v>0</v>
      </c>
      <c r="F12569" s="14">
        <v>0</v>
      </c>
      <c r="G12569" s="13">
        <v>3000000</v>
      </c>
      <c r="H12569" s="14">
        <v>3114693000</v>
      </c>
      <c r="I12569" s="14" t="e">
        <f>=Round(58038.81490000,0)</f>
        <v>#VALUE!</v>
      </c>
      <c r="J12569" s="14" t="e">
        <f>=Round(0.00000000,0)</f>
        <v>#VALUE!</v>
      </c>
    </row>
    <row r="12570">
      <c r="A12570" s="11" t="s">
        <v>36</v>
      </c>
      <c r="B12570" s="12">
        <v>1038.231</v>
      </c>
      <c r="C12570" s="12">
        <v>0</v>
      </c>
      <c r="D12570" s="13">
        <v>0</v>
      </c>
      <c r="E12570" s="12">
        <v>0</v>
      </c>
      <c r="F12570" s="14">
        <v>0</v>
      </c>
      <c r="G12570" s="13">
        <v>3000000</v>
      </c>
      <c r="H12570" s="14">
        <v>3114693000</v>
      </c>
      <c r="I12570" s="14" t="e">
        <f>=Round(58038.81490000,0)</f>
        <v>#VALUE!</v>
      </c>
      <c r="J12570" s="14" t="e">
        <f>=Round(0.00000000,0)</f>
        <v>#VALUE!</v>
      </c>
    </row>
    <row r="12571">
      <c r="A12571" s="11" t="s">
        <v>37</v>
      </c>
      <c r="B12571" s="12">
        <v>1039.04</v>
      </c>
      <c r="C12571" s="12">
        <v>0</v>
      </c>
      <c r="D12571" s="13">
        <v>0</v>
      </c>
      <c r="E12571" s="12">
        <v>0</v>
      </c>
      <c r="F12571" s="14">
        <v>0</v>
      </c>
      <c r="G12571" s="13">
        <v>3000000</v>
      </c>
      <c r="H12571" s="14">
        <v>3117120000</v>
      </c>
      <c r="I12571" s="14" t="e">
        <f>=Round(58038.81490000,0)</f>
        <v>#VALUE!</v>
      </c>
      <c r="J12571" s="14" t="e">
        <f>=Round(0.00000000,0)</f>
        <v>#VALUE!</v>
      </c>
    </row>
    <row r="12572">
      <c r="A12572" s="11" t="s">
        <v>38</v>
      </c>
      <c r="B12572" s="12">
        <v>1039.311</v>
      </c>
      <c r="C12572" s="12">
        <v>0</v>
      </c>
      <c r="D12572" s="13">
        <v>0</v>
      </c>
      <c r="E12572" s="12">
        <v>0</v>
      </c>
      <c r="F12572" s="14">
        <v>0</v>
      </c>
      <c r="G12572" s="13">
        <v>3000000</v>
      </c>
      <c r="H12572" s="14">
        <v>3117933000</v>
      </c>
      <c r="I12572" s="14" t="e">
        <f>=Round(58084.03930000,0)</f>
        <v>#VALUE!</v>
      </c>
      <c r="J12572" s="14" t="e">
        <f>=Round(0.00000000,0)</f>
        <v>#VALUE!</v>
      </c>
    </row>
    <row r="12573">
      <c r="A12573" s="11" t="s">
        <v>39</v>
      </c>
      <c r="B12573" s="12">
        <v>1038.583</v>
      </c>
      <c r="C12573" s="12">
        <v>0</v>
      </c>
      <c r="D12573" s="13">
        <v>0</v>
      </c>
      <c r="E12573" s="12">
        <v>0</v>
      </c>
      <c r="F12573" s="14">
        <v>0</v>
      </c>
      <c r="G12573" s="13">
        <v>3000000</v>
      </c>
      <c r="H12573" s="14">
        <v>3115749000</v>
      </c>
      <c r="I12573" s="14" t="e">
        <f>=Round(58099.18870000,0)</f>
        <v>#VALUE!</v>
      </c>
      <c r="J12573" s="14" t="e">
        <f>=Round(0.00000000,0)</f>
        <v>#VALUE!</v>
      </c>
    </row>
    <row r="12574">
      <c r="A12574" s="11" t="s">
        <v>40</v>
      </c>
      <c r="B12574" s="12">
        <v>1037.856</v>
      </c>
      <c r="C12574" s="12">
        <v>0</v>
      </c>
      <c r="D12574" s="13">
        <v>0</v>
      </c>
      <c r="E12574" s="12">
        <v>0</v>
      </c>
      <c r="F12574" s="14">
        <v>0</v>
      </c>
      <c r="G12574" s="13">
        <v>3000000</v>
      </c>
      <c r="H12574" s="14">
        <v>3113568000</v>
      </c>
      <c r="I12574" s="14" t="e">
        <f>=Round(58058.49230000,0)</f>
        <v>#VALUE!</v>
      </c>
      <c r="J12574" s="14" t="e">
        <f>=Round(0.00000000,0)</f>
        <v>#VALUE!</v>
      </c>
    </row>
    <row r="12575">
      <c r="A12575" s="11" t="s">
        <v>41</v>
      </c>
      <c r="B12575" s="12">
        <v>1036.859</v>
      </c>
      <c r="C12575" s="12">
        <v>0</v>
      </c>
      <c r="D12575" s="13">
        <v>0</v>
      </c>
      <c r="E12575" s="12">
        <v>0</v>
      </c>
      <c r="F12575" s="14">
        <v>0</v>
      </c>
      <c r="G12575" s="13">
        <v>3000000</v>
      </c>
      <c r="H12575" s="14">
        <v>3110577000</v>
      </c>
      <c r="I12575" s="14" t="e">
        <f>=Round(58017.85180000,0)</f>
        <v>#VALUE!</v>
      </c>
      <c r="J12575" s="14" t="e">
        <f>=Round(0.00000000,0)</f>
        <v>#VALUE!</v>
      </c>
    </row>
    <row r="12576">
      <c r="A12576" s="11" t="s">
        <v>42</v>
      </c>
      <c r="B12576" s="12">
        <v>1036.859</v>
      </c>
      <c r="C12576" s="12">
        <v>0</v>
      </c>
      <c r="D12576" s="13">
        <v>0</v>
      </c>
      <c r="E12576" s="12">
        <v>0</v>
      </c>
      <c r="F12576" s="14">
        <v>0</v>
      </c>
      <c r="G12576" s="13">
        <v>3000000</v>
      </c>
      <c r="H12576" s="14">
        <v>3110577000</v>
      </c>
      <c r="I12576" s="14" t="e">
        <f>=Round(57962.11790000,0)</f>
        <v>#VALUE!</v>
      </c>
      <c r="J12576" s="14" t="e">
        <f>=Round(0.00000000,0)</f>
        <v>#VALUE!</v>
      </c>
    </row>
    <row r="12577">
      <c r="A12577" s="11" t="s">
        <v>43</v>
      </c>
      <c r="B12577" s="12">
        <v>1036.859</v>
      </c>
      <c r="C12577" s="12">
        <v>0</v>
      </c>
      <c r="D12577" s="13">
        <v>0</v>
      </c>
      <c r="E12577" s="12">
        <v>0</v>
      </c>
      <c r="F12577" s="14">
        <v>0</v>
      </c>
      <c r="G12577" s="13">
        <v>3000000</v>
      </c>
      <c r="H12577" s="14">
        <v>3110577000</v>
      </c>
      <c r="I12577" s="14" t="e">
        <f>=Round(57962.11790000,0)</f>
        <v>#VALUE!</v>
      </c>
      <c r="J12577" s="14" t="e">
        <f>=Round(0.00000000,0)</f>
        <v>#VALUE!</v>
      </c>
    </row>
    <row r="12578">
      <c r="A12578" s="11" t="s">
        <v>44</v>
      </c>
      <c r="B12578" s="12">
        <v>1036.401</v>
      </c>
      <c r="C12578" s="12">
        <v>0</v>
      </c>
      <c r="D12578" s="13">
        <v>0</v>
      </c>
      <c r="E12578" s="12">
        <v>0</v>
      </c>
      <c r="F12578" s="14">
        <v>0</v>
      </c>
      <c r="G12578" s="13">
        <v>3000000</v>
      </c>
      <c r="H12578" s="14">
        <v>3109203000</v>
      </c>
      <c r="I12578" s="14" t="e">
        <f>=Round(57962.11790000,0)</f>
        <v>#VALUE!</v>
      </c>
      <c r="J12578" s="14" t="e">
        <f>=Round(0.00000000,0)</f>
        <v>#VALUE!</v>
      </c>
    </row>
    <row r="12579">
      <c r="A12579" s="11" t="s">
        <v>45</v>
      </c>
      <c r="B12579" s="12">
        <v>1034.917</v>
      </c>
      <c r="C12579" s="12">
        <v>0</v>
      </c>
      <c r="D12579" s="13">
        <v>0</v>
      </c>
      <c r="E12579" s="12">
        <v>0</v>
      </c>
      <c r="F12579" s="14">
        <v>0</v>
      </c>
      <c r="G12579" s="13">
        <v>3000000</v>
      </c>
      <c r="H12579" s="14">
        <v>3104751000</v>
      </c>
      <c r="I12579" s="14" t="e">
        <f>=Round(57936.51490000,0)</f>
        <v>#VALUE!</v>
      </c>
      <c r="J12579" s="14" t="e">
        <f>=Round(0.00000000,0)</f>
        <v>#VALUE!</v>
      </c>
    </row>
    <row r="12580">
      <c r="A12580" s="11" t="s">
        <v>46</v>
      </c>
      <c r="B12580" s="12">
        <v>1037.125</v>
      </c>
      <c r="C12580" s="12">
        <v>0</v>
      </c>
      <c r="D12580" s="13">
        <v>0</v>
      </c>
      <c r="E12580" s="12">
        <v>0</v>
      </c>
      <c r="F12580" s="14">
        <v>0</v>
      </c>
      <c r="G12580" s="13">
        <v>3000000</v>
      </c>
      <c r="H12580" s="14">
        <v>3111375000</v>
      </c>
      <c r="I12580" s="14" t="e">
        <f>=Round(57853.55690000,0)</f>
        <v>#VALUE!</v>
      </c>
      <c r="J12580" s="14" t="e">
        <f>=Round(0.00000000,0)</f>
        <v>#VALUE!</v>
      </c>
    </row>
    <row r="12581">
      <c r="A12581" s="11" t="s">
        <v>47</v>
      </c>
      <c r="B12581" s="12">
        <v>1038.278</v>
      </c>
      <c r="C12581" s="12">
        <v>0</v>
      </c>
      <c r="D12581" s="13">
        <v>0</v>
      </c>
      <c r="E12581" s="12">
        <v>0</v>
      </c>
      <c r="F12581" s="14">
        <v>0</v>
      </c>
      <c r="G12581" s="13">
        <v>3000000</v>
      </c>
      <c r="H12581" s="14">
        <v>3114834000</v>
      </c>
      <c r="I12581" s="14" t="e">
        <f>=Round(57976.98770000,0)</f>
        <v>#VALUE!</v>
      </c>
      <c r="J12581" s="14" t="e">
        <f>=Round(0.00000000,0)</f>
        <v>#VALUE!</v>
      </c>
    </row>
    <row r="12582">
      <c r="A12582" s="11" t="s">
        <v>48</v>
      </c>
      <c r="B12582" s="12">
        <v>1038.991</v>
      </c>
      <c r="C12582" s="12">
        <v>0</v>
      </c>
      <c r="D12582" s="13">
        <v>0</v>
      </c>
      <c r="E12582" s="12">
        <v>0</v>
      </c>
      <c r="F12582" s="14">
        <v>0</v>
      </c>
      <c r="G12582" s="13">
        <v>3000000</v>
      </c>
      <c r="H12582" s="14">
        <v>3116973000</v>
      </c>
      <c r="I12582" s="14" t="e">
        <f>=Round(58041.44230000,0)</f>
        <v>#VALUE!</v>
      </c>
      <c r="J12582" s="14" t="e">
        <f>=Round(0.00000000,0)</f>
        <v>#VALUE!</v>
      </c>
    </row>
    <row r="12583">
      <c r="A12583" s="11" t="s">
        <v>49</v>
      </c>
      <c r="B12583" s="12">
        <v>1038.991</v>
      </c>
      <c r="C12583" s="12">
        <v>0</v>
      </c>
      <c r="D12583" s="13">
        <v>0</v>
      </c>
      <c r="E12583" s="12">
        <v>0</v>
      </c>
      <c r="F12583" s="14">
        <v>0</v>
      </c>
      <c r="G12583" s="13">
        <v>3000000</v>
      </c>
      <c r="H12583" s="14">
        <v>3116973000</v>
      </c>
      <c r="I12583" s="14" t="e">
        <f>=Round(58081.30020000,0)</f>
        <v>#VALUE!</v>
      </c>
      <c r="J12583" s="14" t="e">
        <f>=Round(0.00000000,0)</f>
        <v>#VALUE!</v>
      </c>
    </row>
    <row r="12584">
      <c r="A12584" s="11" t="s">
        <v>50</v>
      </c>
      <c r="B12584" s="12">
        <v>1038.991</v>
      </c>
      <c r="C12584" s="12">
        <v>0</v>
      </c>
      <c r="D12584" s="13">
        <v>0</v>
      </c>
      <c r="E12584" s="12">
        <v>0</v>
      </c>
      <c r="F12584" s="14">
        <v>0</v>
      </c>
      <c r="G12584" s="13">
        <v>3000000</v>
      </c>
      <c r="H12584" s="14">
        <v>3116973000</v>
      </c>
      <c r="I12584" s="14" t="e">
        <f>=Round(58081.30020000,0)</f>
        <v>#VALUE!</v>
      </c>
      <c r="J12584" s="14" t="e">
        <f>=Round(0.00000000,0)</f>
        <v>#VALUE!</v>
      </c>
    </row>
    <row r="12585">
      <c r="A12585" s="11" t="s">
        <v>51</v>
      </c>
      <c r="B12585" s="12">
        <v>1008.454</v>
      </c>
      <c r="C12585" s="12">
        <v>0</v>
      </c>
      <c r="D12585" s="13">
        <v>0</v>
      </c>
      <c r="E12585" s="12">
        <v>0</v>
      </c>
      <c r="F12585" s="14">
        <v>0</v>
      </c>
      <c r="G12585" s="13">
        <v>3000000</v>
      </c>
      <c r="H12585" s="14">
        <v>3025362000</v>
      </c>
      <c r="I12585" s="14" t="e">
        <f>=Round(58081.30020000,0)</f>
        <v>#VALUE!</v>
      </c>
      <c r="J12585" s="14" t="e">
        <f>=Round(0.00000000,0)</f>
        <v>#VALUE!</v>
      </c>
    </row>
    <row r="12586">
      <c r="A12586" s="11" t="s">
        <v>52</v>
      </c>
      <c r="B12586" s="12">
        <v>1016.233</v>
      </c>
      <c r="C12586" s="12">
        <v>0</v>
      </c>
      <c r="D12586" s="13">
        <v>0</v>
      </c>
      <c r="E12586" s="12">
        <v>0</v>
      </c>
      <c r="F12586" s="14">
        <v>0</v>
      </c>
      <c r="G12586" s="13">
        <v>3000000</v>
      </c>
      <c r="H12586" s="14">
        <v>3048699000</v>
      </c>
      <c r="I12586" s="14" t="e">
        <f>=Round(56374.23180000,0)</f>
        <v>#VALUE!</v>
      </c>
      <c r="J12586" s="14" t="e">
        <f>=Round(0.00000000,0)</f>
        <v>#VALUE!</v>
      </c>
    </row>
    <row r="12587">
      <c r="A12587" s="11" t="s">
        <v>53</v>
      </c>
      <c r="B12587" s="12">
        <v>1016.653</v>
      </c>
      <c r="C12587" s="12">
        <v>0</v>
      </c>
      <c r="D12587" s="13">
        <v>0</v>
      </c>
      <c r="E12587" s="12">
        <v>0</v>
      </c>
      <c r="F12587" s="14">
        <v>0</v>
      </c>
      <c r="G12587" s="13">
        <v>3000000</v>
      </c>
      <c r="H12587" s="14">
        <v>3049959000</v>
      </c>
      <c r="I12587" s="14" t="e">
        <f>=Round(56809.09070000,0)</f>
        <v>#VALUE!</v>
      </c>
      <c r="J12587" s="14" t="e">
        <f>=Round(0.00000000,0)</f>
        <v>#VALUE!</v>
      </c>
    </row>
    <row r="12588">
      <c r="A12588" s="11" t="s">
        <v>54</v>
      </c>
      <c r="B12588" s="12">
        <v>1016.828</v>
      </c>
      <c r="C12588" s="12">
        <v>0</v>
      </c>
      <c r="D12588" s="13">
        <v>0</v>
      </c>
      <c r="E12588" s="12">
        <v>0</v>
      </c>
      <c r="F12588" s="14">
        <v>0</v>
      </c>
      <c r="G12588" s="13">
        <v>3000000</v>
      </c>
      <c r="H12588" s="14">
        <v>3050484000</v>
      </c>
      <c r="I12588" s="14" t="e">
        <f>=Round(56832.56930000,0)</f>
        <v>#VALUE!</v>
      </c>
      <c r="J12588" s="14" t="e">
        <f>=Round(0.00000000,0)</f>
        <v>#VALUE!</v>
      </c>
    </row>
    <row r="12589">
      <c r="A12589" s="11" t="s">
        <v>55</v>
      </c>
      <c r="B12589" s="12">
        <v>1015.874</v>
      </c>
      <c r="C12589" s="12">
        <v>0</v>
      </c>
      <c r="D12589" s="13">
        <v>0</v>
      </c>
      <c r="E12589" s="12">
        <v>0</v>
      </c>
      <c r="F12589" s="14">
        <v>0</v>
      </c>
      <c r="G12589" s="13">
        <v>3000000</v>
      </c>
      <c r="H12589" s="14">
        <v>3047622000</v>
      </c>
      <c r="I12589" s="14" t="e">
        <f>=Round(56842.35210000,0)</f>
        <v>#VALUE!</v>
      </c>
      <c r="J12589" s="14" t="e">
        <f>=Round(0.00000000,0)</f>
        <v>#VALUE!</v>
      </c>
    </row>
    <row r="12590" ht="-1">
      <c r="A12590" s="15"/>
      <c r="B12590" s="16" t="s">
        <v>56</v>
      </c>
      <c r="C12590" s="15"/>
      <c r="D12590" s="15"/>
      <c r="E12590" s="15"/>
      <c r="F12590" s="15"/>
      <c r="G12590" s="15"/>
      <c r="H12590" s="15"/>
      <c r="I12590" s="17" t="e">
        <f>=Round(SUM(I12564:I12589),0)</f>
        <v>#VALUE!</v>
      </c>
      <c r="J12590" s="17" t="e">
        <f>=Round(SUM(J12564:J12589),0)</f>
        <v>#VALUE!</v>
      </c>
    </row>
    <row r="12591">
      <c r="A12591" s="1" t="s">
        <v>0</v>
      </c>
      <c r="B12591" s="1"/>
      <c r="C12591" s="1"/>
      <c r="D12591" s="1"/>
    </row>
    <row r="12592">
      <c r="A12592" s="0" t="s">
        <v>1</v>
      </c>
      <c r="C12592" s="0" t="s">
        <v>427</v>
      </c>
      <c r="H12592" s="2" t="s">
        <v>3</v>
      </c>
    </row>
    <row r="12593">
      <c r="A12593" s="0" t="s">
        <v>4</v>
      </c>
      <c r="C12593" s="0" t="s">
        <v>300</v>
      </c>
      <c r="H12593" s="3" t="s">
        <v>6</v>
      </c>
    </row>
    <row r="12594">
      <c r="A12594" s="0" t="s">
        <v>7</v>
      </c>
      <c r="C12594" s="4" t="s">
        <v>428</v>
      </c>
      <c r="H12594" s="2" t="s">
        <v>9</v>
      </c>
    </row>
    <row r="12595">
      <c r="A12595" s="0" t="s">
        <v>10</v>
      </c>
      <c r="C12595" s="4" t="s">
        <v>11</v>
      </c>
      <c r="H12595" s="2" t="s">
        <v>12</v>
      </c>
    </row>
    <row r="12596">
      <c r="A12596" s="0" t="s">
        <v>13</v>
      </c>
      <c r="C12596" s="0" t="s">
        <v>14</v>
      </c>
    </row>
    <row r="12597">
      <c r="A12597" s="0" t="s">
        <v>15</v>
      </c>
      <c r="C12597" s="0" t="s">
        <v>16</v>
      </c>
    </row>
    <row r="12598">
      <c r="A12598" s="0" t="s">
        <v>17</v>
      </c>
      <c r="C12598" s="0" t="s">
        <v>18</v>
      </c>
    </row>
    <row r="12601">
      <c r="A12601" s="5" t="s">
        <v>19</v>
      </c>
      <c r="B12601" s="5" t="s">
        <v>20</v>
      </c>
      <c r="C12601" s="7" t="s">
        <v>21</v>
      </c>
      <c r="D12601" s="9"/>
      <c r="E12601" s="7" t="s">
        <v>22</v>
      </c>
      <c r="F12601" s="9"/>
      <c r="G12601" s="5" t="s">
        <v>23</v>
      </c>
      <c r="H12601" s="5" t="s">
        <v>24</v>
      </c>
      <c r="I12601" s="5" t="s">
        <v>429</v>
      </c>
      <c r="J12601" s="5" t="s">
        <v>26</v>
      </c>
    </row>
    <row r="12602">
      <c r="A12602" s="6"/>
      <c r="B12602" s="6"/>
      <c r="C12602" s="8" t="s">
        <v>27</v>
      </c>
      <c r="D12602" s="8" t="s">
        <v>28</v>
      </c>
      <c r="E12602" s="8" t="s">
        <v>27</v>
      </c>
      <c r="F12602" s="8" t="s">
        <v>28</v>
      </c>
      <c r="G12602" s="6"/>
      <c r="H12602" s="6"/>
      <c r="I12602" s="10" t="s">
        <v>29</v>
      </c>
      <c r="J12602" s="6"/>
    </row>
    <row r="12603">
      <c r="A12603" s="11" t="s">
        <v>30</v>
      </c>
      <c r="B12603" s="12">
        <v>1088.0962</v>
      </c>
      <c r="C12603" s="12">
        <v>0</v>
      </c>
      <c r="D12603" s="13">
        <v>0</v>
      </c>
      <c r="E12603" s="12">
        <v>0</v>
      </c>
      <c r="F12603" s="14">
        <v>0</v>
      </c>
      <c r="G12603" s="13">
        <v>50000000</v>
      </c>
      <c r="H12603" s="14">
        <v>54404810000</v>
      </c>
      <c r="I12603" s="14" t="e">
        <f>=Round(114577.89340000,0)</f>
        <v>#VALUE!</v>
      </c>
      <c r="J12603" s="14" t="e">
        <f>=Round(0.00000000,0)</f>
        <v>#VALUE!</v>
      </c>
    </row>
    <row r="12604">
      <c r="A12604" s="11" t="s">
        <v>31</v>
      </c>
      <c r="B12604" s="12">
        <v>1085.3686</v>
      </c>
      <c r="C12604" s="12">
        <v>0</v>
      </c>
      <c r="D12604" s="13">
        <v>0</v>
      </c>
      <c r="E12604" s="12">
        <v>0</v>
      </c>
      <c r="F12604" s="14">
        <v>0</v>
      </c>
      <c r="G12604" s="13">
        <v>50000000</v>
      </c>
      <c r="H12604" s="14">
        <v>54268430000</v>
      </c>
      <c r="I12604" s="14" t="e">
        <f>=Round(114458.20680000,0)</f>
        <v>#VALUE!</v>
      </c>
      <c r="J12604" s="14" t="e">
        <f>=Round(0.00000000,0)</f>
        <v>#VALUE!</v>
      </c>
    </row>
    <row r="12605">
      <c r="A12605" s="11" t="s">
        <v>32</v>
      </c>
      <c r="B12605" s="12">
        <v>1089.8064</v>
      </c>
      <c r="C12605" s="12">
        <v>0</v>
      </c>
      <c r="D12605" s="13">
        <v>0</v>
      </c>
      <c r="E12605" s="12">
        <v>0</v>
      </c>
      <c r="F12605" s="14">
        <v>0</v>
      </c>
      <c r="G12605" s="13">
        <v>50000000</v>
      </c>
      <c r="H12605" s="14">
        <v>54490320000</v>
      </c>
      <c r="I12605" s="14" t="e">
        <f>=Round(114171.28720000,0)</f>
        <v>#VALUE!</v>
      </c>
      <c r="J12605" s="14" t="e">
        <f>=Round(0.00000000,0)</f>
        <v>#VALUE!</v>
      </c>
    </row>
    <row r="12606">
      <c r="A12606" s="11" t="s">
        <v>33</v>
      </c>
      <c r="B12606" s="12">
        <v>1091.0108</v>
      </c>
      <c r="C12606" s="12">
        <v>0</v>
      </c>
      <c r="D12606" s="13">
        <v>0</v>
      </c>
      <c r="E12606" s="12">
        <v>0</v>
      </c>
      <c r="F12606" s="14">
        <v>0</v>
      </c>
      <c r="G12606" s="13">
        <v>50000000</v>
      </c>
      <c r="H12606" s="14">
        <v>54550540000</v>
      </c>
      <c r="I12606" s="14" t="e">
        <f>=Round(114638.10490000,0)</f>
        <v>#VALUE!</v>
      </c>
      <c r="J12606" s="14" t="e">
        <f>=Round(0.00000000,0)</f>
        <v>#VALUE!</v>
      </c>
    </row>
    <row r="12607">
      <c r="A12607" s="11" t="s">
        <v>34</v>
      </c>
      <c r="B12607" s="12">
        <v>1091.5522</v>
      </c>
      <c r="C12607" s="12">
        <v>0</v>
      </c>
      <c r="D12607" s="13">
        <v>0</v>
      </c>
      <c r="E12607" s="12">
        <v>0</v>
      </c>
      <c r="F12607" s="14">
        <v>0</v>
      </c>
      <c r="G12607" s="13">
        <v>50000000</v>
      </c>
      <c r="H12607" s="14">
        <v>54577610000</v>
      </c>
      <c r="I12607" s="14" t="e">
        <f>=Round(114764.79730000,0)</f>
        <v>#VALUE!</v>
      </c>
      <c r="J12607" s="14" t="e">
        <f>=Round(0.00000000,0)</f>
        <v>#VALUE!</v>
      </c>
    </row>
    <row r="12608">
      <c r="A12608" s="11" t="s">
        <v>35</v>
      </c>
      <c r="B12608" s="12">
        <v>1091.5522</v>
      </c>
      <c r="C12608" s="12">
        <v>0</v>
      </c>
      <c r="D12608" s="13">
        <v>0</v>
      </c>
      <c r="E12608" s="12">
        <v>0</v>
      </c>
      <c r="F12608" s="14">
        <v>0</v>
      </c>
      <c r="G12608" s="13">
        <v>50000000</v>
      </c>
      <c r="H12608" s="14">
        <v>54577610000</v>
      </c>
      <c r="I12608" s="14" t="e">
        <f>=Round(114821.74780000,0)</f>
        <v>#VALUE!</v>
      </c>
      <c r="J12608" s="14" t="e">
        <f>=Round(0.00000000,0)</f>
        <v>#VALUE!</v>
      </c>
    </row>
    <row r="12609">
      <c r="A12609" s="11" t="s">
        <v>36</v>
      </c>
      <c r="B12609" s="12">
        <v>1091.5522</v>
      </c>
      <c r="C12609" s="12">
        <v>0</v>
      </c>
      <c r="D12609" s="13">
        <v>0</v>
      </c>
      <c r="E12609" s="12">
        <v>0</v>
      </c>
      <c r="F12609" s="14">
        <v>0</v>
      </c>
      <c r="G12609" s="13">
        <v>50000000</v>
      </c>
      <c r="H12609" s="14">
        <v>54577610000</v>
      </c>
      <c r="I12609" s="14" t="e">
        <f>=Round(114821.74780000,0)</f>
        <v>#VALUE!</v>
      </c>
      <c r="J12609" s="14" t="e">
        <f>=Round(0.00000000,0)</f>
        <v>#VALUE!</v>
      </c>
    </row>
    <row r="12610">
      <c r="A12610" s="11" t="s">
        <v>37</v>
      </c>
      <c r="B12610" s="12">
        <v>1092.9061</v>
      </c>
      <c r="C12610" s="12">
        <v>0</v>
      </c>
      <c r="D12610" s="13">
        <v>0</v>
      </c>
      <c r="E12610" s="12">
        <v>0</v>
      </c>
      <c r="F12610" s="14">
        <v>0</v>
      </c>
      <c r="G12610" s="13">
        <v>50000000</v>
      </c>
      <c r="H12610" s="14">
        <v>54645305000</v>
      </c>
      <c r="I12610" s="14" t="e">
        <f>=Round(114821.74780000,0)</f>
        <v>#VALUE!</v>
      </c>
      <c r="J12610" s="14" t="e">
        <f>=Round(0.00000000,0)</f>
        <v>#VALUE!</v>
      </c>
    </row>
    <row r="12611">
      <c r="A12611" s="11" t="s">
        <v>38</v>
      </c>
      <c r="B12611" s="12">
        <v>1092.6909</v>
      </c>
      <c r="C12611" s="12">
        <v>0</v>
      </c>
      <c r="D12611" s="13">
        <v>0</v>
      </c>
      <c r="E12611" s="12">
        <v>0</v>
      </c>
      <c r="F12611" s="14">
        <v>0</v>
      </c>
      <c r="G12611" s="13">
        <v>50000000</v>
      </c>
      <c r="H12611" s="14">
        <v>54634545000</v>
      </c>
      <c r="I12611" s="14" t="e">
        <f>=Round(114964.16630000,0)</f>
        <v>#VALUE!</v>
      </c>
      <c r="J12611" s="14" t="e">
        <f>=Round(0.00000000,0)</f>
        <v>#VALUE!</v>
      </c>
    </row>
    <row r="12612">
      <c r="A12612" s="11" t="s">
        <v>39</v>
      </c>
      <c r="B12612" s="12">
        <v>1093.0266</v>
      </c>
      <c r="C12612" s="12">
        <v>0</v>
      </c>
      <c r="D12612" s="13">
        <v>0</v>
      </c>
      <c r="E12612" s="12">
        <v>0</v>
      </c>
      <c r="F12612" s="14">
        <v>0</v>
      </c>
      <c r="G12612" s="13">
        <v>50000000</v>
      </c>
      <c r="H12612" s="14">
        <v>54651330000</v>
      </c>
      <c r="I12612" s="14" t="e">
        <f>=Round(114941.52910000,0)</f>
        <v>#VALUE!</v>
      </c>
      <c r="J12612" s="14" t="e">
        <f>=Round(0.00000000,0)</f>
        <v>#VALUE!</v>
      </c>
    </row>
    <row r="12613">
      <c r="A12613" s="11" t="s">
        <v>40</v>
      </c>
      <c r="B12613" s="12">
        <v>1094.0023</v>
      </c>
      <c r="C12613" s="12">
        <v>0</v>
      </c>
      <c r="D12613" s="13">
        <v>0</v>
      </c>
      <c r="E12613" s="12">
        <v>0</v>
      </c>
      <c r="F12613" s="14">
        <v>0</v>
      </c>
      <c r="G12613" s="13">
        <v>50000000</v>
      </c>
      <c r="H12613" s="14">
        <v>54700115000</v>
      </c>
      <c r="I12613" s="14" t="e">
        <f>=Round(114976.84180000,0)</f>
        <v>#VALUE!</v>
      </c>
      <c r="J12613" s="14" t="e">
        <f>=Round(0.00000000,0)</f>
        <v>#VALUE!</v>
      </c>
    </row>
    <row r="12614">
      <c r="A12614" s="11" t="s">
        <v>41</v>
      </c>
      <c r="B12614" s="12">
        <v>1095.0367</v>
      </c>
      <c r="C12614" s="12">
        <v>0</v>
      </c>
      <c r="D12614" s="13">
        <v>0</v>
      </c>
      <c r="E12614" s="12">
        <v>0</v>
      </c>
      <c r="F12614" s="14">
        <v>0</v>
      </c>
      <c r="G12614" s="13">
        <v>50000000</v>
      </c>
      <c r="H12614" s="14">
        <v>54751835000</v>
      </c>
      <c r="I12614" s="14" t="e">
        <f>=Round(115079.47690000,0)</f>
        <v>#VALUE!</v>
      </c>
      <c r="J12614" s="14" t="e">
        <f>=Round(0.00000000,0)</f>
        <v>#VALUE!</v>
      </c>
    </row>
    <row r="12615">
      <c r="A12615" s="11" t="s">
        <v>42</v>
      </c>
      <c r="B12615" s="12">
        <v>1095.0367</v>
      </c>
      <c r="C12615" s="12">
        <v>0</v>
      </c>
      <c r="D12615" s="13">
        <v>0</v>
      </c>
      <c r="E12615" s="12">
        <v>0</v>
      </c>
      <c r="F12615" s="14">
        <v>0</v>
      </c>
      <c r="G12615" s="13">
        <v>50000000</v>
      </c>
      <c r="H12615" s="14">
        <v>54751835000</v>
      </c>
      <c r="I12615" s="14" t="e">
        <f>=Round(115188.28670000,0)</f>
        <v>#VALUE!</v>
      </c>
      <c r="J12615" s="14" t="e">
        <f>=Round(0.00000000,0)</f>
        <v>#VALUE!</v>
      </c>
    </row>
    <row r="12616">
      <c r="A12616" s="11" t="s">
        <v>43</v>
      </c>
      <c r="B12616" s="12">
        <v>1095.0367</v>
      </c>
      <c r="C12616" s="12">
        <v>0</v>
      </c>
      <c r="D12616" s="13">
        <v>0</v>
      </c>
      <c r="E12616" s="12">
        <v>0</v>
      </c>
      <c r="F12616" s="14">
        <v>0</v>
      </c>
      <c r="G12616" s="13">
        <v>50000000</v>
      </c>
      <c r="H12616" s="14">
        <v>54751835000</v>
      </c>
      <c r="I12616" s="14" t="e">
        <f>=Round(115188.28670000,0)</f>
        <v>#VALUE!</v>
      </c>
      <c r="J12616" s="14" t="e">
        <f>=Round(0.00000000,0)</f>
        <v>#VALUE!</v>
      </c>
    </row>
    <row r="12617">
      <c r="A12617" s="11" t="s">
        <v>44</v>
      </c>
      <c r="B12617" s="12">
        <v>1095.5813</v>
      </c>
      <c r="C12617" s="12">
        <v>0</v>
      </c>
      <c r="D12617" s="13">
        <v>0</v>
      </c>
      <c r="E12617" s="12">
        <v>0</v>
      </c>
      <c r="F12617" s="14">
        <v>0</v>
      </c>
      <c r="G12617" s="13">
        <v>50000000</v>
      </c>
      <c r="H12617" s="14">
        <v>54779065000</v>
      </c>
      <c r="I12617" s="14" t="e">
        <f>=Round(115188.28670000,0)</f>
        <v>#VALUE!</v>
      </c>
      <c r="J12617" s="14" t="e">
        <f>=Round(0.00000000,0)</f>
        <v>#VALUE!</v>
      </c>
    </row>
    <row r="12618">
      <c r="A12618" s="11" t="s">
        <v>45</v>
      </c>
      <c r="B12618" s="12">
        <v>1096.2085</v>
      </c>
      <c r="C12618" s="12">
        <v>0</v>
      </c>
      <c r="D12618" s="13">
        <v>0</v>
      </c>
      <c r="E12618" s="12">
        <v>0</v>
      </c>
      <c r="F12618" s="14">
        <v>0</v>
      </c>
      <c r="G12618" s="13">
        <v>50000000</v>
      </c>
      <c r="H12618" s="14">
        <v>54810425000</v>
      </c>
      <c r="I12618" s="14" t="e">
        <f>=Round(115245.57390000,0)</f>
        <v>#VALUE!</v>
      </c>
      <c r="J12618" s="14" t="e">
        <f>=Round(0.00000000,0)</f>
        <v>#VALUE!</v>
      </c>
    </row>
    <row r="12619">
      <c r="A12619" s="11" t="s">
        <v>46</v>
      </c>
      <c r="B12619" s="12">
        <v>1097.0176</v>
      </c>
      <c r="C12619" s="12">
        <v>0</v>
      </c>
      <c r="D12619" s="13">
        <v>0</v>
      </c>
      <c r="E12619" s="12">
        <v>0</v>
      </c>
      <c r="F12619" s="14">
        <v>0</v>
      </c>
      <c r="G12619" s="13">
        <v>50000000</v>
      </c>
      <c r="H12619" s="14">
        <v>54850880000</v>
      </c>
      <c r="I12619" s="14" t="e">
        <f>=Round(115311.54990000,0)</f>
        <v>#VALUE!</v>
      </c>
      <c r="J12619" s="14" t="e">
        <f>=Round(0.00000000,0)</f>
        <v>#VALUE!</v>
      </c>
    </row>
    <row r="12620">
      <c r="A12620" s="11" t="s">
        <v>47</v>
      </c>
      <c r="B12620" s="12">
        <v>1099.5208</v>
      </c>
      <c r="C12620" s="12">
        <v>0</v>
      </c>
      <c r="D12620" s="13">
        <v>0</v>
      </c>
      <c r="E12620" s="12">
        <v>0</v>
      </c>
      <c r="F12620" s="14">
        <v>0</v>
      </c>
      <c r="G12620" s="13">
        <v>50000000</v>
      </c>
      <c r="H12620" s="14">
        <v>54976040000</v>
      </c>
      <c r="I12620" s="14" t="e">
        <f>=Round(115396.66010000,0)</f>
        <v>#VALUE!</v>
      </c>
      <c r="J12620" s="14" t="e">
        <f>=Round(0.00000000,0)</f>
        <v>#VALUE!</v>
      </c>
    </row>
    <row r="12621">
      <c r="A12621" s="11" t="s">
        <v>48</v>
      </c>
      <c r="B12621" s="12">
        <v>1101.1153</v>
      </c>
      <c r="C12621" s="12">
        <v>0</v>
      </c>
      <c r="D12621" s="13">
        <v>0</v>
      </c>
      <c r="E12621" s="12">
        <v>0</v>
      </c>
      <c r="F12621" s="14">
        <v>0</v>
      </c>
      <c r="G12621" s="13">
        <v>50000000</v>
      </c>
      <c r="H12621" s="14">
        <v>55055765000</v>
      </c>
      <c r="I12621" s="14" t="e">
        <f>=Round(115659.97490000,0)</f>
        <v>#VALUE!</v>
      </c>
      <c r="J12621" s="14" t="e">
        <f>=Round(0.00000000,0)</f>
        <v>#VALUE!</v>
      </c>
    </row>
    <row r="12622">
      <c r="A12622" s="11" t="s">
        <v>49</v>
      </c>
      <c r="B12622" s="12">
        <v>1101.1153</v>
      </c>
      <c r="C12622" s="12">
        <v>0</v>
      </c>
      <c r="D12622" s="13">
        <v>0</v>
      </c>
      <c r="E12622" s="12">
        <v>0</v>
      </c>
      <c r="F12622" s="14">
        <v>0</v>
      </c>
      <c r="G12622" s="13">
        <v>50000000</v>
      </c>
      <c r="H12622" s="14">
        <v>55055765000</v>
      </c>
      <c r="I12622" s="14" t="e">
        <f>=Round(115827.70230000,0)</f>
        <v>#VALUE!</v>
      </c>
      <c r="J12622" s="14" t="e">
        <f>=Round(0.00000000,0)</f>
        <v>#VALUE!</v>
      </c>
    </row>
    <row r="12623">
      <c r="A12623" s="11" t="s">
        <v>50</v>
      </c>
      <c r="B12623" s="12">
        <v>1101.1153</v>
      </c>
      <c r="C12623" s="12">
        <v>0</v>
      </c>
      <c r="D12623" s="13">
        <v>0</v>
      </c>
      <c r="E12623" s="12">
        <v>0</v>
      </c>
      <c r="F12623" s="14">
        <v>0</v>
      </c>
      <c r="G12623" s="13">
        <v>50000000</v>
      </c>
      <c r="H12623" s="14">
        <v>55055765000</v>
      </c>
      <c r="I12623" s="14" t="e">
        <f>=Round(115827.70230000,0)</f>
        <v>#VALUE!</v>
      </c>
      <c r="J12623" s="14" t="e">
        <f>=Round(0.00000000,0)</f>
        <v>#VALUE!</v>
      </c>
    </row>
    <row r="12624">
      <c r="A12624" s="11" t="s">
        <v>51</v>
      </c>
      <c r="B12624" s="12">
        <v>1103.0394</v>
      </c>
      <c r="C12624" s="12">
        <v>0</v>
      </c>
      <c r="D12624" s="13">
        <v>0</v>
      </c>
      <c r="E12624" s="12">
        <v>0</v>
      </c>
      <c r="F12624" s="14">
        <v>0</v>
      </c>
      <c r="G12624" s="13">
        <v>50000000</v>
      </c>
      <c r="H12624" s="14">
        <v>55151970000</v>
      </c>
      <c r="I12624" s="14" t="e">
        <f>=Round(115827.70230000,0)</f>
        <v>#VALUE!</v>
      </c>
      <c r="J12624" s="14" t="e">
        <f>=Round(0.00000000,0)</f>
        <v>#VALUE!</v>
      </c>
    </row>
    <row r="12625">
      <c r="A12625" s="11" t="s">
        <v>52</v>
      </c>
      <c r="B12625" s="12">
        <v>1101.8408</v>
      </c>
      <c r="C12625" s="12">
        <v>0</v>
      </c>
      <c r="D12625" s="13">
        <v>0</v>
      </c>
      <c r="E12625" s="12">
        <v>0</v>
      </c>
      <c r="F12625" s="14">
        <v>0</v>
      </c>
      <c r="G12625" s="13">
        <v>50000000</v>
      </c>
      <c r="H12625" s="14">
        <v>55092040000</v>
      </c>
      <c r="I12625" s="14" t="e">
        <f>=Round(116030.10080000,0)</f>
        <v>#VALUE!</v>
      </c>
      <c r="J12625" s="14" t="e">
        <f>=Round(0.00000000,0)</f>
        <v>#VALUE!</v>
      </c>
    </row>
    <row r="12626">
      <c r="A12626" s="11" t="s">
        <v>53</v>
      </c>
      <c r="B12626" s="12">
        <v>1102.6915</v>
      </c>
      <c r="C12626" s="12">
        <v>0</v>
      </c>
      <c r="D12626" s="13">
        <v>0</v>
      </c>
      <c r="E12626" s="12">
        <v>0</v>
      </c>
      <c r="F12626" s="14">
        <v>0</v>
      </c>
      <c r="G12626" s="13">
        <v>50000000</v>
      </c>
      <c r="H12626" s="14">
        <v>55134575000</v>
      </c>
      <c r="I12626" s="14" t="e">
        <f>=Round(115904.01860000,0)</f>
        <v>#VALUE!</v>
      </c>
      <c r="J12626" s="14" t="e">
        <f>=Round(0.00000000,0)</f>
        <v>#VALUE!</v>
      </c>
    </row>
    <row r="12627">
      <c r="A12627" s="11" t="s">
        <v>54</v>
      </c>
      <c r="B12627" s="12">
        <v>1100.1813</v>
      </c>
      <c r="C12627" s="12">
        <v>0</v>
      </c>
      <c r="D12627" s="13">
        <v>0</v>
      </c>
      <c r="E12627" s="12">
        <v>0</v>
      </c>
      <c r="F12627" s="14">
        <v>0</v>
      </c>
      <c r="G12627" s="13">
        <v>50000000</v>
      </c>
      <c r="H12627" s="14">
        <v>55009065000</v>
      </c>
      <c r="I12627" s="14" t="e">
        <f>=Round(115993.50480000,0)</f>
        <v>#VALUE!</v>
      </c>
      <c r="J12627" s="14" t="e">
        <f>=Round(0.00000000,0)</f>
        <v>#VALUE!</v>
      </c>
    </row>
    <row r="12628">
      <c r="A12628" s="11" t="s">
        <v>55</v>
      </c>
      <c r="B12628" s="12">
        <v>1094.6409</v>
      </c>
      <c r="C12628" s="12">
        <v>0</v>
      </c>
      <c r="D12628" s="13">
        <v>0</v>
      </c>
      <c r="E12628" s="12">
        <v>0</v>
      </c>
      <c r="F12628" s="14">
        <v>0</v>
      </c>
      <c r="G12628" s="13">
        <v>50000000</v>
      </c>
      <c r="H12628" s="14">
        <v>54732045000</v>
      </c>
      <c r="I12628" s="14" t="e">
        <f>=Round(115729.45370000,0)</f>
        <v>#VALUE!</v>
      </c>
      <c r="J12628" s="14" t="e">
        <f>=Round(0.00000000,0)</f>
        <v>#VALUE!</v>
      </c>
    </row>
    <row r="12629" ht="-1">
      <c r="A12629" s="15"/>
      <c r="B12629" s="16" t="s">
        <v>56</v>
      </c>
      <c r="C12629" s="15"/>
      <c r="D12629" s="15"/>
      <c r="E12629" s="15"/>
      <c r="F12629" s="15"/>
      <c r="G12629" s="15"/>
      <c r="H12629" s="15"/>
      <c r="I12629" s="17" t="e">
        <f>=Round(SUM(I12603:I12628),0)</f>
        <v>#VALUE!</v>
      </c>
      <c r="J12629" s="17" t="e">
        <f>=Round(SUM(J12603:J12628),0)</f>
        <v>#VALUE!</v>
      </c>
    </row>
    <row r="12630">
      <c r="A12630" s="1" t="s">
        <v>0</v>
      </c>
      <c r="B12630" s="1"/>
      <c r="C12630" s="1"/>
      <c r="D12630" s="1"/>
    </row>
    <row r="12631">
      <c r="A12631" s="0" t="s">
        <v>1</v>
      </c>
      <c r="C12631" s="0" t="s">
        <v>430</v>
      </c>
      <c r="H12631" s="2" t="s">
        <v>3</v>
      </c>
    </row>
    <row r="12632">
      <c r="A12632" s="0" t="s">
        <v>4</v>
      </c>
      <c r="C12632" s="0" t="s">
        <v>278</v>
      </c>
      <c r="H12632" s="3" t="s">
        <v>6</v>
      </c>
    </row>
    <row r="12633">
      <c r="A12633" s="0" t="s">
        <v>7</v>
      </c>
      <c r="C12633" s="4" t="s">
        <v>431</v>
      </c>
      <c r="H12633" s="2" t="s">
        <v>9</v>
      </c>
    </row>
    <row r="12634">
      <c r="A12634" s="0" t="s">
        <v>10</v>
      </c>
      <c r="C12634" s="4" t="s">
        <v>11</v>
      </c>
      <c r="H12634" s="2" t="s">
        <v>12</v>
      </c>
    </row>
    <row r="12635">
      <c r="A12635" s="0" t="s">
        <v>13</v>
      </c>
      <c r="C12635" s="0" t="s">
        <v>14</v>
      </c>
    </row>
    <row r="12636">
      <c r="A12636" s="0" t="s">
        <v>15</v>
      </c>
      <c r="C12636" s="0" t="s">
        <v>16</v>
      </c>
    </row>
    <row r="12637">
      <c r="A12637" s="0" t="s">
        <v>17</v>
      </c>
      <c r="C12637" s="0" t="s">
        <v>18</v>
      </c>
    </row>
    <row r="12640">
      <c r="A12640" s="5" t="s">
        <v>19</v>
      </c>
      <c r="B12640" s="5" t="s">
        <v>20</v>
      </c>
      <c r="C12640" s="7" t="s">
        <v>21</v>
      </c>
      <c r="D12640" s="9"/>
      <c r="E12640" s="7" t="s">
        <v>22</v>
      </c>
      <c r="F12640" s="9"/>
      <c r="G12640" s="5" t="s">
        <v>23</v>
      </c>
      <c r="H12640" s="5" t="s">
        <v>24</v>
      </c>
      <c r="I12640" s="5" t="s">
        <v>432</v>
      </c>
      <c r="J12640" s="5" t="s">
        <v>26</v>
      </c>
    </row>
    <row r="12641">
      <c r="A12641" s="6"/>
      <c r="B12641" s="6"/>
      <c r="C12641" s="8" t="s">
        <v>27</v>
      </c>
      <c r="D12641" s="8" t="s">
        <v>28</v>
      </c>
      <c r="E12641" s="8" t="s">
        <v>27</v>
      </c>
      <c r="F12641" s="8" t="s">
        <v>28</v>
      </c>
      <c r="G12641" s="6"/>
      <c r="H12641" s="6"/>
      <c r="I12641" s="10" t="s">
        <v>29</v>
      </c>
      <c r="J12641" s="6"/>
    </row>
    <row r="12642">
      <c r="A12642" s="11" t="s">
        <v>30</v>
      </c>
      <c r="B12642" s="12">
        <v>1035.9887</v>
      </c>
      <c r="C12642" s="12">
        <v>0</v>
      </c>
      <c r="D12642" s="13">
        <v>0</v>
      </c>
      <c r="E12642" s="12">
        <v>0</v>
      </c>
      <c r="F12642" s="14">
        <v>0</v>
      </c>
      <c r="G12642" s="13">
        <v>500000</v>
      </c>
      <c r="H12642" s="14">
        <v>517994350</v>
      </c>
      <c r="I12642" s="14" t="e">
        <f>=Round(7155.65020000,0)</f>
        <v>#VALUE!</v>
      </c>
      <c r="J12642" s="14" t="e">
        <f>=Round(0.00000000,0)</f>
        <v>#VALUE!</v>
      </c>
    </row>
    <row r="12643">
      <c r="A12643" s="11" t="s">
        <v>31</v>
      </c>
      <c r="B12643" s="12">
        <v>1036.2631</v>
      </c>
      <c r="C12643" s="12">
        <v>0</v>
      </c>
      <c r="D12643" s="13">
        <v>0</v>
      </c>
      <c r="E12643" s="12">
        <v>0</v>
      </c>
      <c r="F12643" s="14">
        <v>0</v>
      </c>
      <c r="G12643" s="13">
        <v>500000</v>
      </c>
      <c r="H12643" s="14">
        <v>518131550</v>
      </c>
      <c r="I12643" s="14" t="e">
        <f>=Round(7161.34270000,0)</f>
        <v>#VALUE!</v>
      </c>
      <c r="J12643" s="14" t="e">
        <f>=Round(0.00000000,0)</f>
        <v>#VALUE!</v>
      </c>
    </row>
    <row r="12644">
      <c r="A12644" s="11" t="s">
        <v>32</v>
      </c>
      <c r="B12644" s="12">
        <v>1036.5375</v>
      </c>
      <c r="C12644" s="12">
        <v>0</v>
      </c>
      <c r="D12644" s="13">
        <v>0</v>
      </c>
      <c r="E12644" s="12">
        <v>0</v>
      </c>
      <c r="F12644" s="14">
        <v>0</v>
      </c>
      <c r="G12644" s="13">
        <v>500000</v>
      </c>
      <c r="H12644" s="14">
        <v>518268750</v>
      </c>
      <c r="I12644" s="14" t="e">
        <f>=Round(7163.23950000,0)</f>
        <v>#VALUE!</v>
      </c>
      <c r="J12644" s="14" t="e">
        <f>=Round(0.00000000,0)</f>
        <v>#VALUE!</v>
      </c>
    </row>
    <row r="12645">
      <c r="A12645" s="11" t="s">
        <v>33</v>
      </c>
      <c r="B12645" s="12">
        <v>1036.812</v>
      </c>
      <c r="C12645" s="12">
        <v>0</v>
      </c>
      <c r="D12645" s="13">
        <v>0</v>
      </c>
      <c r="E12645" s="12">
        <v>0</v>
      </c>
      <c r="F12645" s="14">
        <v>0</v>
      </c>
      <c r="G12645" s="13">
        <v>500000</v>
      </c>
      <c r="H12645" s="14">
        <v>518406000</v>
      </c>
      <c r="I12645" s="14" t="e">
        <f>=Round(7165.13630000,0)</f>
        <v>#VALUE!</v>
      </c>
      <c r="J12645" s="14" t="e">
        <f>=Round(0.00000000,0)</f>
        <v>#VALUE!</v>
      </c>
    </row>
    <row r="12646">
      <c r="A12646" s="11" t="s">
        <v>34</v>
      </c>
      <c r="B12646" s="12">
        <v>1037.0864</v>
      </c>
      <c r="C12646" s="12">
        <v>0</v>
      </c>
      <c r="D12646" s="13">
        <v>0</v>
      </c>
      <c r="E12646" s="12">
        <v>0</v>
      </c>
      <c r="F12646" s="14">
        <v>0</v>
      </c>
      <c r="G12646" s="13">
        <v>500000</v>
      </c>
      <c r="H12646" s="14">
        <v>518543200</v>
      </c>
      <c r="I12646" s="14" t="e">
        <f>=Round(7167.03380000,0)</f>
        <v>#VALUE!</v>
      </c>
      <c r="J12646" s="14" t="e">
        <f>=Round(0.00000000,0)</f>
        <v>#VALUE!</v>
      </c>
    </row>
    <row r="12647">
      <c r="A12647" s="11" t="s">
        <v>35</v>
      </c>
      <c r="B12647" s="12">
        <v>1037.0864</v>
      </c>
      <c r="C12647" s="12">
        <v>0</v>
      </c>
      <c r="D12647" s="13">
        <v>0</v>
      </c>
      <c r="E12647" s="12">
        <v>0</v>
      </c>
      <c r="F12647" s="14">
        <v>0</v>
      </c>
      <c r="G12647" s="13">
        <v>500000</v>
      </c>
      <c r="H12647" s="14">
        <v>518543200</v>
      </c>
      <c r="I12647" s="14" t="e">
        <f>=Round(7168.93060000,0)</f>
        <v>#VALUE!</v>
      </c>
      <c r="J12647" s="14" t="e">
        <f>=Round(0.00000000,0)</f>
        <v>#VALUE!</v>
      </c>
    </row>
    <row r="12648">
      <c r="A12648" s="11" t="s">
        <v>36</v>
      </c>
      <c r="B12648" s="12">
        <v>1037.0864</v>
      </c>
      <c r="C12648" s="12">
        <v>0</v>
      </c>
      <c r="D12648" s="13">
        <v>0</v>
      </c>
      <c r="E12648" s="12">
        <v>0</v>
      </c>
      <c r="F12648" s="14">
        <v>0</v>
      </c>
      <c r="G12648" s="13">
        <v>500000</v>
      </c>
      <c r="H12648" s="14">
        <v>518543200</v>
      </c>
      <c r="I12648" s="14" t="e">
        <f>=Round(7168.93060000,0)</f>
        <v>#VALUE!</v>
      </c>
      <c r="J12648" s="14" t="e">
        <f>=Round(0.00000000,0)</f>
        <v>#VALUE!</v>
      </c>
    </row>
    <row r="12649">
      <c r="A12649" s="11" t="s">
        <v>37</v>
      </c>
      <c r="B12649" s="12">
        <v>1037.9098</v>
      </c>
      <c r="C12649" s="12">
        <v>0</v>
      </c>
      <c r="D12649" s="13">
        <v>0</v>
      </c>
      <c r="E12649" s="12">
        <v>0</v>
      </c>
      <c r="F12649" s="14">
        <v>0</v>
      </c>
      <c r="G12649" s="13">
        <v>500000</v>
      </c>
      <c r="H12649" s="14">
        <v>518954900</v>
      </c>
      <c r="I12649" s="14" t="e">
        <f>=Round(7168.93060000,0)</f>
        <v>#VALUE!</v>
      </c>
      <c r="J12649" s="14" t="e">
        <f>=Round(0.00000000,0)</f>
        <v>#VALUE!</v>
      </c>
    </row>
    <row r="12650">
      <c r="A12650" s="11" t="s">
        <v>38</v>
      </c>
      <c r="B12650" s="12">
        <v>1038.1843</v>
      </c>
      <c r="C12650" s="12">
        <v>0</v>
      </c>
      <c r="D12650" s="13">
        <v>0</v>
      </c>
      <c r="E12650" s="12">
        <v>0</v>
      </c>
      <c r="F12650" s="14">
        <v>0</v>
      </c>
      <c r="G12650" s="13">
        <v>500000</v>
      </c>
      <c r="H12650" s="14">
        <v>519092150</v>
      </c>
      <c r="I12650" s="14" t="e">
        <f>=Round(7174.62240000,0)</f>
        <v>#VALUE!</v>
      </c>
      <c r="J12650" s="14" t="e">
        <f>=Round(0.00000000,0)</f>
        <v>#VALUE!</v>
      </c>
    </row>
    <row r="12651">
      <c r="A12651" s="11" t="s">
        <v>39</v>
      </c>
      <c r="B12651" s="12">
        <v>1037.4635</v>
      </c>
      <c r="C12651" s="12">
        <v>0</v>
      </c>
      <c r="D12651" s="13">
        <v>0</v>
      </c>
      <c r="E12651" s="12">
        <v>0</v>
      </c>
      <c r="F12651" s="14">
        <v>0</v>
      </c>
      <c r="G12651" s="13">
        <v>500000</v>
      </c>
      <c r="H12651" s="14">
        <v>518731750</v>
      </c>
      <c r="I12651" s="14" t="e">
        <f>=Round(7176.51990000,0)</f>
        <v>#VALUE!</v>
      </c>
      <c r="J12651" s="14" t="e">
        <f>=Round(0.00000000,0)</f>
        <v>#VALUE!</v>
      </c>
    </row>
    <row r="12652">
      <c r="A12652" s="11" t="s">
        <v>40</v>
      </c>
      <c r="B12652" s="12">
        <v>1036.7427</v>
      </c>
      <c r="C12652" s="12">
        <v>0</v>
      </c>
      <c r="D12652" s="13">
        <v>0</v>
      </c>
      <c r="E12652" s="12">
        <v>0</v>
      </c>
      <c r="F12652" s="14">
        <v>0</v>
      </c>
      <c r="G12652" s="13">
        <v>500000</v>
      </c>
      <c r="H12652" s="14">
        <v>518371350</v>
      </c>
      <c r="I12652" s="14" t="e">
        <f>=Round(7171.53730000,0)</f>
        <v>#VALUE!</v>
      </c>
      <c r="J12652" s="14" t="e">
        <f>=Round(0.00000000,0)</f>
        <v>#VALUE!</v>
      </c>
    </row>
    <row r="12653">
      <c r="A12653" s="11" t="s">
        <v>41</v>
      </c>
      <c r="B12653" s="12">
        <v>1035.7532</v>
      </c>
      <c r="C12653" s="12">
        <v>0</v>
      </c>
      <c r="D12653" s="13">
        <v>0</v>
      </c>
      <c r="E12653" s="12">
        <v>0</v>
      </c>
      <c r="F12653" s="14">
        <v>0</v>
      </c>
      <c r="G12653" s="13">
        <v>500000</v>
      </c>
      <c r="H12653" s="14">
        <v>517876600</v>
      </c>
      <c r="I12653" s="14" t="e">
        <f>=Round(7166.55470000,0)</f>
        <v>#VALUE!</v>
      </c>
      <c r="J12653" s="14" t="e">
        <f>=Round(0.00000000,0)</f>
        <v>#VALUE!</v>
      </c>
    </row>
    <row r="12654">
      <c r="A12654" s="11" t="s">
        <v>42</v>
      </c>
      <c r="B12654" s="12">
        <v>1035.7532</v>
      </c>
      <c r="C12654" s="12">
        <v>0</v>
      </c>
      <c r="D12654" s="13">
        <v>0</v>
      </c>
      <c r="E12654" s="12">
        <v>0</v>
      </c>
      <c r="F12654" s="14">
        <v>0</v>
      </c>
      <c r="G12654" s="13">
        <v>500000</v>
      </c>
      <c r="H12654" s="14">
        <v>517876600</v>
      </c>
      <c r="I12654" s="14" t="e">
        <f>=Round(7159.71470000,0)</f>
        <v>#VALUE!</v>
      </c>
      <c r="J12654" s="14" t="e">
        <f>=Round(0.00000000,0)</f>
        <v>#VALUE!</v>
      </c>
    </row>
    <row r="12655">
      <c r="A12655" s="11" t="s">
        <v>43</v>
      </c>
      <c r="B12655" s="12">
        <v>1035.7532</v>
      </c>
      <c r="C12655" s="12">
        <v>0</v>
      </c>
      <c r="D12655" s="13">
        <v>0</v>
      </c>
      <c r="E12655" s="12">
        <v>0</v>
      </c>
      <c r="F12655" s="14">
        <v>0</v>
      </c>
      <c r="G12655" s="13">
        <v>500000</v>
      </c>
      <c r="H12655" s="14">
        <v>517876600</v>
      </c>
      <c r="I12655" s="14" t="e">
        <f>=Round(7159.71470000,0)</f>
        <v>#VALUE!</v>
      </c>
      <c r="J12655" s="14" t="e">
        <f>=Round(0.00000000,0)</f>
        <v>#VALUE!</v>
      </c>
    </row>
    <row r="12656">
      <c r="A12656" s="11" t="s">
        <v>44</v>
      </c>
      <c r="B12656" s="12">
        <v>1035.3098</v>
      </c>
      <c r="C12656" s="12">
        <v>0</v>
      </c>
      <c r="D12656" s="13">
        <v>0</v>
      </c>
      <c r="E12656" s="12">
        <v>0</v>
      </c>
      <c r="F12656" s="14">
        <v>0</v>
      </c>
      <c r="G12656" s="13">
        <v>500000</v>
      </c>
      <c r="H12656" s="14">
        <v>517654900</v>
      </c>
      <c r="I12656" s="14" t="e">
        <f>=Round(7159.71470000,0)</f>
        <v>#VALUE!</v>
      </c>
      <c r="J12656" s="14" t="e">
        <f>=Round(0.00000000,0)</f>
        <v>#VALUE!</v>
      </c>
    </row>
    <row r="12657">
      <c r="A12657" s="11" t="s">
        <v>45</v>
      </c>
      <c r="B12657" s="12">
        <v>1033.8346</v>
      </c>
      <c r="C12657" s="12">
        <v>0</v>
      </c>
      <c r="D12657" s="13">
        <v>0</v>
      </c>
      <c r="E12657" s="12">
        <v>0</v>
      </c>
      <c r="F12657" s="14">
        <v>0</v>
      </c>
      <c r="G12657" s="13">
        <v>500000</v>
      </c>
      <c r="H12657" s="14">
        <v>516917300</v>
      </c>
      <c r="I12657" s="14" t="e">
        <f>=Round(7156.64970000,0)</f>
        <v>#VALUE!</v>
      </c>
      <c r="J12657" s="14" t="e">
        <f>=Round(0.00000000,0)</f>
        <v>#VALUE!</v>
      </c>
    </row>
    <row r="12658">
      <c r="A12658" s="11" t="s">
        <v>46</v>
      </c>
      <c r="B12658" s="12">
        <v>1036.0399</v>
      </c>
      <c r="C12658" s="12">
        <v>0</v>
      </c>
      <c r="D12658" s="13">
        <v>0</v>
      </c>
      <c r="E12658" s="12">
        <v>0</v>
      </c>
      <c r="F12658" s="14">
        <v>0</v>
      </c>
      <c r="G12658" s="13">
        <v>500000</v>
      </c>
      <c r="H12658" s="14">
        <v>518019950</v>
      </c>
      <c r="I12658" s="14" t="e">
        <f>=Round(7146.45230000,0)</f>
        <v>#VALUE!</v>
      </c>
      <c r="J12658" s="14" t="e">
        <f>=Round(0.00000000,0)</f>
        <v>#VALUE!</v>
      </c>
    </row>
    <row r="12659">
      <c r="A12659" s="11" t="s">
        <v>47</v>
      </c>
      <c r="B12659" s="12">
        <v>1037.1932</v>
      </c>
      <c r="C12659" s="12">
        <v>0</v>
      </c>
      <c r="D12659" s="13">
        <v>0</v>
      </c>
      <c r="E12659" s="12">
        <v>0</v>
      </c>
      <c r="F12659" s="14">
        <v>0</v>
      </c>
      <c r="G12659" s="13">
        <v>500000</v>
      </c>
      <c r="H12659" s="14">
        <v>518596600</v>
      </c>
      <c r="I12659" s="14" t="e">
        <f>=Round(7161.69660000,0)</f>
        <v>#VALUE!</v>
      </c>
      <c r="J12659" s="14" t="e">
        <f>=Round(0.00000000,0)</f>
        <v>#VALUE!</v>
      </c>
    </row>
    <row r="12660">
      <c r="A12660" s="11" t="s">
        <v>48</v>
      </c>
      <c r="B12660" s="12">
        <v>1037.9086</v>
      </c>
      <c r="C12660" s="12">
        <v>0</v>
      </c>
      <c r="D12660" s="13">
        <v>0</v>
      </c>
      <c r="E12660" s="12">
        <v>0</v>
      </c>
      <c r="F12660" s="14">
        <v>0</v>
      </c>
      <c r="G12660" s="13">
        <v>500000</v>
      </c>
      <c r="H12660" s="14">
        <v>518954300</v>
      </c>
      <c r="I12660" s="14" t="e">
        <f>=Round(7169.66880000,0)</f>
        <v>#VALUE!</v>
      </c>
      <c r="J12660" s="14" t="e">
        <f>=Round(0.00000000,0)</f>
        <v>#VALUE!</v>
      </c>
    </row>
    <row r="12661">
      <c r="A12661" s="11" t="s">
        <v>49</v>
      </c>
      <c r="B12661" s="12">
        <v>1037.9086</v>
      </c>
      <c r="C12661" s="12">
        <v>0</v>
      </c>
      <c r="D12661" s="13">
        <v>0</v>
      </c>
      <c r="E12661" s="12">
        <v>0</v>
      </c>
      <c r="F12661" s="14">
        <v>0</v>
      </c>
      <c r="G12661" s="13">
        <v>500000</v>
      </c>
      <c r="H12661" s="14">
        <v>518954300</v>
      </c>
      <c r="I12661" s="14" t="e">
        <f>=Round(7174.61410000,0)</f>
        <v>#VALUE!</v>
      </c>
      <c r="J12661" s="14" t="e">
        <f>=Round(0.00000000,0)</f>
        <v>#VALUE!</v>
      </c>
    </row>
    <row r="12662">
      <c r="A12662" s="11" t="s">
        <v>50</v>
      </c>
      <c r="B12662" s="12">
        <v>1037.9086</v>
      </c>
      <c r="C12662" s="12">
        <v>0</v>
      </c>
      <c r="D12662" s="13">
        <v>0</v>
      </c>
      <c r="E12662" s="12">
        <v>0</v>
      </c>
      <c r="F12662" s="14">
        <v>0</v>
      </c>
      <c r="G12662" s="13">
        <v>500000</v>
      </c>
      <c r="H12662" s="14">
        <v>518954300</v>
      </c>
      <c r="I12662" s="14" t="e">
        <f>=Round(7174.61410000,0)</f>
        <v>#VALUE!</v>
      </c>
      <c r="J12662" s="14" t="e">
        <f>=Round(0.00000000,0)</f>
        <v>#VALUE!</v>
      </c>
    </row>
    <row r="12663">
      <c r="A12663" s="11" t="s">
        <v>51</v>
      </c>
      <c r="B12663" s="12">
        <v>1014.2364</v>
      </c>
      <c r="C12663" s="12">
        <v>0</v>
      </c>
      <c r="D12663" s="13">
        <v>0</v>
      </c>
      <c r="E12663" s="12">
        <v>0</v>
      </c>
      <c r="F12663" s="14">
        <v>0</v>
      </c>
      <c r="G12663" s="13">
        <v>500000</v>
      </c>
      <c r="H12663" s="14">
        <v>507118200</v>
      </c>
      <c r="I12663" s="14" t="e">
        <f>=Round(7174.61410000,0)</f>
        <v>#VALUE!</v>
      </c>
      <c r="J12663" s="14" t="e">
        <f>=Round(0.00000000,0)</f>
        <v>#VALUE!</v>
      </c>
    </row>
    <row r="12664">
      <c r="A12664" s="11" t="s">
        <v>52</v>
      </c>
      <c r="B12664" s="12">
        <v>1014.5231</v>
      </c>
      <c r="C12664" s="12">
        <v>0</v>
      </c>
      <c r="D12664" s="13">
        <v>0</v>
      </c>
      <c r="E12664" s="12">
        <v>0</v>
      </c>
      <c r="F12664" s="14">
        <v>0</v>
      </c>
      <c r="G12664" s="13">
        <v>500000</v>
      </c>
      <c r="H12664" s="14">
        <v>507261550</v>
      </c>
      <c r="I12664" s="14" t="e">
        <f>=Round(7010.97840000,0)</f>
        <v>#VALUE!</v>
      </c>
      <c r="J12664" s="14" t="e">
        <f>=Round(0.00000000,0)</f>
        <v>#VALUE!</v>
      </c>
    </row>
    <row r="12665">
      <c r="A12665" s="11" t="s">
        <v>53</v>
      </c>
      <c r="B12665" s="12">
        <v>1014.9483</v>
      </c>
      <c r="C12665" s="12">
        <v>0</v>
      </c>
      <c r="D12665" s="13">
        <v>0</v>
      </c>
      <c r="E12665" s="12">
        <v>0</v>
      </c>
      <c r="F12665" s="14">
        <v>0</v>
      </c>
      <c r="G12665" s="13">
        <v>500000</v>
      </c>
      <c r="H12665" s="14">
        <v>507474150</v>
      </c>
      <c r="I12665" s="14" t="e">
        <f>=Round(7012.96020000,0)</f>
        <v>#VALUE!</v>
      </c>
      <c r="J12665" s="14" t="e">
        <f>=Round(0.00000000,0)</f>
        <v>#VALUE!</v>
      </c>
    </row>
    <row r="12666">
      <c r="A12666" s="11" t="s">
        <v>54</v>
      </c>
      <c r="B12666" s="12">
        <v>1015.1276</v>
      </c>
      <c r="C12666" s="12">
        <v>0</v>
      </c>
      <c r="D12666" s="13">
        <v>0</v>
      </c>
      <c r="E12666" s="12">
        <v>0</v>
      </c>
      <c r="F12666" s="14">
        <v>0</v>
      </c>
      <c r="G12666" s="13">
        <v>500000</v>
      </c>
      <c r="H12666" s="14">
        <v>507563800</v>
      </c>
      <c r="I12666" s="14" t="e">
        <f>=Round(7015.89950000,0)</f>
        <v>#VALUE!</v>
      </c>
      <c r="J12666" s="14" t="e">
        <f>=Round(0.00000000,0)</f>
        <v>#VALUE!</v>
      </c>
    </row>
    <row r="12667">
      <c r="A12667" s="11" t="s">
        <v>55</v>
      </c>
      <c r="B12667" s="12">
        <v>1014.1822</v>
      </c>
      <c r="C12667" s="12">
        <v>0</v>
      </c>
      <c r="D12667" s="13">
        <v>0</v>
      </c>
      <c r="E12667" s="12">
        <v>0</v>
      </c>
      <c r="F12667" s="14">
        <v>0</v>
      </c>
      <c r="G12667" s="13">
        <v>500000</v>
      </c>
      <c r="H12667" s="14">
        <v>507091100</v>
      </c>
      <c r="I12667" s="14" t="e">
        <f>=Round(7017.13890000,0)</f>
        <v>#VALUE!</v>
      </c>
      <c r="J12667" s="14" t="e">
        <f>=Round(0.00000000,0)</f>
        <v>#VALUE!</v>
      </c>
    </row>
    <row r="12668" ht="-1">
      <c r="A12668" s="15"/>
      <c r="B12668" s="16" t="s">
        <v>56</v>
      </c>
      <c r="C12668" s="15"/>
      <c r="D12668" s="15"/>
      <c r="E12668" s="15"/>
      <c r="F12668" s="15"/>
      <c r="G12668" s="15"/>
      <c r="H12668" s="15"/>
      <c r="I12668" s="17" t="e">
        <f>=Round(SUM(I12642:I12667),0)</f>
        <v>#VALUE!</v>
      </c>
      <c r="J12668" s="17" t="e">
        <f>=Round(SUM(J12642:J12667),0)</f>
        <v>#VALUE!</v>
      </c>
    </row>
    <row r="12669">
      <c r="A12669" s="1" t="s">
        <v>0</v>
      </c>
      <c r="B12669" s="1"/>
      <c r="C12669" s="1"/>
      <c r="D12669" s="1"/>
    </row>
    <row r="12670">
      <c r="A12670" s="0" t="s">
        <v>1</v>
      </c>
      <c r="C12670" s="0" t="s">
        <v>430</v>
      </c>
      <c r="H12670" s="2" t="s">
        <v>3</v>
      </c>
    </row>
    <row r="12671">
      <c r="A12671" s="0" t="s">
        <v>4</v>
      </c>
      <c r="C12671" s="0" t="s">
        <v>180</v>
      </c>
      <c r="H12671" s="3" t="s">
        <v>6</v>
      </c>
    </row>
    <row r="12672">
      <c r="A12672" s="0" t="s">
        <v>7</v>
      </c>
      <c r="C12672" s="4" t="s">
        <v>431</v>
      </c>
      <c r="H12672" s="2" t="s">
        <v>9</v>
      </c>
    </row>
    <row r="12673">
      <c r="A12673" s="0" t="s">
        <v>10</v>
      </c>
      <c r="C12673" s="4" t="s">
        <v>11</v>
      </c>
      <c r="H12673" s="2" t="s">
        <v>12</v>
      </c>
    </row>
    <row r="12674">
      <c r="A12674" s="0" t="s">
        <v>13</v>
      </c>
      <c r="C12674" s="0" t="s">
        <v>14</v>
      </c>
    </row>
    <row r="12675">
      <c r="A12675" s="0" t="s">
        <v>15</v>
      </c>
      <c r="C12675" s="0" t="s">
        <v>16</v>
      </c>
    </row>
    <row r="12676">
      <c r="A12676" s="0" t="s">
        <v>17</v>
      </c>
      <c r="C12676" s="0" t="s">
        <v>18</v>
      </c>
    </row>
    <row r="12679">
      <c r="A12679" s="5" t="s">
        <v>19</v>
      </c>
      <c r="B12679" s="5" t="s">
        <v>20</v>
      </c>
      <c r="C12679" s="7" t="s">
        <v>21</v>
      </c>
      <c r="D12679" s="9"/>
      <c r="E12679" s="7" t="s">
        <v>22</v>
      </c>
      <c r="F12679" s="9"/>
      <c r="G12679" s="5" t="s">
        <v>23</v>
      </c>
      <c r="H12679" s="5" t="s">
        <v>24</v>
      </c>
      <c r="I12679" s="5" t="s">
        <v>432</v>
      </c>
      <c r="J12679" s="5" t="s">
        <v>26</v>
      </c>
    </row>
    <row r="12680">
      <c r="A12680" s="6"/>
      <c r="B12680" s="6"/>
      <c r="C12680" s="8" t="s">
        <v>27</v>
      </c>
      <c r="D12680" s="8" t="s">
        <v>28</v>
      </c>
      <c r="E12680" s="8" t="s">
        <v>27</v>
      </c>
      <c r="F12680" s="8" t="s">
        <v>28</v>
      </c>
      <c r="G12680" s="6"/>
      <c r="H12680" s="6"/>
      <c r="I12680" s="10" t="s">
        <v>29</v>
      </c>
      <c r="J12680" s="6"/>
    </row>
    <row r="12681">
      <c r="A12681" s="11" t="s">
        <v>30</v>
      </c>
      <c r="B12681" s="12">
        <v>1035.9887</v>
      </c>
      <c r="C12681" s="12">
        <v>0</v>
      </c>
      <c r="D12681" s="13">
        <v>0</v>
      </c>
      <c r="E12681" s="12">
        <v>0</v>
      </c>
      <c r="F12681" s="14">
        <v>0</v>
      </c>
      <c r="G12681" s="13">
        <v>2000000</v>
      </c>
      <c r="H12681" s="14">
        <v>2071977400</v>
      </c>
      <c r="I12681" s="14" t="e">
        <f>=Round(28622.60060000,0)</f>
        <v>#VALUE!</v>
      </c>
      <c r="J12681" s="14" t="e">
        <f>=Round(0.00000000,0)</f>
        <v>#VALUE!</v>
      </c>
    </row>
    <row r="12682">
      <c r="A12682" s="11" t="s">
        <v>31</v>
      </c>
      <c r="B12682" s="12">
        <v>1036.2631</v>
      </c>
      <c r="C12682" s="12">
        <v>0</v>
      </c>
      <c r="D12682" s="13">
        <v>0</v>
      </c>
      <c r="E12682" s="12">
        <v>0</v>
      </c>
      <c r="F12682" s="14">
        <v>0</v>
      </c>
      <c r="G12682" s="13">
        <v>2000000</v>
      </c>
      <c r="H12682" s="14">
        <v>2072526200</v>
      </c>
      <c r="I12682" s="14" t="e">
        <f>=Round(28645.37060000,0)</f>
        <v>#VALUE!</v>
      </c>
      <c r="J12682" s="14" t="e">
        <f>=Round(0.00000000,0)</f>
        <v>#VALUE!</v>
      </c>
    </row>
    <row r="12683">
      <c r="A12683" s="11" t="s">
        <v>32</v>
      </c>
      <c r="B12683" s="12">
        <v>1036.5375</v>
      </c>
      <c r="C12683" s="12">
        <v>0</v>
      </c>
      <c r="D12683" s="13">
        <v>0</v>
      </c>
      <c r="E12683" s="12">
        <v>0</v>
      </c>
      <c r="F12683" s="14">
        <v>0</v>
      </c>
      <c r="G12683" s="13">
        <v>2000000</v>
      </c>
      <c r="H12683" s="14">
        <v>2073075000</v>
      </c>
      <c r="I12683" s="14" t="e">
        <f>=Round(28652.95780000,0)</f>
        <v>#VALUE!</v>
      </c>
      <c r="J12683" s="14" t="e">
        <f>=Round(0.00000000,0)</f>
        <v>#VALUE!</v>
      </c>
    </row>
    <row r="12684">
      <c r="A12684" s="11" t="s">
        <v>33</v>
      </c>
      <c r="B12684" s="12">
        <v>1036.812</v>
      </c>
      <c r="C12684" s="12">
        <v>0</v>
      </c>
      <c r="D12684" s="13">
        <v>0</v>
      </c>
      <c r="E12684" s="12">
        <v>0</v>
      </c>
      <c r="F12684" s="14">
        <v>0</v>
      </c>
      <c r="G12684" s="13">
        <v>2000000</v>
      </c>
      <c r="H12684" s="14">
        <v>2073624000</v>
      </c>
      <c r="I12684" s="14" t="e">
        <f>=Round(28660.54510000,0)</f>
        <v>#VALUE!</v>
      </c>
      <c r="J12684" s="14" t="e">
        <f>=Round(0.00000000,0)</f>
        <v>#VALUE!</v>
      </c>
    </row>
    <row r="12685">
      <c r="A12685" s="11" t="s">
        <v>34</v>
      </c>
      <c r="B12685" s="12">
        <v>1037.0864</v>
      </c>
      <c r="C12685" s="12">
        <v>0</v>
      </c>
      <c r="D12685" s="13">
        <v>0</v>
      </c>
      <c r="E12685" s="12">
        <v>0</v>
      </c>
      <c r="F12685" s="14">
        <v>0</v>
      </c>
      <c r="G12685" s="13">
        <v>2000000</v>
      </c>
      <c r="H12685" s="14">
        <v>2074172800</v>
      </c>
      <c r="I12685" s="14" t="e">
        <f>=Round(28668.13510000,0)</f>
        <v>#VALUE!</v>
      </c>
      <c r="J12685" s="14" t="e">
        <f>=Round(0.00000000,0)</f>
        <v>#VALUE!</v>
      </c>
    </row>
    <row r="12686">
      <c r="A12686" s="11" t="s">
        <v>35</v>
      </c>
      <c r="B12686" s="12">
        <v>1037.0864</v>
      </c>
      <c r="C12686" s="12">
        <v>0</v>
      </c>
      <c r="D12686" s="13">
        <v>0</v>
      </c>
      <c r="E12686" s="12">
        <v>0</v>
      </c>
      <c r="F12686" s="14">
        <v>0</v>
      </c>
      <c r="G12686" s="13">
        <v>2000000</v>
      </c>
      <c r="H12686" s="14">
        <v>2074172800</v>
      </c>
      <c r="I12686" s="14" t="e">
        <f>=Round(28675.72230000,0)</f>
        <v>#VALUE!</v>
      </c>
      <c r="J12686" s="14" t="e">
        <f>=Round(0.00000000,0)</f>
        <v>#VALUE!</v>
      </c>
    </row>
    <row r="12687">
      <c r="A12687" s="11" t="s">
        <v>36</v>
      </c>
      <c r="B12687" s="12">
        <v>1037.0864</v>
      </c>
      <c r="C12687" s="12">
        <v>0</v>
      </c>
      <c r="D12687" s="13">
        <v>0</v>
      </c>
      <c r="E12687" s="12">
        <v>0</v>
      </c>
      <c r="F12687" s="14">
        <v>0</v>
      </c>
      <c r="G12687" s="13">
        <v>2000000</v>
      </c>
      <c r="H12687" s="14">
        <v>2074172800</v>
      </c>
      <c r="I12687" s="14" t="e">
        <f>=Round(28675.72230000,0)</f>
        <v>#VALUE!</v>
      </c>
      <c r="J12687" s="14" t="e">
        <f>=Round(0.00000000,0)</f>
        <v>#VALUE!</v>
      </c>
    </row>
    <row r="12688">
      <c r="A12688" s="11" t="s">
        <v>37</v>
      </c>
      <c r="B12688" s="12">
        <v>1037.9098</v>
      </c>
      <c r="C12688" s="12">
        <v>0</v>
      </c>
      <c r="D12688" s="13">
        <v>0</v>
      </c>
      <c r="E12688" s="12">
        <v>0</v>
      </c>
      <c r="F12688" s="14">
        <v>0</v>
      </c>
      <c r="G12688" s="13">
        <v>2000000</v>
      </c>
      <c r="H12688" s="14">
        <v>2075819600</v>
      </c>
      <c r="I12688" s="14" t="e">
        <f>=Round(28675.72230000,0)</f>
        <v>#VALUE!</v>
      </c>
      <c r="J12688" s="14" t="e">
        <f>=Round(0.00000000,0)</f>
        <v>#VALUE!</v>
      </c>
    </row>
    <row r="12689">
      <c r="A12689" s="11" t="s">
        <v>38</v>
      </c>
      <c r="B12689" s="12">
        <v>1038.1843</v>
      </c>
      <c r="C12689" s="12">
        <v>0</v>
      </c>
      <c r="D12689" s="13">
        <v>0</v>
      </c>
      <c r="E12689" s="12">
        <v>0</v>
      </c>
      <c r="F12689" s="14">
        <v>0</v>
      </c>
      <c r="G12689" s="13">
        <v>2000000</v>
      </c>
      <c r="H12689" s="14">
        <v>2076368600</v>
      </c>
      <c r="I12689" s="14" t="e">
        <f>=Round(28698.48960000,0)</f>
        <v>#VALUE!</v>
      </c>
      <c r="J12689" s="14" t="e">
        <f>=Round(0.00000000,0)</f>
        <v>#VALUE!</v>
      </c>
    </row>
    <row r="12690">
      <c r="A12690" s="11" t="s">
        <v>39</v>
      </c>
      <c r="B12690" s="12">
        <v>1037.4635</v>
      </c>
      <c r="C12690" s="12">
        <v>0</v>
      </c>
      <c r="D12690" s="13">
        <v>0</v>
      </c>
      <c r="E12690" s="12">
        <v>0</v>
      </c>
      <c r="F12690" s="14">
        <v>0</v>
      </c>
      <c r="G12690" s="13">
        <v>2000000</v>
      </c>
      <c r="H12690" s="14">
        <v>2074927000</v>
      </c>
      <c r="I12690" s="14" t="e">
        <f>=Round(28706.07960000,0)</f>
        <v>#VALUE!</v>
      </c>
      <c r="J12690" s="14" t="e">
        <f>=Round(0.00000000,0)</f>
        <v>#VALUE!</v>
      </c>
    </row>
    <row r="12691">
      <c r="A12691" s="11" t="s">
        <v>40</v>
      </c>
      <c r="B12691" s="12">
        <v>1036.7427</v>
      </c>
      <c r="C12691" s="12">
        <v>0</v>
      </c>
      <c r="D12691" s="13">
        <v>0</v>
      </c>
      <c r="E12691" s="12">
        <v>0</v>
      </c>
      <c r="F12691" s="14">
        <v>0</v>
      </c>
      <c r="G12691" s="13">
        <v>2000000</v>
      </c>
      <c r="H12691" s="14">
        <v>2073485400</v>
      </c>
      <c r="I12691" s="14" t="e">
        <f>=Round(28686.14920000,0)</f>
        <v>#VALUE!</v>
      </c>
      <c r="J12691" s="14" t="e">
        <f>=Round(0.00000000,0)</f>
        <v>#VALUE!</v>
      </c>
    </row>
    <row r="12692">
      <c r="A12692" s="11" t="s">
        <v>41</v>
      </c>
      <c r="B12692" s="12">
        <v>1035.7532</v>
      </c>
      <c r="C12692" s="12">
        <v>0</v>
      </c>
      <c r="D12692" s="13">
        <v>0</v>
      </c>
      <c r="E12692" s="12">
        <v>0</v>
      </c>
      <c r="F12692" s="14">
        <v>0</v>
      </c>
      <c r="G12692" s="13">
        <v>2000000</v>
      </c>
      <c r="H12692" s="14">
        <v>2071506400</v>
      </c>
      <c r="I12692" s="14" t="e">
        <f>=Round(28666.21890000,0)</f>
        <v>#VALUE!</v>
      </c>
      <c r="J12692" s="14" t="e">
        <f>=Round(0.00000000,0)</f>
        <v>#VALUE!</v>
      </c>
    </row>
    <row r="12693">
      <c r="A12693" s="11" t="s">
        <v>42</v>
      </c>
      <c r="B12693" s="12">
        <v>1035.7532</v>
      </c>
      <c r="C12693" s="12">
        <v>0</v>
      </c>
      <c r="D12693" s="13">
        <v>0</v>
      </c>
      <c r="E12693" s="12">
        <v>0</v>
      </c>
      <c r="F12693" s="14">
        <v>0</v>
      </c>
      <c r="G12693" s="13">
        <v>2000000</v>
      </c>
      <c r="H12693" s="14">
        <v>2071506400</v>
      </c>
      <c r="I12693" s="14" t="e">
        <f>=Round(28638.85900000,0)</f>
        <v>#VALUE!</v>
      </c>
      <c r="J12693" s="14" t="e">
        <f>=Round(0.00000000,0)</f>
        <v>#VALUE!</v>
      </c>
    </row>
    <row r="12694">
      <c r="A12694" s="11" t="s">
        <v>43</v>
      </c>
      <c r="B12694" s="12">
        <v>1035.7532</v>
      </c>
      <c r="C12694" s="12">
        <v>0</v>
      </c>
      <c r="D12694" s="13">
        <v>0</v>
      </c>
      <c r="E12694" s="12">
        <v>0</v>
      </c>
      <c r="F12694" s="14">
        <v>0</v>
      </c>
      <c r="G12694" s="13">
        <v>2000000</v>
      </c>
      <c r="H12694" s="14">
        <v>2071506400</v>
      </c>
      <c r="I12694" s="14" t="e">
        <f>=Round(28638.85900000,0)</f>
        <v>#VALUE!</v>
      </c>
      <c r="J12694" s="14" t="e">
        <f>=Round(0.00000000,0)</f>
        <v>#VALUE!</v>
      </c>
    </row>
    <row r="12695">
      <c r="A12695" s="11" t="s">
        <v>44</v>
      </c>
      <c r="B12695" s="12">
        <v>1035.3098</v>
      </c>
      <c r="C12695" s="12">
        <v>0</v>
      </c>
      <c r="D12695" s="13">
        <v>0</v>
      </c>
      <c r="E12695" s="12">
        <v>0</v>
      </c>
      <c r="F12695" s="14">
        <v>0</v>
      </c>
      <c r="G12695" s="13">
        <v>2000000</v>
      </c>
      <c r="H12695" s="14">
        <v>2070619600</v>
      </c>
      <c r="I12695" s="14" t="e">
        <f>=Round(28638.85900000,0)</f>
        <v>#VALUE!</v>
      </c>
      <c r="J12695" s="14" t="e">
        <f>=Round(0.00000000,0)</f>
        <v>#VALUE!</v>
      </c>
    </row>
    <row r="12696">
      <c r="A12696" s="11" t="s">
        <v>45</v>
      </c>
      <c r="B12696" s="12">
        <v>1033.8346</v>
      </c>
      <c r="C12696" s="12">
        <v>0</v>
      </c>
      <c r="D12696" s="13">
        <v>0</v>
      </c>
      <c r="E12696" s="12">
        <v>0</v>
      </c>
      <c r="F12696" s="14">
        <v>0</v>
      </c>
      <c r="G12696" s="13">
        <v>2000000</v>
      </c>
      <c r="H12696" s="14">
        <v>2067669200</v>
      </c>
      <c r="I12696" s="14" t="e">
        <f>=Round(28626.59880000,0)</f>
        <v>#VALUE!</v>
      </c>
      <c r="J12696" s="14" t="e">
        <f>=Round(0.00000000,0)</f>
        <v>#VALUE!</v>
      </c>
    </row>
    <row r="12697">
      <c r="A12697" s="11" t="s">
        <v>46</v>
      </c>
      <c r="B12697" s="12">
        <v>1036.0399</v>
      </c>
      <c r="C12697" s="12">
        <v>0</v>
      </c>
      <c r="D12697" s="13">
        <v>0</v>
      </c>
      <c r="E12697" s="12">
        <v>0</v>
      </c>
      <c r="F12697" s="14">
        <v>0</v>
      </c>
      <c r="G12697" s="13">
        <v>2000000</v>
      </c>
      <c r="H12697" s="14">
        <v>2072079800</v>
      </c>
      <c r="I12697" s="14" t="e">
        <f>=Round(28585.80920000,0)</f>
        <v>#VALUE!</v>
      </c>
      <c r="J12697" s="14" t="e">
        <f>=Round(0.00000000,0)</f>
        <v>#VALUE!</v>
      </c>
    </row>
    <row r="12698">
      <c r="A12698" s="11" t="s">
        <v>47</v>
      </c>
      <c r="B12698" s="12">
        <v>1037.1932</v>
      </c>
      <c r="C12698" s="12">
        <v>0</v>
      </c>
      <c r="D12698" s="13">
        <v>0</v>
      </c>
      <c r="E12698" s="12">
        <v>0</v>
      </c>
      <c r="F12698" s="14">
        <v>0</v>
      </c>
      <c r="G12698" s="13">
        <v>2000000</v>
      </c>
      <c r="H12698" s="14">
        <v>2074386400</v>
      </c>
      <c r="I12698" s="14" t="e">
        <f>=Round(28646.78630000,0)</f>
        <v>#VALUE!</v>
      </c>
      <c r="J12698" s="14" t="e">
        <f>=Round(0.00000000,0)</f>
        <v>#VALUE!</v>
      </c>
    </row>
    <row r="12699">
      <c r="A12699" s="11" t="s">
        <v>48</v>
      </c>
      <c r="B12699" s="12">
        <v>1037.9086</v>
      </c>
      <c r="C12699" s="12">
        <v>0</v>
      </c>
      <c r="D12699" s="13">
        <v>0</v>
      </c>
      <c r="E12699" s="12">
        <v>0</v>
      </c>
      <c r="F12699" s="14">
        <v>0</v>
      </c>
      <c r="G12699" s="13">
        <v>2000000</v>
      </c>
      <c r="H12699" s="14">
        <v>2075817200</v>
      </c>
      <c r="I12699" s="14" t="e">
        <f>=Round(28678.67540000,0)</f>
        <v>#VALUE!</v>
      </c>
      <c r="J12699" s="14" t="e">
        <f>=Round(0.00000000,0)</f>
        <v>#VALUE!</v>
      </c>
    </row>
    <row r="12700">
      <c r="A12700" s="11" t="s">
        <v>49</v>
      </c>
      <c r="B12700" s="12">
        <v>1037.9086</v>
      </c>
      <c r="C12700" s="12">
        <v>0</v>
      </c>
      <c r="D12700" s="13">
        <v>0</v>
      </c>
      <c r="E12700" s="12">
        <v>0</v>
      </c>
      <c r="F12700" s="14">
        <v>0</v>
      </c>
      <c r="G12700" s="13">
        <v>2000000</v>
      </c>
      <c r="H12700" s="14">
        <v>2075817200</v>
      </c>
      <c r="I12700" s="14" t="e">
        <f>=Round(28698.45640000,0)</f>
        <v>#VALUE!</v>
      </c>
      <c r="J12700" s="14" t="e">
        <f>=Round(0.00000000,0)</f>
        <v>#VALUE!</v>
      </c>
    </row>
    <row r="12701">
      <c r="A12701" s="11" t="s">
        <v>50</v>
      </c>
      <c r="B12701" s="12">
        <v>1037.9086</v>
      </c>
      <c r="C12701" s="12">
        <v>0</v>
      </c>
      <c r="D12701" s="13">
        <v>0</v>
      </c>
      <c r="E12701" s="12">
        <v>0</v>
      </c>
      <c r="F12701" s="14">
        <v>0</v>
      </c>
      <c r="G12701" s="13">
        <v>2000000</v>
      </c>
      <c r="H12701" s="14">
        <v>2075817200</v>
      </c>
      <c r="I12701" s="14" t="e">
        <f>=Round(28698.45640000,0)</f>
        <v>#VALUE!</v>
      </c>
      <c r="J12701" s="14" t="e">
        <f>=Round(0.00000000,0)</f>
        <v>#VALUE!</v>
      </c>
    </row>
    <row r="12702">
      <c r="A12702" s="11" t="s">
        <v>51</v>
      </c>
      <c r="B12702" s="12">
        <v>1014.2364</v>
      </c>
      <c r="C12702" s="12">
        <v>0</v>
      </c>
      <c r="D12702" s="13">
        <v>0</v>
      </c>
      <c r="E12702" s="12">
        <v>0</v>
      </c>
      <c r="F12702" s="14">
        <v>0</v>
      </c>
      <c r="G12702" s="13">
        <v>2000000</v>
      </c>
      <c r="H12702" s="14">
        <v>2028472800</v>
      </c>
      <c r="I12702" s="14" t="e">
        <f>=Round(28698.45640000,0)</f>
        <v>#VALUE!</v>
      </c>
      <c r="J12702" s="14" t="e">
        <f>=Round(0.00000000,0)</f>
        <v>#VALUE!</v>
      </c>
    </row>
    <row r="12703">
      <c r="A12703" s="11" t="s">
        <v>52</v>
      </c>
      <c r="B12703" s="12">
        <v>1014.5231</v>
      </c>
      <c r="C12703" s="12">
        <v>0</v>
      </c>
      <c r="D12703" s="13">
        <v>0</v>
      </c>
      <c r="E12703" s="12">
        <v>0</v>
      </c>
      <c r="F12703" s="14">
        <v>0</v>
      </c>
      <c r="G12703" s="13">
        <v>2000000</v>
      </c>
      <c r="H12703" s="14">
        <v>2029046200</v>
      </c>
      <c r="I12703" s="14" t="e">
        <f>=Round(28043.91360000,0)</f>
        <v>#VALUE!</v>
      </c>
      <c r="J12703" s="14" t="e">
        <f>=Round(0.00000000,0)</f>
        <v>#VALUE!</v>
      </c>
    </row>
    <row r="12704">
      <c r="A12704" s="11" t="s">
        <v>53</v>
      </c>
      <c r="B12704" s="12">
        <v>1014.9483</v>
      </c>
      <c r="C12704" s="12">
        <v>0</v>
      </c>
      <c r="D12704" s="13">
        <v>0</v>
      </c>
      <c r="E12704" s="12">
        <v>0</v>
      </c>
      <c r="F12704" s="14">
        <v>0</v>
      </c>
      <c r="G12704" s="13">
        <v>2000000</v>
      </c>
      <c r="H12704" s="14">
        <v>2029896600</v>
      </c>
      <c r="I12704" s="14" t="e">
        <f>=Round(28051.84090000,0)</f>
        <v>#VALUE!</v>
      </c>
      <c r="J12704" s="14" t="e">
        <f>=Round(0.00000000,0)</f>
        <v>#VALUE!</v>
      </c>
    </row>
    <row r="12705">
      <c r="A12705" s="11" t="s">
        <v>54</v>
      </c>
      <c r="B12705" s="12">
        <v>1015.1276</v>
      </c>
      <c r="C12705" s="12">
        <v>0</v>
      </c>
      <c r="D12705" s="13">
        <v>0</v>
      </c>
      <c r="E12705" s="12">
        <v>0</v>
      </c>
      <c r="F12705" s="14">
        <v>0</v>
      </c>
      <c r="G12705" s="13">
        <v>2000000</v>
      </c>
      <c r="H12705" s="14">
        <v>2030255200</v>
      </c>
      <c r="I12705" s="14" t="e">
        <f>=Round(28063.59780000,0)</f>
        <v>#VALUE!</v>
      </c>
      <c r="J12705" s="14" t="e">
        <f>=Round(0.00000000,0)</f>
        <v>#VALUE!</v>
      </c>
    </row>
    <row r="12706">
      <c r="A12706" s="11" t="s">
        <v>55</v>
      </c>
      <c r="B12706" s="12">
        <v>1014.1822</v>
      </c>
      <c r="C12706" s="12">
        <v>0</v>
      </c>
      <c r="D12706" s="13">
        <v>0</v>
      </c>
      <c r="E12706" s="12">
        <v>0</v>
      </c>
      <c r="F12706" s="14">
        <v>0</v>
      </c>
      <c r="G12706" s="13">
        <v>2000000</v>
      </c>
      <c r="H12706" s="14">
        <v>2028364400</v>
      </c>
      <c r="I12706" s="14" t="e">
        <f>=Round(28068.55550000,0)</f>
        <v>#VALUE!</v>
      </c>
      <c r="J12706" s="14" t="e">
        <f>=Round(0.00000000,0)</f>
        <v>#VALUE!</v>
      </c>
    </row>
    <row r="12707" ht="-1">
      <c r="A12707" s="15"/>
      <c r="B12707" s="16" t="s">
        <v>56</v>
      </c>
      <c r="C12707" s="15"/>
      <c r="D12707" s="15"/>
      <c r="E12707" s="15"/>
      <c r="F12707" s="15"/>
      <c r="G12707" s="15"/>
      <c r="H12707" s="15"/>
      <c r="I12707" s="17" t="e">
        <f>=Round(SUM(I12681:I12706),0)</f>
        <v>#VALUE!</v>
      </c>
      <c r="J12707" s="17" t="e">
        <f>=Round(SUM(J12681:J12706),0)</f>
        <v>#VALUE!</v>
      </c>
    </row>
    <row r="12708">
      <c r="A12708" s="1" t="s">
        <v>0</v>
      </c>
      <c r="B12708" s="1"/>
      <c r="C12708" s="1"/>
      <c r="D12708" s="1"/>
    </row>
    <row r="12709">
      <c r="A12709" s="0" t="s">
        <v>1</v>
      </c>
      <c r="C12709" s="0" t="s">
        <v>430</v>
      </c>
      <c r="H12709" s="2" t="s">
        <v>3</v>
      </c>
    </row>
    <row r="12710">
      <c r="A12710" s="0" t="s">
        <v>4</v>
      </c>
      <c r="C12710" s="0" t="s">
        <v>127</v>
      </c>
      <c r="H12710" s="3" t="s">
        <v>6</v>
      </c>
    </row>
    <row r="12711">
      <c r="A12711" s="0" t="s">
        <v>7</v>
      </c>
      <c r="C12711" s="4" t="s">
        <v>431</v>
      </c>
      <c r="H12711" s="2" t="s">
        <v>9</v>
      </c>
    </row>
    <row r="12712">
      <c r="A12712" s="0" t="s">
        <v>10</v>
      </c>
      <c r="C12712" s="4" t="s">
        <v>11</v>
      </c>
      <c r="H12712" s="2" t="s">
        <v>12</v>
      </c>
    </row>
    <row r="12713">
      <c r="A12713" s="0" t="s">
        <v>13</v>
      </c>
      <c r="C12713" s="0" t="s">
        <v>14</v>
      </c>
    </row>
    <row r="12714">
      <c r="A12714" s="0" t="s">
        <v>15</v>
      </c>
      <c r="C12714" s="0" t="s">
        <v>16</v>
      </c>
    </row>
    <row r="12715">
      <c r="A12715" s="0" t="s">
        <v>17</v>
      </c>
      <c r="C12715" s="0" t="s">
        <v>18</v>
      </c>
    </row>
    <row r="12718">
      <c r="A12718" s="5" t="s">
        <v>19</v>
      </c>
      <c r="B12718" s="5" t="s">
        <v>20</v>
      </c>
      <c r="C12718" s="7" t="s">
        <v>21</v>
      </c>
      <c r="D12718" s="9"/>
      <c r="E12718" s="7" t="s">
        <v>22</v>
      </c>
      <c r="F12718" s="9"/>
      <c r="G12718" s="5" t="s">
        <v>23</v>
      </c>
      <c r="H12718" s="5" t="s">
        <v>24</v>
      </c>
      <c r="I12718" s="5" t="s">
        <v>432</v>
      </c>
      <c r="J12718" s="5" t="s">
        <v>26</v>
      </c>
    </row>
    <row r="12719">
      <c r="A12719" s="6"/>
      <c r="B12719" s="6"/>
      <c r="C12719" s="8" t="s">
        <v>27</v>
      </c>
      <c r="D12719" s="8" t="s">
        <v>28</v>
      </c>
      <c r="E12719" s="8" t="s">
        <v>27</v>
      </c>
      <c r="F12719" s="8" t="s">
        <v>28</v>
      </c>
      <c r="G12719" s="6"/>
      <c r="H12719" s="6"/>
      <c r="I12719" s="10" t="s">
        <v>29</v>
      </c>
      <c r="J12719" s="6"/>
    </row>
    <row r="12720">
      <c r="A12720" s="11" t="s">
        <v>30</v>
      </c>
      <c r="B12720" s="12">
        <v>1035.9887</v>
      </c>
      <c r="C12720" s="12">
        <v>0</v>
      </c>
      <c r="D12720" s="13">
        <v>0</v>
      </c>
      <c r="E12720" s="12">
        <v>0</v>
      </c>
      <c r="F12720" s="14">
        <v>0</v>
      </c>
      <c r="G12720" s="13">
        <v>1326111.731</v>
      </c>
      <c r="H12720" s="14">
        <v>1373836768.25344</v>
      </c>
      <c r="I12720" s="14" t="e">
        <f>=Round(18978.38320000,0)</f>
        <v>#VALUE!</v>
      </c>
      <c r="J12720" s="14" t="e">
        <f>=Round(0.00000000,0)</f>
        <v>#VALUE!</v>
      </c>
    </row>
    <row r="12721">
      <c r="A12721" s="11" t="s">
        <v>31</v>
      </c>
      <c r="B12721" s="12">
        <v>1036.2631</v>
      </c>
      <c r="C12721" s="12">
        <v>0</v>
      </c>
      <c r="D12721" s="13">
        <v>0</v>
      </c>
      <c r="E12721" s="12">
        <v>0</v>
      </c>
      <c r="F12721" s="14">
        <v>0</v>
      </c>
      <c r="G12721" s="13">
        <v>1326111.731</v>
      </c>
      <c r="H12721" s="14">
        <v>1374200653.3124261</v>
      </c>
      <c r="I12721" s="14" t="e">
        <f>=Round(18993.48100000,0)</f>
        <v>#VALUE!</v>
      </c>
      <c r="J12721" s="14" t="e">
        <f>=Round(0.00000000,0)</f>
        <v>#VALUE!</v>
      </c>
    </row>
    <row r="12722">
      <c r="A12722" s="11" t="s">
        <v>32</v>
      </c>
      <c r="B12722" s="12">
        <v>1036.5375</v>
      </c>
      <c r="C12722" s="12">
        <v>0</v>
      </c>
      <c r="D12722" s="13">
        <v>0</v>
      </c>
      <c r="E12722" s="12">
        <v>0</v>
      </c>
      <c r="F12722" s="14">
        <v>0</v>
      </c>
      <c r="G12722" s="13">
        <v>1326111.731</v>
      </c>
      <c r="H12722" s="14">
        <v>1374564538.371413</v>
      </c>
      <c r="I12722" s="14" t="e">
        <f>=Round(18998.51180000,0)</f>
        <v>#VALUE!</v>
      </c>
      <c r="J12722" s="14" t="e">
        <f>=Round(0.00000000,0)</f>
        <v>#VALUE!</v>
      </c>
    </row>
    <row r="12723">
      <c r="A12723" s="11" t="s">
        <v>33</v>
      </c>
      <c r="B12723" s="12">
        <v>1036.812</v>
      </c>
      <c r="C12723" s="12">
        <v>0</v>
      </c>
      <c r="D12723" s="13">
        <v>0</v>
      </c>
      <c r="E12723" s="12">
        <v>0</v>
      </c>
      <c r="F12723" s="14">
        <v>0</v>
      </c>
      <c r="G12723" s="13">
        <v>1326111.731</v>
      </c>
      <c r="H12723" s="14">
        <v>1374928556.0415721</v>
      </c>
      <c r="I12723" s="14" t="e">
        <f>=Round(19003.54250000,0)</f>
        <v>#VALUE!</v>
      </c>
      <c r="J12723" s="14" t="e">
        <f>=Round(0.00000000,0)</f>
        <v>#VALUE!</v>
      </c>
    </row>
    <row r="12724">
      <c r="A12724" s="11" t="s">
        <v>34</v>
      </c>
      <c r="B12724" s="12">
        <v>1037.0864</v>
      </c>
      <c r="C12724" s="12">
        <v>0</v>
      </c>
      <c r="D12724" s="13">
        <v>0</v>
      </c>
      <c r="E12724" s="12">
        <v>0</v>
      </c>
      <c r="F12724" s="14">
        <v>0</v>
      </c>
      <c r="G12724" s="13">
        <v>1326111.731</v>
      </c>
      <c r="H12724" s="14">
        <v>1375292441.100558</v>
      </c>
      <c r="I12724" s="14" t="e">
        <f>=Round(19008.57510000,0)</f>
        <v>#VALUE!</v>
      </c>
      <c r="J12724" s="14" t="e">
        <f>=Round(0.00000000,0)</f>
        <v>#VALUE!</v>
      </c>
    </row>
    <row r="12725">
      <c r="A12725" s="11" t="s">
        <v>35</v>
      </c>
      <c r="B12725" s="12">
        <v>1037.0864</v>
      </c>
      <c r="C12725" s="12">
        <v>0</v>
      </c>
      <c r="D12725" s="13">
        <v>0</v>
      </c>
      <c r="E12725" s="12">
        <v>0</v>
      </c>
      <c r="F12725" s="14">
        <v>0</v>
      </c>
      <c r="G12725" s="13">
        <v>1326111.731</v>
      </c>
      <c r="H12725" s="14">
        <v>1375292441.100558</v>
      </c>
      <c r="I12725" s="14" t="e">
        <f>=Round(19013.60590000,0)</f>
        <v>#VALUE!</v>
      </c>
      <c r="J12725" s="14" t="e">
        <f>=Round(0.00000000,0)</f>
        <v>#VALUE!</v>
      </c>
    </row>
    <row r="12726">
      <c r="A12726" s="11" t="s">
        <v>36</v>
      </c>
      <c r="B12726" s="12">
        <v>1037.0864</v>
      </c>
      <c r="C12726" s="12">
        <v>0</v>
      </c>
      <c r="D12726" s="13">
        <v>0</v>
      </c>
      <c r="E12726" s="12">
        <v>0</v>
      </c>
      <c r="F12726" s="14">
        <v>0</v>
      </c>
      <c r="G12726" s="13">
        <v>1326111.731</v>
      </c>
      <c r="H12726" s="14">
        <v>1375292441.100558</v>
      </c>
      <c r="I12726" s="14" t="e">
        <f>=Round(19013.60590000,0)</f>
        <v>#VALUE!</v>
      </c>
      <c r="J12726" s="14" t="e">
        <f>=Round(0.00000000,0)</f>
        <v>#VALUE!</v>
      </c>
    </row>
    <row r="12727">
      <c r="A12727" s="11" t="s">
        <v>37</v>
      </c>
      <c r="B12727" s="12">
        <v>1037.9098</v>
      </c>
      <c r="C12727" s="12">
        <v>0</v>
      </c>
      <c r="D12727" s="13">
        <v>0</v>
      </c>
      <c r="E12727" s="12">
        <v>0</v>
      </c>
      <c r="F12727" s="14">
        <v>0</v>
      </c>
      <c r="G12727" s="13">
        <v>1326111.731</v>
      </c>
      <c r="H12727" s="14">
        <v>1376384361.4998641</v>
      </c>
      <c r="I12727" s="14" t="e">
        <f>=Round(19013.60590000,0)</f>
        <v>#VALUE!</v>
      </c>
      <c r="J12727" s="14" t="e">
        <f>=Round(0.00000000,0)</f>
        <v>#VALUE!</v>
      </c>
    </row>
    <row r="12728">
      <c r="A12728" s="11" t="s">
        <v>38</v>
      </c>
      <c r="B12728" s="12">
        <v>1038.1843</v>
      </c>
      <c r="C12728" s="12">
        <v>0</v>
      </c>
      <c r="D12728" s="13">
        <v>0</v>
      </c>
      <c r="E12728" s="12">
        <v>0</v>
      </c>
      <c r="F12728" s="14">
        <v>0</v>
      </c>
      <c r="G12728" s="13">
        <v>1326111.731</v>
      </c>
      <c r="H12728" s="14">
        <v>1376748379.170023</v>
      </c>
      <c r="I12728" s="14" t="e">
        <f>=Round(19028.70180000,0)</f>
        <v>#VALUE!</v>
      </c>
      <c r="J12728" s="14" t="e">
        <f>=Round(0.00000000,0)</f>
        <v>#VALUE!</v>
      </c>
    </row>
    <row r="12729">
      <c r="A12729" s="11" t="s">
        <v>39</v>
      </c>
      <c r="B12729" s="12">
        <v>1037.4635</v>
      </c>
      <c r="C12729" s="12">
        <v>0</v>
      </c>
      <c r="D12729" s="13">
        <v>0</v>
      </c>
      <c r="E12729" s="12">
        <v>0</v>
      </c>
      <c r="F12729" s="14">
        <v>0</v>
      </c>
      <c r="G12729" s="13">
        <v>1326111.731</v>
      </c>
      <c r="H12729" s="14">
        <v>1375792517.8343191</v>
      </c>
      <c r="I12729" s="14" t="e">
        <f>=Round(19033.73440000,0)</f>
        <v>#VALUE!</v>
      </c>
      <c r="J12729" s="14" t="e">
        <f>=Round(0.00000000,0)</f>
        <v>#VALUE!</v>
      </c>
    </row>
    <row r="12730">
      <c r="A12730" s="11" t="s">
        <v>40</v>
      </c>
      <c r="B12730" s="12">
        <v>1036.7427</v>
      </c>
      <c r="C12730" s="12">
        <v>0</v>
      </c>
      <c r="D12730" s="13">
        <v>0</v>
      </c>
      <c r="E12730" s="12">
        <v>0</v>
      </c>
      <c r="F12730" s="14">
        <v>0</v>
      </c>
      <c r="G12730" s="13">
        <v>1326111.731</v>
      </c>
      <c r="H12730" s="14">
        <v>1374836656.4986141</v>
      </c>
      <c r="I12730" s="14" t="e">
        <f>=Round(19020.51950000,0)</f>
        <v>#VALUE!</v>
      </c>
      <c r="J12730" s="14" t="e">
        <f>=Round(0.00000000,0)</f>
        <v>#VALUE!</v>
      </c>
    </row>
    <row r="12731">
      <c r="A12731" s="11" t="s">
        <v>41</v>
      </c>
      <c r="B12731" s="12">
        <v>1035.7532</v>
      </c>
      <c r="C12731" s="12">
        <v>0</v>
      </c>
      <c r="D12731" s="13">
        <v>0</v>
      </c>
      <c r="E12731" s="12">
        <v>0</v>
      </c>
      <c r="F12731" s="14">
        <v>0</v>
      </c>
      <c r="G12731" s="13">
        <v>1326111.731</v>
      </c>
      <c r="H12731" s="14">
        <v>1373524468.940789</v>
      </c>
      <c r="I12731" s="14" t="e">
        <f>=Round(19007.30460000,0)</f>
        <v>#VALUE!</v>
      </c>
      <c r="J12731" s="14" t="e">
        <f>=Round(0.00000000,0)</f>
        <v>#VALUE!</v>
      </c>
    </row>
    <row r="12732">
      <c r="A12732" s="11" t="s">
        <v>42</v>
      </c>
      <c r="B12732" s="12">
        <v>1035.7532</v>
      </c>
      <c r="C12732" s="12">
        <v>0</v>
      </c>
      <c r="D12732" s="13">
        <v>0</v>
      </c>
      <c r="E12732" s="12">
        <v>0</v>
      </c>
      <c r="F12732" s="14">
        <v>0</v>
      </c>
      <c r="G12732" s="13">
        <v>1326111.731</v>
      </c>
      <c r="H12732" s="14">
        <v>1373524468.940789</v>
      </c>
      <c r="I12732" s="14" t="e">
        <f>=Round(18989.16340000,0)</f>
        <v>#VALUE!</v>
      </c>
      <c r="J12732" s="14" t="e">
        <f>=Round(0.00000000,0)</f>
        <v>#VALUE!</v>
      </c>
    </row>
    <row r="12733">
      <c r="A12733" s="11" t="s">
        <v>43</v>
      </c>
      <c r="B12733" s="12">
        <v>1035.7532</v>
      </c>
      <c r="C12733" s="12">
        <v>0</v>
      </c>
      <c r="D12733" s="13">
        <v>0</v>
      </c>
      <c r="E12733" s="12">
        <v>0</v>
      </c>
      <c r="F12733" s="14">
        <v>0</v>
      </c>
      <c r="G12733" s="13">
        <v>1326111.731</v>
      </c>
      <c r="H12733" s="14">
        <v>1373524468.940789</v>
      </c>
      <c r="I12733" s="14" t="e">
        <f>=Round(18989.16340000,0)</f>
        <v>#VALUE!</v>
      </c>
      <c r="J12733" s="14" t="e">
        <f>=Round(0.00000000,0)</f>
        <v>#VALUE!</v>
      </c>
    </row>
    <row r="12734">
      <c r="A12734" s="11" t="s">
        <v>44</v>
      </c>
      <c r="B12734" s="12">
        <v>1035.3098</v>
      </c>
      <c r="C12734" s="12">
        <v>0</v>
      </c>
      <c r="D12734" s="13">
        <v>0</v>
      </c>
      <c r="E12734" s="12">
        <v>0</v>
      </c>
      <c r="F12734" s="14">
        <v>0</v>
      </c>
      <c r="G12734" s="13">
        <v>1326111.731</v>
      </c>
      <c r="H12734" s="14">
        <v>1372936470.999264</v>
      </c>
      <c r="I12734" s="14" t="e">
        <f>=Round(18989.16340000,0)</f>
        <v>#VALUE!</v>
      </c>
      <c r="J12734" s="14" t="e">
        <f>=Round(0.00000000,0)</f>
        <v>#VALUE!</v>
      </c>
    </row>
    <row r="12735">
      <c r="A12735" s="11" t="s">
        <v>45</v>
      </c>
      <c r="B12735" s="12">
        <v>1033.8346</v>
      </c>
      <c r="C12735" s="12">
        <v>0</v>
      </c>
      <c r="D12735" s="13">
        <v>0</v>
      </c>
      <c r="E12735" s="12">
        <v>0</v>
      </c>
      <c r="F12735" s="14">
        <v>0</v>
      </c>
      <c r="G12735" s="13">
        <v>1326111.731</v>
      </c>
      <c r="H12735" s="14">
        <v>1370980190.9736929</v>
      </c>
      <c r="I12735" s="14" t="e">
        <f>=Round(18981.03430000,0)</f>
        <v>#VALUE!</v>
      </c>
      <c r="J12735" s="14" t="e">
        <f>=Round(0.00000000,0)</f>
        <v>#VALUE!</v>
      </c>
    </row>
    <row r="12736">
      <c r="A12736" s="11" t="s">
        <v>46</v>
      </c>
      <c r="B12736" s="12">
        <v>1036.0399</v>
      </c>
      <c r="C12736" s="12">
        <v>0</v>
      </c>
      <c r="D12736" s="13">
        <v>0</v>
      </c>
      <c r="E12736" s="12">
        <v>0</v>
      </c>
      <c r="F12736" s="14">
        <v>0</v>
      </c>
      <c r="G12736" s="13">
        <v>1326111.731</v>
      </c>
      <c r="H12736" s="14">
        <v>1373904665.174067</v>
      </c>
      <c r="I12736" s="14" t="e">
        <f>=Round(18953.98840000,0)</f>
        <v>#VALUE!</v>
      </c>
      <c r="J12736" s="14" t="e">
        <f>=Round(0.00000000,0)</f>
        <v>#VALUE!</v>
      </c>
    </row>
    <row r="12737">
      <c r="A12737" s="11" t="s">
        <v>47</v>
      </c>
      <c r="B12737" s="12">
        <v>1037.1932</v>
      </c>
      <c r="C12737" s="12">
        <v>0</v>
      </c>
      <c r="D12737" s="13">
        <v>0</v>
      </c>
      <c r="E12737" s="12">
        <v>0</v>
      </c>
      <c r="F12737" s="14">
        <v>0</v>
      </c>
      <c r="G12737" s="13">
        <v>1326111.731</v>
      </c>
      <c r="H12737" s="14">
        <v>1375434069.8334291</v>
      </c>
      <c r="I12737" s="14" t="e">
        <f>=Round(18994.41970000,0)</f>
        <v>#VALUE!</v>
      </c>
      <c r="J12737" s="14" t="e">
        <f>=Round(0.00000000,0)</f>
        <v>#VALUE!</v>
      </c>
    </row>
    <row r="12738">
      <c r="A12738" s="11" t="s">
        <v>48</v>
      </c>
      <c r="B12738" s="12">
        <v>1037.9086</v>
      </c>
      <c r="C12738" s="12">
        <v>0</v>
      </c>
      <c r="D12738" s="13">
        <v>0</v>
      </c>
      <c r="E12738" s="12">
        <v>0</v>
      </c>
      <c r="F12738" s="14">
        <v>0</v>
      </c>
      <c r="G12738" s="13">
        <v>1326111.731</v>
      </c>
      <c r="H12738" s="14">
        <v>1376382770.165787</v>
      </c>
      <c r="I12738" s="14" t="e">
        <f>=Round(19015.56390000,0)</f>
        <v>#VALUE!</v>
      </c>
      <c r="J12738" s="14" t="e">
        <f>=Round(0.00000000,0)</f>
        <v>#VALUE!</v>
      </c>
    </row>
    <row r="12739">
      <c r="A12739" s="11" t="s">
        <v>49</v>
      </c>
      <c r="B12739" s="12">
        <v>1037.9086</v>
      </c>
      <c r="C12739" s="12">
        <v>0</v>
      </c>
      <c r="D12739" s="13">
        <v>0</v>
      </c>
      <c r="E12739" s="12">
        <v>0</v>
      </c>
      <c r="F12739" s="14">
        <v>0</v>
      </c>
      <c r="G12739" s="13">
        <v>1326111.731</v>
      </c>
      <c r="H12739" s="14">
        <v>1376382770.165787</v>
      </c>
      <c r="I12739" s="14" t="e">
        <f>=Round(19028.67980000,0)</f>
        <v>#VALUE!</v>
      </c>
      <c r="J12739" s="14" t="e">
        <f>=Round(0.00000000,0)</f>
        <v>#VALUE!</v>
      </c>
    </row>
    <row r="12740">
      <c r="A12740" s="11" t="s">
        <v>50</v>
      </c>
      <c r="B12740" s="12">
        <v>1037.9086</v>
      </c>
      <c r="C12740" s="12">
        <v>0</v>
      </c>
      <c r="D12740" s="13">
        <v>0</v>
      </c>
      <c r="E12740" s="12">
        <v>0</v>
      </c>
      <c r="F12740" s="14">
        <v>0</v>
      </c>
      <c r="G12740" s="13">
        <v>1326111.731</v>
      </c>
      <c r="H12740" s="14">
        <v>1376382770.165787</v>
      </c>
      <c r="I12740" s="14" t="e">
        <f>=Round(19028.67980000,0)</f>
        <v>#VALUE!</v>
      </c>
      <c r="J12740" s="14" t="e">
        <f>=Round(0.00000000,0)</f>
        <v>#VALUE!</v>
      </c>
    </row>
    <row r="12741">
      <c r="A12741" s="11" t="s">
        <v>51</v>
      </c>
      <c r="B12741" s="12">
        <v>1014.2364</v>
      </c>
      <c r="C12741" s="12">
        <v>0</v>
      </c>
      <c r="D12741" s="13">
        <v>0</v>
      </c>
      <c r="E12741" s="12">
        <v>0</v>
      </c>
      <c r="F12741" s="14">
        <v>0</v>
      </c>
      <c r="G12741" s="13">
        <v>1326111.731</v>
      </c>
      <c r="H12741" s="14">
        <v>1344990788.0472081</v>
      </c>
      <c r="I12741" s="14" t="e">
        <f>=Round(19028.67980000,0)</f>
        <v>#VALUE!</v>
      </c>
      <c r="J12741" s="14" t="e">
        <f>=Round(0.00000000,0)</f>
        <v>#VALUE!</v>
      </c>
    </row>
    <row r="12742">
      <c r="A12742" s="11" t="s">
        <v>52</v>
      </c>
      <c r="B12742" s="12">
        <v>1014.5231</v>
      </c>
      <c r="C12742" s="12">
        <v>0</v>
      </c>
      <c r="D12742" s="13">
        <v>0</v>
      </c>
      <c r="E12742" s="12">
        <v>0</v>
      </c>
      <c r="F12742" s="14">
        <v>0</v>
      </c>
      <c r="G12742" s="13">
        <v>1326111.731</v>
      </c>
      <c r="H12742" s="14">
        <v>1345370984.2804861</v>
      </c>
      <c r="I12742" s="14" t="e">
        <f>=Round(18594.68140000,0)</f>
        <v>#VALUE!</v>
      </c>
      <c r="J12742" s="14" t="e">
        <f>=Round(0.00000000,0)</f>
        <v>#VALUE!</v>
      </c>
    </row>
    <row r="12743">
      <c r="A12743" s="11" t="s">
        <v>53</v>
      </c>
      <c r="B12743" s="12">
        <v>1014.9483</v>
      </c>
      <c r="C12743" s="12">
        <v>0</v>
      </c>
      <c r="D12743" s="13">
        <v>0</v>
      </c>
      <c r="E12743" s="12">
        <v>0</v>
      </c>
      <c r="F12743" s="14">
        <v>0</v>
      </c>
      <c r="G12743" s="13">
        <v>1326111.731</v>
      </c>
      <c r="H12743" s="14">
        <v>1345934846.988507</v>
      </c>
      <c r="I12743" s="14" t="e">
        <f>=Round(18599.93770000,0)</f>
        <v>#VALUE!</v>
      </c>
      <c r="J12743" s="14" t="e">
        <f>=Round(0.00000000,0)</f>
        <v>#VALUE!</v>
      </c>
    </row>
    <row r="12744">
      <c r="A12744" s="11" t="s">
        <v>54</v>
      </c>
      <c r="B12744" s="12">
        <v>1015.1276</v>
      </c>
      <c r="C12744" s="12">
        <v>0</v>
      </c>
      <c r="D12744" s="13">
        <v>0</v>
      </c>
      <c r="E12744" s="12">
        <v>0</v>
      </c>
      <c r="F12744" s="14">
        <v>0</v>
      </c>
      <c r="G12744" s="13">
        <v>1326111.731</v>
      </c>
      <c r="H12744" s="14">
        <v>1346172618.8218761</v>
      </c>
      <c r="I12744" s="14" t="e">
        <f>=Round(18607.73310000,0)</f>
        <v>#VALUE!</v>
      </c>
      <c r="J12744" s="14" t="e">
        <f>=Round(0.00000000,0)</f>
        <v>#VALUE!</v>
      </c>
    </row>
    <row r="12745">
      <c r="A12745" s="11" t="s">
        <v>55</v>
      </c>
      <c r="B12745" s="12">
        <v>1014.1822</v>
      </c>
      <c r="C12745" s="12">
        <v>0</v>
      </c>
      <c r="D12745" s="13">
        <v>0</v>
      </c>
      <c r="E12745" s="12">
        <v>0</v>
      </c>
      <c r="F12745" s="14">
        <v>0</v>
      </c>
      <c r="G12745" s="13">
        <v>1326111.731</v>
      </c>
      <c r="H12745" s="14">
        <v>1344918912.791388</v>
      </c>
      <c r="I12745" s="14" t="e">
        <f>=Round(18611.02040000,0)</f>
        <v>#VALUE!</v>
      </c>
      <c r="J12745" s="14" t="e">
        <f>=Round(0.00000000,0)</f>
        <v>#VALUE!</v>
      </c>
    </row>
    <row r="12746" ht="-1">
      <c r="A12746" s="15"/>
      <c r="B12746" s="16" t="s">
        <v>56</v>
      </c>
      <c r="C12746" s="15"/>
      <c r="D12746" s="15"/>
      <c r="E12746" s="15"/>
      <c r="F12746" s="15"/>
      <c r="G12746" s="15"/>
      <c r="H12746" s="15"/>
      <c r="I12746" s="17" t="e">
        <f>=Round(SUM(I12720:I12745),0)</f>
        <v>#VALUE!</v>
      </c>
      <c r="J12746" s="17" t="e">
        <f>=Round(SUM(J12720:J12745),0)</f>
        <v>#VALUE!</v>
      </c>
    </row>
    <row r="12747">
      <c r="A12747" s="1" t="s">
        <v>0</v>
      </c>
      <c r="B12747" s="1"/>
      <c r="C12747" s="1"/>
      <c r="D12747" s="1"/>
    </row>
    <row r="12748">
      <c r="A12748" s="0" t="s">
        <v>1</v>
      </c>
      <c r="C12748" s="0" t="s">
        <v>430</v>
      </c>
      <c r="H12748" s="2" t="s">
        <v>3</v>
      </c>
    </row>
    <row r="12749">
      <c r="A12749" s="0" t="s">
        <v>4</v>
      </c>
      <c r="C12749" s="0" t="s">
        <v>132</v>
      </c>
      <c r="H12749" s="3" t="s">
        <v>6</v>
      </c>
    </row>
    <row r="12750">
      <c r="A12750" s="0" t="s">
        <v>7</v>
      </c>
      <c r="C12750" s="4" t="s">
        <v>431</v>
      </c>
      <c r="H12750" s="2" t="s">
        <v>9</v>
      </c>
    </row>
    <row r="12751">
      <c r="A12751" s="0" t="s">
        <v>10</v>
      </c>
      <c r="C12751" s="4" t="s">
        <v>11</v>
      </c>
      <c r="H12751" s="2" t="s">
        <v>12</v>
      </c>
    </row>
    <row r="12752">
      <c r="A12752" s="0" t="s">
        <v>13</v>
      </c>
      <c r="C12752" s="0" t="s">
        <v>14</v>
      </c>
    </row>
    <row r="12753">
      <c r="A12753" s="0" t="s">
        <v>15</v>
      </c>
      <c r="C12753" s="0" t="s">
        <v>16</v>
      </c>
    </row>
    <row r="12754">
      <c r="A12754" s="0" t="s">
        <v>17</v>
      </c>
      <c r="C12754" s="0" t="s">
        <v>18</v>
      </c>
    </row>
    <row r="12757">
      <c r="A12757" s="5" t="s">
        <v>19</v>
      </c>
      <c r="B12757" s="5" t="s">
        <v>20</v>
      </c>
      <c r="C12757" s="7" t="s">
        <v>21</v>
      </c>
      <c r="D12757" s="9"/>
      <c r="E12757" s="7" t="s">
        <v>22</v>
      </c>
      <c r="F12757" s="9"/>
      <c r="G12757" s="5" t="s">
        <v>23</v>
      </c>
      <c r="H12757" s="5" t="s">
        <v>24</v>
      </c>
      <c r="I12757" s="5" t="s">
        <v>432</v>
      </c>
      <c r="J12757" s="5" t="s">
        <v>26</v>
      </c>
    </row>
    <row r="12758">
      <c r="A12758" s="6"/>
      <c r="B12758" s="6"/>
      <c r="C12758" s="8" t="s">
        <v>27</v>
      </c>
      <c r="D12758" s="8" t="s">
        <v>28</v>
      </c>
      <c r="E12758" s="8" t="s">
        <v>27</v>
      </c>
      <c r="F12758" s="8" t="s">
        <v>28</v>
      </c>
      <c r="G12758" s="6"/>
      <c r="H12758" s="6"/>
      <c r="I12758" s="10" t="s">
        <v>29</v>
      </c>
      <c r="J12758" s="6"/>
    </row>
    <row r="12759">
      <c r="A12759" s="11" t="s">
        <v>30</v>
      </c>
      <c r="B12759" s="12">
        <v>1035.9887</v>
      </c>
      <c r="C12759" s="12">
        <v>0</v>
      </c>
      <c r="D12759" s="13">
        <v>0</v>
      </c>
      <c r="E12759" s="12">
        <v>0</v>
      </c>
      <c r="F12759" s="14">
        <v>0</v>
      </c>
      <c r="G12759" s="13">
        <v>6953200</v>
      </c>
      <c r="H12759" s="14">
        <v>7203436628.84</v>
      </c>
      <c r="I12759" s="14" t="e">
        <f>=Round(99509.33330000,0)</f>
        <v>#VALUE!</v>
      </c>
      <c r="J12759" s="14" t="e">
        <f>=Round(0.00000000,0)</f>
        <v>#VALUE!</v>
      </c>
    </row>
    <row r="12760">
      <c r="A12760" s="11" t="s">
        <v>31</v>
      </c>
      <c r="B12760" s="12">
        <v>1036.2631</v>
      </c>
      <c r="C12760" s="12">
        <v>0</v>
      </c>
      <c r="D12760" s="13">
        <v>0</v>
      </c>
      <c r="E12760" s="12">
        <v>0</v>
      </c>
      <c r="F12760" s="14">
        <v>0</v>
      </c>
      <c r="G12760" s="13">
        <v>6953200</v>
      </c>
      <c r="H12760" s="14">
        <v>7205344586.92</v>
      </c>
      <c r="I12760" s="14" t="e">
        <f>=Round(99588.49550000,0)</f>
        <v>#VALUE!</v>
      </c>
      <c r="J12760" s="14" t="e">
        <f>=Round(0.00000000,0)</f>
        <v>#VALUE!</v>
      </c>
    </row>
    <row r="12761">
      <c r="A12761" s="11" t="s">
        <v>32</v>
      </c>
      <c r="B12761" s="12">
        <v>1036.5375</v>
      </c>
      <c r="C12761" s="12">
        <v>0</v>
      </c>
      <c r="D12761" s="13">
        <v>0</v>
      </c>
      <c r="E12761" s="12">
        <v>0</v>
      </c>
      <c r="F12761" s="14">
        <v>0</v>
      </c>
      <c r="G12761" s="13">
        <v>6953200</v>
      </c>
      <c r="H12761" s="14">
        <v>7207252545</v>
      </c>
      <c r="I12761" s="14" t="e">
        <f>=Round(99614.87330000,0)</f>
        <v>#VALUE!</v>
      </c>
      <c r="J12761" s="14" t="e">
        <f>=Round(0.00000000,0)</f>
        <v>#VALUE!</v>
      </c>
    </row>
    <row r="12762">
      <c r="A12762" s="11" t="s">
        <v>33</v>
      </c>
      <c r="B12762" s="12">
        <v>1036.812</v>
      </c>
      <c r="C12762" s="12">
        <v>0</v>
      </c>
      <c r="D12762" s="13">
        <v>0</v>
      </c>
      <c r="E12762" s="12">
        <v>0</v>
      </c>
      <c r="F12762" s="14">
        <v>0</v>
      </c>
      <c r="G12762" s="13">
        <v>6953200</v>
      </c>
      <c r="H12762" s="14">
        <v>7209161198.4</v>
      </c>
      <c r="I12762" s="14" t="e">
        <f>=Round(99641.25100000,0)</f>
        <v>#VALUE!</v>
      </c>
      <c r="J12762" s="14" t="e">
        <f>=Round(0.00000000,0)</f>
        <v>#VALUE!</v>
      </c>
    </row>
    <row r="12763">
      <c r="A12763" s="11" t="s">
        <v>34</v>
      </c>
      <c r="B12763" s="12">
        <v>1037.0864</v>
      </c>
      <c r="C12763" s="12">
        <v>0</v>
      </c>
      <c r="D12763" s="13">
        <v>0</v>
      </c>
      <c r="E12763" s="12">
        <v>0</v>
      </c>
      <c r="F12763" s="14">
        <v>0</v>
      </c>
      <c r="G12763" s="13">
        <v>6953200</v>
      </c>
      <c r="H12763" s="14">
        <v>7211069156.48</v>
      </c>
      <c r="I12763" s="14" t="e">
        <f>=Round(99667.63840000,0)</f>
        <v>#VALUE!</v>
      </c>
      <c r="J12763" s="14" t="e">
        <f>=Round(0.00000000,0)</f>
        <v>#VALUE!</v>
      </c>
    </row>
    <row r="12764">
      <c r="A12764" s="11" t="s">
        <v>35</v>
      </c>
      <c r="B12764" s="12">
        <v>1037.0864</v>
      </c>
      <c r="C12764" s="12">
        <v>0</v>
      </c>
      <c r="D12764" s="13">
        <v>0</v>
      </c>
      <c r="E12764" s="12">
        <v>0</v>
      </c>
      <c r="F12764" s="14">
        <v>0</v>
      </c>
      <c r="G12764" s="13">
        <v>6953200</v>
      </c>
      <c r="H12764" s="14">
        <v>7211069156.48</v>
      </c>
      <c r="I12764" s="14" t="e">
        <f>=Round(99694.01620000,0)</f>
        <v>#VALUE!</v>
      </c>
      <c r="J12764" s="14" t="e">
        <f>=Round(0.00000000,0)</f>
        <v>#VALUE!</v>
      </c>
    </row>
    <row r="12765">
      <c r="A12765" s="11" t="s">
        <v>36</v>
      </c>
      <c r="B12765" s="12">
        <v>1037.0864</v>
      </c>
      <c r="C12765" s="12">
        <v>0</v>
      </c>
      <c r="D12765" s="13">
        <v>0</v>
      </c>
      <c r="E12765" s="12">
        <v>0</v>
      </c>
      <c r="F12765" s="14">
        <v>0</v>
      </c>
      <c r="G12765" s="13">
        <v>6953200</v>
      </c>
      <c r="H12765" s="14">
        <v>7211069156.48</v>
      </c>
      <c r="I12765" s="14" t="e">
        <f>=Round(99694.01620000,0)</f>
        <v>#VALUE!</v>
      </c>
      <c r="J12765" s="14" t="e">
        <f>=Round(0.00000000,0)</f>
        <v>#VALUE!</v>
      </c>
    </row>
    <row r="12766">
      <c r="A12766" s="11" t="s">
        <v>37</v>
      </c>
      <c r="B12766" s="12">
        <v>1037.9098</v>
      </c>
      <c r="C12766" s="12">
        <v>0</v>
      </c>
      <c r="D12766" s="13">
        <v>0</v>
      </c>
      <c r="E12766" s="12">
        <v>0</v>
      </c>
      <c r="F12766" s="14">
        <v>0</v>
      </c>
      <c r="G12766" s="13">
        <v>6953200</v>
      </c>
      <c r="H12766" s="14">
        <v>7216794421.36</v>
      </c>
      <c r="I12766" s="14" t="e">
        <f>=Round(99694.01620000,0)</f>
        <v>#VALUE!</v>
      </c>
      <c r="J12766" s="14" t="e">
        <f>=Round(0.00000000,0)</f>
        <v>#VALUE!</v>
      </c>
    </row>
    <row r="12767">
      <c r="A12767" s="11" t="s">
        <v>38</v>
      </c>
      <c r="B12767" s="12">
        <v>1038.1843</v>
      </c>
      <c r="C12767" s="12">
        <v>0</v>
      </c>
      <c r="D12767" s="13">
        <v>0</v>
      </c>
      <c r="E12767" s="12">
        <v>0</v>
      </c>
      <c r="F12767" s="14">
        <v>0</v>
      </c>
      <c r="G12767" s="13">
        <v>6953200</v>
      </c>
      <c r="H12767" s="14">
        <v>7218703074.76</v>
      </c>
      <c r="I12767" s="14" t="e">
        <f>=Round(99773.16880000,0)</f>
        <v>#VALUE!</v>
      </c>
      <c r="J12767" s="14" t="e">
        <f>=Round(0.00000000,0)</f>
        <v>#VALUE!</v>
      </c>
    </row>
    <row r="12768">
      <c r="A12768" s="11" t="s">
        <v>39</v>
      </c>
      <c r="B12768" s="12">
        <v>1037.4635</v>
      </c>
      <c r="C12768" s="12">
        <v>0</v>
      </c>
      <c r="D12768" s="13">
        <v>0</v>
      </c>
      <c r="E12768" s="12">
        <v>0</v>
      </c>
      <c r="F12768" s="14">
        <v>0</v>
      </c>
      <c r="G12768" s="13">
        <v>6953200</v>
      </c>
      <c r="H12768" s="14">
        <v>7213691208.2</v>
      </c>
      <c r="I12768" s="14" t="e">
        <f>=Round(99799.55620000,0)</f>
        <v>#VALUE!</v>
      </c>
      <c r="J12768" s="14" t="e">
        <f>=Round(0.00000000,0)</f>
        <v>#VALUE!</v>
      </c>
    </row>
    <row r="12769">
      <c r="A12769" s="11" t="s">
        <v>40</v>
      </c>
      <c r="B12769" s="12">
        <v>1036.7427</v>
      </c>
      <c r="C12769" s="12">
        <v>0</v>
      </c>
      <c r="D12769" s="13">
        <v>0</v>
      </c>
      <c r="E12769" s="12">
        <v>0</v>
      </c>
      <c r="F12769" s="14">
        <v>0</v>
      </c>
      <c r="G12769" s="13">
        <v>6953200</v>
      </c>
      <c r="H12769" s="14">
        <v>7208679341.64</v>
      </c>
      <c r="I12769" s="14" t="e">
        <f>=Round(99730.26640000,0)</f>
        <v>#VALUE!</v>
      </c>
      <c r="J12769" s="14" t="e">
        <f>=Round(0.00000000,0)</f>
        <v>#VALUE!</v>
      </c>
    </row>
    <row r="12770">
      <c r="A12770" s="11" t="s">
        <v>41</v>
      </c>
      <c r="B12770" s="12">
        <v>1035.7532</v>
      </c>
      <c r="C12770" s="12">
        <v>0</v>
      </c>
      <c r="D12770" s="13">
        <v>0</v>
      </c>
      <c r="E12770" s="12">
        <v>0</v>
      </c>
      <c r="F12770" s="14">
        <v>0</v>
      </c>
      <c r="G12770" s="13">
        <v>6953200</v>
      </c>
      <c r="H12770" s="14">
        <v>7201799150.24</v>
      </c>
      <c r="I12770" s="14" t="e">
        <f>=Round(99660.97670000,0)</f>
        <v>#VALUE!</v>
      </c>
      <c r="J12770" s="14" t="e">
        <f>=Round(0.00000000,0)</f>
        <v>#VALUE!</v>
      </c>
    </row>
    <row r="12771">
      <c r="A12771" s="11" t="s">
        <v>42</v>
      </c>
      <c r="B12771" s="12">
        <v>1035.7532</v>
      </c>
      <c r="C12771" s="12">
        <v>0</v>
      </c>
      <c r="D12771" s="13">
        <v>0</v>
      </c>
      <c r="E12771" s="12">
        <v>0</v>
      </c>
      <c r="F12771" s="14">
        <v>0</v>
      </c>
      <c r="G12771" s="13">
        <v>6953200</v>
      </c>
      <c r="H12771" s="14">
        <v>7201799150.24</v>
      </c>
      <c r="I12771" s="14" t="e">
        <f>=Round(99565.85710000,0)</f>
        <v>#VALUE!</v>
      </c>
      <c r="J12771" s="14" t="e">
        <f>=Round(0.00000000,0)</f>
        <v>#VALUE!</v>
      </c>
    </row>
    <row r="12772">
      <c r="A12772" s="11" t="s">
        <v>43</v>
      </c>
      <c r="B12772" s="12">
        <v>1035.7532</v>
      </c>
      <c r="C12772" s="12">
        <v>0</v>
      </c>
      <c r="D12772" s="13">
        <v>0</v>
      </c>
      <c r="E12772" s="12">
        <v>0</v>
      </c>
      <c r="F12772" s="14">
        <v>0</v>
      </c>
      <c r="G12772" s="13">
        <v>6953200</v>
      </c>
      <c r="H12772" s="14">
        <v>7201799150.24</v>
      </c>
      <c r="I12772" s="14" t="e">
        <f>=Round(99565.85710000,0)</f>
        <v>#VALUE!</v>
      </c>
      <c r="J12772" s="14" t="e">
        <f>=Round(0.00000000,0)</f>
        <v>#VALUE!</v>
      </c>
    </row>
    <row r="12773">
      <c r="A12773" s="11" t="s">
        <v>44</v>
      </c>
      <c r="B12773" s="12">
        <v>1035.3098</v>
      </c>
      <c r="C12773" s="12">
        <v>0</v>
      </c>
      <c r="D12773" s="13">
        <v>0</v>
      </c>
      <c r="E12773" s="12">
        <v>0</v>
      </c>
      <c r="F12773" s="14">
        <v>0</v>
      </c>
      <c r="G12773" s="13">
        <v>6953200</v>
      </c>
      <c r="H12773" s="14">
        <v>7198716101.36</v>
      </c>
      <c r="I12773" s="14" t="e">
        <f>=Round(99565.85710000,0)</f>
        <v>#VALUE!</v>
      </c>
      <c r="J12773" s="14" t="e">
        <f>=Round(0.00000000,0)</f>
        <v>#VALUE!</v>
      </c>
    </row>
    <row r="12774">
      <c r="A12774" s="11" t="s">
        <v>45</v>
      </c>
      <c r="B12774" s="12">
        <v>1033.8346</v>
      </c>
      <c r="C12774" s="12">
        <v>0</v>
      </c>
      <c r="D12774" s="13">
        <v>0</v>
      </c>
      <c r="E12774" s="12">
        <v>0</v>
      </c>
      <c r="F12774" s="14">
        <v>0</v>
      </c>
      <c r="G12774" s="13">
        <v>6953200</v>
      </c>
      <c r="H12774" s="14">
        <v>7188458740.72</v>
      </c>
      <c r="I12774" s="14" t="e">
        <f>=Round(99523.23350000,0)</f>
        <v>#VALUE!</v>
      </c>
      <c r="J12774" s="14" t="e">
        <f>=Round(0.00000000,0)</f>
        <v>#VALUE!</v>
      </c>
    </row>
    <row r="12775">
      <c r="A12775" s="11" t="s">
        <v>46</v>
      </c>
      <c r="B12775" s="12">
        <v>1036.0399</v>
      </c>
      <c r="C12775" s="12">
        <v>0</v>
      </c>
      <c r="D12775" s="13">
        <v>0</v>
      </c>
      <c r="E12775" s="12">
        <v>0</v>
      </c>
      <c r="F12775" s="14">
        <v>0</v>
      </c>
      <c r="G12775" s="13">
        <v>6953200</v>
      </c>
      <c r="H12775" s="14">
        <v>7203792632.68</v>
      </c>
      <c r="I12775" s="14" t="e">
        <f>=Round(99381.42410000,0)</f>
        <v>#VALUE!</v>
      </c>
      <c r="J12775" s="14" t="e">
        <f>=Round(0.00000000,0)</f>
        <v>#VALUE!</v>
      </c>
    </row>
    <row r="12776">
      <c r="A12776" s="11" t="s">
        <v>47</v>
      </c>
      <c r="B12776" s="12">
        <v>1037.1932</v>
      </c>
      <c r="C12776" s="12">
        <v>0</v>
      </c>
      <c r="D12776" s="13">
        <v>0</v>
      </c>
      <c r="E12776" s="12">
        <v>0</v>
      </c>
      <c r="F12776" s="14">
        <v>0</v>
      </c>
      <c r="G12776" s="13">
        <v>6953200</v>
      </c>
      <c r="H12776" s="14">
        <v>7211811758.24</v>
      </c>
      <c r="I12776" s="14" t="e">
        <f>=Round(99593.41730000,0)</f>
        <v>#VALUE!</v>
      </c>
      <c r="J12776" s="14" t="e">
        <f>=Round(0.00000000,0)</f>
        <v>#VALUE!</v>
      </c>
    </row>
    <row r="12777">
      <c r="A12777" s="11" t="s">
        <v>48</v>
      </c>
      <c r="B12777" s="12">
        <v>1037.9086</v>
      </c>
      <c r="C12777" s="12">
        <v>0</v>
      </c>
      <c r="D12777" s="13">
        <v>0</v>
      </c>
      <c r="E12777" s="12">
        <v>0</v>
      </c>
      <c r="F12777" s="14">
        <v>0</v>
      </c>
      <c r="G12777" s="13">
        <v>6953200</v>
      </c>
      <c r="H12777" s="14">
        <v>7216786077.52</v>
      </c>
      <c r="I12777" s="14" t="e">
        <f>=Round(99704.28280000,0)</f>
        <v>#VALUE!</v>
      </c>
      <c r="J12777" s="14" t="e">
        <f>=Round(0.00000000,0)</f>
        <v>#VALUE!</v>
      </c>
    </row>
    <row r="12778">
      <c r="A12778" s="11" t="s">
        <v>49</v>
      </c>
      <c r="B12778" s="12">
        <v>1037.9086</v>
      </c>
      <c r="C12778" s="12">
        <v>0</v>
      </c>
      <c r="D12778" s="13">
        <v>0</v>
      </c>
      <c r="E12778" s="12">
        <v>0</v>
      </c>
      <c r="F12778" s="14">
        <v>0</v>
      </c>
      <c r="G12778" s="13">
        <v>6953200</v>
      </c>
      <c r="H12778" s="14">
        <v>7216786077.52</v>
      </c>
      <c r="I12778" s="14" t="e">
        <f>=Round(99773.05340000,0)</f>
        <v>#VALUE!</v>
      </c>
      <c r="J12778" s="14" t="e">
        <f>=Round(0.00000000,0)</f>
        <v>#VALUE!</v>
      </c>
    </row>
    <row r="12779">
      <c r="A12779" s="11" t="s">
        <v>50</v>
      </c>
      <c r="B12779" s="12">
        <v>1037.9086</v>
      </c>
      <c r="C12779" s="12">
        <v>0</v>
      </c>
      <c r="D12779" s="13">
        <v>0</v>
      </c>
      <c r="E12779" s="12">
        <v>0</v>
      </c>
      <c r="F12779" s="14">
        <v>0</v>
      </c>
      <c r="G12779" s="13">
        <v>6953200</v>
      </c>
      <c r="H12779" s="14">
        <v>7216786077.52</v>
      </c>
      <c r="I12779" s="14" t="e">
        <f>=Round(99773.05340000,0)</f>
        <v>#VALUE!</v>
      </c>
      <c r="J12779" s="14" t="e">
        <f>=Round(0.00000000,0)</f>
        <v>#VALUE!</v>
      </c>
    </row>
    <row r="12780">
      <c r="A12780" s="11" t="s">
        <v>51</v>
      </c>
      <c r="B12780" s="12">
        <v>1014.2364</v>
      </c>
      <c r="C12780" s="12">
        <v>0</v>
      </c>
      <c r="D12780" s="13">
        <v>0</v>
      </c>
      <c r="E12780" s="12">
        <v>0</v>
      </c>
      <c r="F12780" s="14">
        <v>0</v>
      </c>
      <c r="G12780" s="13">
        <v>6953200</v>
      </c>
      <c r="H12780" s="14">
        <v>7052188536.48</v>
      </c>
      <c r="I12780" s="14" t="e">
        <f>=Round(99773.05340000,0)</f>
        <v>#VALUE!</v>
      </c>
      <c r="J12780" s="14" t="e">
        <f>=Round(0.00000000,0)</f>
        <v>#VALUE!</v>
      </c>
    </row>
    <row r="12781">
      <c r="A12781" s="11" t="s">
        <v>52</v>
      </c>
      <c r="B12781" s="12">
        <v>1014.5231</v>
      </c>
      <c r="C12781" s="12">
        <v>0</v>
      </c>
      <c r="D12781" s="13">
        <v>0</v>
      </c>
      <c r="E12781" s="12">
        <v>0</v>
      </c>
      <c r="F12781" s="14">
        <v>0</v>
      </c>
      <c r="G12781" s="13">
        <v>6953200</v>
      </c>
      <c r="H12781" s="14">
        <v>7054182018.92</v>
      </c>
      <c r="I12781" s="14" t="e">
        <f>=Round(97497.46990000,0)</f>
        <v>#VALUE!</v>
      </c>
      <c r="J12781" s="14" t="e">
        <f>=Round(0.00000000,0)</f>
        <v>#VALUE!</v>
      </c>
    </row>
    <row r="12782">
      <c r="A12782" s="11" t="s">
        <v>53</v>
      </c>
      <c r="B12782" s="12">
        <v>1014.9483</v>
      </c>
      <c r="C12782" s="12">
        <v>0</v>
      </c>
      <c r="D12782" s="13">
        <v>0</v>
      </c>
      <c r="E12782" s="12">
        <v>0</v>
      </c>
      <c r="F12782" s="14">
        <v>0</v>
      </c>
      <c r="G12782" s="13">
        <v>6953200</v>
      </c>
      <c r="H12782" s="14">
        <v>7057138519.56</v>
      </c>
      <c r="I12782" s="14" t="e">
        <f>=Round(97525.03010000,0)</f>
        <v>#VALUE!</v>
      </c>
      <c r="J12782" s="14" t="e">
        <f>=Round(0.00000000,0)</f>
        <v>#VALUE!</v>
      </c>
    </row>
    <row r="12783">
      <c r="A12783" s="11" t="s">
        <v>54</v>
      </c>
      <c r="B12783" s="12">
        <v>1015.1276</v>
      </c>
      <c r="C12783" s="12">
        <v>0</v>
      </c>
      <c r="D12783" s="13">
        <v>0</v>
      </c>
      <c r="E12783" s="12">
        <v>0</v>
      </c>
      <c r="F12783" s="14">
        <v>0</v>
      </c>
      <c r="G12783" s="13">
        <v>6953200</v>
      </c>
      <c r="H12783" s="14">
        <v>7058385228.32</v>
      </c>
      <c r="I12783" s="14" t="e">
        <f>=Round(97565.90410000,0)</f>
        <v>#VALUE!</v>
      </c>
      <c r="J12783" s="14" t="e">
        <f>=Round(0.00000000,0)</f>
        <v>#VALUE!</v>
      </c>
    </row>
    <row r="12784">
      <c r="A12784" s="11" t="s">
        <v>55</v>
      </c>
      <c r="B12784" s="12">
        <v>1014.1822</v>
      </c>
      <c r="C12784" s="12">
        <v>0</v>
      </c>
      <c r="D12784" s="13">
        <v>0</v>
      </c>
      <c r="E12784" s="12">
        <v>0</v>
      </c>
      <c r="F12784" s="14">
        <v>0</v>
      </c>
      <c r="G12784" s="13">
        <v>6953200</v>
      </c>
      <c r="H12784" s="14">
        <v>7051811673.04</v>
      </c>
      <c r="I12784" s="14" t="e">
        <f>=Round(97583.14000000,0)</f>
        <v>#VALUE!</v>
      </c>
      <c r="J12784" s="14" t="e">
        <f>=Round(0.00000000,0)</f>
        <v>#VALUE!</v>
      </c>
    </row>
    <row r="12785" ht="-1">
      <c r="A12785" s="15"/>
      <c r="B12785" s="16" t="s">
        <v>56</v>
      </c>
      <c r="C12785" s="15"/>
      <c r="D12785" s="15"/>
      <c r="E12785" s="15"/>
      <c r="F12785" s="15"/>
      <c r="G12785" s="15"/>
      <c r="H12785" s="15"/>
      <c r="I12785" s="17" t="e">
        <f>=Round(SUM(I12759:I12784),0)</f>
        <v>#VALUE!</v>
      </c>
      <c r="J12785" s="17" t="e">
        <f>=Round(SUM(J12759:J12784),0)</f>
        <v>#VALUE!</v>
      </c>
    </row>
    <row r="12786">
      <c r="A12786" s="1" t="s">
        <v>0</v>
      </c>
      <c r="B12786" s="1"/>
      <c r="C12786" s="1"/>
      <c r="D12786" s="1"/>
    </row>
    <row r="12787">
      <c r="A12787" s="0" t="s">
        <v>1</v>
      </c>
      <c r="C12787" s="0" t="s">
        <v>430</v>
      </c>
      <c r="H12787" s="2" t="s">
        <v>3</v>
      </c>
    </row>
    <row r="12788">
      <c r="A12788" s="0" t="s">
        <v>4</v>
      </c>
      <c r="C12788" s="0" t="s">
        <v>133</v>
      </c>
      <c r="H12788" s="3" t="s">
        <v>6</v>
      </c>
    </row>
    <row r="12789">
      <c r="A12789" s="0" t="s">
        <v>7</v>
      </c>
      <c r="C12789" s="4" t="s">
        <v>431</v>
      </c>
      <c r="H12789" s="2" t="s">
        <v>9</v>
      </c>
    </row>
    <row r="12790">
      <c r="A12790" s="0" t="s">
        <v>10</v>
      </c>
      <c r="C12790" s="4" t="s">
        <v>11</v>
      </c>
      <c r="H12790" s="2" t="s">
        <v>12</v>
      </c>
    </row>
    <row r="12791">
      <c r="A12791" s="0" t="s">
        <v>13</v>
      </c>
      <c r="C12791" s="0" t="s">
        <v>14</v>
      </c>
    </row>
    <row r="12792">
      <c r="A12792" s="0" t="s">
        <v>15</v>
      </c>
      <c r="C12792" s="0" t="s">
        <v>16</v>
      </c>
    </row>
    <row r="12793">
      <c r="A12793" s="0" t="s">
        <v>17</v>
      </c>
      <c r="C12793" s="0" t="s">
        <v>18</v>
      </c>
    </row>
    <row r="12796">
      <c r="A12796" s="5" t="s">
        <v>19</v>
      </c>
      <c r="B12796" s="5" t="s">
        <v>20</v>
      </c>
      <c r="C12796" s="7" t="s">
        <v>21</v>
      </c>
      <c r="D12796" s="9"/>
      <c r="E12796" s="7" t="s">
        <v>22</v>
      </c>
      <c r="F12796" s="9"/>
      <c r="G12796" s="5" t="s">
        <v>23</v>
      </c>
      <c r="H12796" s="5" t="s">
        <v>24</v>
      </c>
      <c r="I12796" s="5" t="s">
        <v>432</v>
      </c>
      <c r="J12796" s="5" t="s">
        <v>26</v>
      </c>
    </row>
    <row r="12797">
      <c r="A12797" s="6"/>
      <c r="B12797" s="6"/>
      <c r="C12797" s="8" t="s">
        <v>27</v>
      </c>
      <c r="D12797" s="8" t="s">
        <v>28</v>
      </c>
      <c r="E12797" s="8" t="s">
        <v>27</v>
      </c>
      <c r="F12797" s="8" t="s">
        <v>28</v>
      </c>
      <c r="G12797" s="6"/>
      <c r="H12797" s="6"/>
      <c r="I12797" s="10" t="s">
        <v>29</v>
      </c>
      <c r="J12797" s="6"/>
    </row>
    <row r="12798">
      <c r="A12798" s="11" t="s">
        <v>30</v>
      </c>
      <c r="B12798" s="12">
        <v>1035.9887</v>
      </c>
      <c r="C12798" s="12">
        <v>0</v>
      </c>
      <c r="D12798" s="13">
        <v>0</v>
      </c>
      <c r="E12798" s="12">
        <v>0</v>
      </c>
      <c r="F12798" s="14">
        <v>0</v>
      </c>
      <c r="G12798" s="13">
        <v>67703000</v>
      </c>
      <c r="H12798" s="14">
        <v>70139542956.1</v>
      </c>
      <c r="I12798" s="14" t="e">
        <f>=Round(968917.96460000,0)</f>
        <v>#VALUE!</v>
      </c>
      <c r="J12798" s="14" t="e">
        <f>=Round(0.00000000,0)</f>
        <v>#VALUE!</v>
      </c>
    </row>
    <row r="12799">
      <c r="A12799" s="11" t="s">
        <v>31</v>
      </c>
      <c r="B12799" s="12">
        <v>1036.2631</v>
      </c>
      <c r="C12799" s="12">
        <v>0</v>
      </c>
      <c r="D12799" s="13">
        <v>0</v>
      </c>
      <c r="E12799" s="12">
        <v>0</v>
      </c>
      <c r="F12799" s="14">
        <v>0</v>
      </c>
      <c r="G12799" s="13">
        <v>67703000</v>
      </c>
      <c r="H12799" s="14">
        <v>70158120659.3</v>
      </c>
      <c r="I12799" s="14" t="e">
        <f>=Round(969688.76330000,0)</f>
        <v>#VALUE!</v>
      </c>
      <c r="J12799" s="14" t="e">
        <f>=Round(0.00000000,0)</f>
        <v>#VALUE!</v>
      </c>
    </row>
    <row r="12800">
      <c r="A12800" s="11" t="s">
        <v>32</v>
      </c>
      <c r="B12800" s="12">
        <v>1036.5375</v>
      </c>
      <c r="C12800" s="12">
        <v>0</v>
      </c>
      <c r="D12800" s="13">
        <v>0</v>
      </c>
      <c r="E12800" s="12">
        <v>0</v>
      </c>
      <c r="F12800" s="14">
        <v>0</v>
      </c>
      <c r="G12800" s="13">
        <v>67703000</v>
      </c>
      <c r="H12800" s="14">
        <v>70176698362.5</v>
      </c>
      <c r="I12800" s="14" t="e">
        <f>=Round(969945.60260000,0)</f>
        <v>#VALUE!</v>
      </c>
      <c r="J12800" s="14" t="e">
        <f>=Round(0.00000000,0)</f>
        <v>#VALUE!</v>
      </c>
    </row>
    <row r="12801">
      <c r="A12801" s="11" t="s">
        <v>33</v>
      </c>
      <c r="B12801" s="12">
        <v>1036.812</v>
      </c>
      <c r="C12801" s="12">
        <v>0</v>
      </c>
      <c r="D12801" s="13">
        <v>0</v>
      </c>
      <c r="E12801" s="12">
        <v>0</v>
      </c>
      <c r="F12801" s="14">
        <v>0</v>
      </c>
      <c r="G12801" s="13">
        <v>67703000</v>
      </c>
      <c r="H12801" s="14">
        <v>70195282836</v>
      </c>
      <c r="I12801" s="14" t="e">
        <f>=Round(970202.44180000,0)</f>
        <v>#VALUE!</v>
      </c>
      <c r="J12801" s="14" t="e">
        <f>=Round(0.00000000,0)</f>
        <v>#VALUE!</v>
      </c>
    </row>
    <row r="12802">
      <c r="A12802" s="11" t="s">
        <v>34</v>
      </c>
      <c r="B12802" s="12">
        <v>1037.0864</v>
      </c>
      <c r="C12802" s="12">
        <v>0</v>
      </c>
      <c r="D12802" s="13">
        <v>0</v>
      </c>
      <c r="E12802" s="12">
        <v>0</v>
      </c>
      <c r="F12802" s="14">
        <v>0</v>
      </c>
      <c r="G12802" s="13">
        <v>67703000</v>
      </c>
      <c r="H12802" s="14">
        <v>70213860539.2</v>
      </c>
      <c r="I12802" s="14" t="e">
        <f>=Round(970459.37470000,0)</f>
        <v>#VALUE!</v>
      </c>
      <c r="J12802" s="14" t="e">
        <f>=Round(0.00000000,0)</f>
        <v>#VALUE!</v>
      </c>
    </row>
    <row r="12803">
      <c r="A12803" s="11" t="s">
        <v>35</v>
      </c>
      <c r="B12803" s="12">
        <v>1037.0864</v>
      </c>
      <c r="C12803" s="12">
        <v>0</v>
      </c>
      <c r="D12803" s="13">
        <v>0</v>
      </c>
      <c r="E12803" s="12">
        <v>0</v>
      </c>
      <c r="F12803" s="14">
        <v>0</v>
      </c>
      <c r="G12803" s="13">
        <v>67703000</v>
      </c>
      <c r="H12803" s="14">
        <v>70213860539.2</v>
      </c>
      <c r="I12803" s="14" t="e">
        <f>=Round(970716.21400000,0)</f>
        <v>#VALUE!</v>
      </c>
      <c r="J12803" s="14" t="e">
        <f>=Round(0.00000000,0)</f>
        <v>#VALUE!</v>
      </c>
    </row>
    <row r="12804">
      <c r="A12804" s="11" t="s">
        <v>36</v>
      </c>
      <c r="B12804" s="12">
        <v>1037.0864</v>
      </c>
      <c r="C12804" s="12">
        <v>0</v>
      </c>
      <c r="D12804" s="13">
        <v>0</v>
      </c>
      <c r="E12804" s="12">
        <v>0</v>
      </c>
      <c r="F12804" s="14">
        <v>0</v>
      </c>
      <c r="G12804" s="13">
        <v>67703000</v>
      </c>
      <c r="H12804" s="14">
        <v>70213860539.2</v>
      </c>
      <c r="I12804" s="14" t="e">
        <f>=Round(970716.21400000,0)</f>
        <v>#VALUE!</v>
      </c>
      <c r="J12804" s="14" t="e">
        <f>=Round(0.00000000,0)</f>
        <v>#VALUE!</v>
      </c>
    </row>
    <row r="12805">
      <c r="A12805" s="11" t="s">
        <v>37</v>
      </c>
      <c r="B12805" s="12">
        <v>1037.9098</v>
      </c>
      <c r="C12805" s="12">
        <v>0</v>
      </c>
      <c r="D12805" s="13">
        <v>0</v>
      </c>
      <c r="E12805" s="12">
        <v>0</v>
      </c>
      <c r="F12805" s="14">
        <v>0</v>
      </c>
      <c r="G12805" s="13">
        <v>67703000</v>
      </c>
      <c r="H12805" s="14">
        <v>70269607189.4</v>
      </c>
      <c r="I12805" s="14" t="e">
        <f>=Round(970716.21400000,0)</f>
        <v>#VALUE!</v>
      </c>
      <c r="J12805" s="14" t="e">
        <f>=Round(0.00000000,0)</f>
        <v>#VALUE!</v>
      </c>
    </row>
    <row r="12806">
      <c r="A12806" s="11" t="s">
        <v>38</v>
      </c>
      <c r="B12806" s="12">
        <v>1038.1843</v>
      </c>
      <c r="C12806" s="12">
        <v>0</v>
      </c>
      <c r="D12806" s="13">
        <v>0</v>
      </c>
      <c r="E12806" s="12">
        <v>0</v>
      </c>
      <c r="F12806" s="14">
        <v>0</v>
      </c>
      <c r="G12806" s="13">
        <v>67703000</v>
      </c>
      <c r="H12806" s="14">
        <v>70288191662.9</v>
      </c>
      <c r="I12806" s="14" t="e">
        <f>=Round(971486.91910000,0)</f>
        <v>#VALUE!</v>
      </c>
      <c r="J12806" s="14" t="e">
        <f>=Round(0.00000000,0)</f>
        <v>#VALUE!</v>
      </c>
    </row>
    <row r="12807">
      <c r="A12807" s="11" t="s">
        <v>39</v>
      </c>
      <c r="B12807" s="12">
        <v>1037.4635</v>
      </c>
      <c r="C12807" s="12">
        <v>0</v>
      </c>
      <c r="D12807" s="13">
        <v>0</v>
      </c>
      <c r="E12807" s="12">
        <v>0</v>
      </c>
      <c r="F12807" s="14">
        <v>0</v>
      </c>
      <c r="G12807" s="13">
        <v>67703000</v>
      </c>
      <c r="H12807" s="14">
        <v>70239391340.5</v>
      </c>
      <c r="I12807" s="14" t="e">
        <f>=Round(971743.85200000,0)</f>
        <v>#VALUE!</v>
      </c>
      <c r="J12807" s="14" t="e">
        <f>=Round(0.00000000,0)</f>
        <v>#VALUE!</v>
      </c>
    </row>
    <row r="12808">
      <c r="A12808" s="11" t="s">
        <v>40</v>
      </c>
      <c r="B12808" s="12">
        <v>1036.7427</v>
      </c>
      <c r="C12808" s="12">
        <v>0</v>
      </c>
      <c r="D12808" s="13">
        <v>0</v>
      </c>
      <c r="E12808" s="12">
        <v>0</v>
      </c>
      <c r="F12808" s="14">
        <v>0</v>
      </c>
      <c r="G12808" s="13">
        <v>67703000</v>
      </c>
      <c r="H12808" s="14">
        <v>70190591018.1</v>
      </c>
      <c r="I12808" s="14" t="e">
        <f>=Round(971069.18080000,0)</f>
        <v>#VALUE!</v>
      </c>
      <c r="J12808" s="14" t="e">
        <f>=Round(0.00000000,0)</f>
        <v>#VALUE!</v>
      </c>
    </row>
    <row r="12809">
      <c r="A12809" s="11" t="s">
        <v>41</v>
      </c>
      <c r="B12809" s="12">
        <v>1035.7532</v>
      </c>
      <c r="C12809" s="12">
        <v>0</v>
      </c>
      <c r="D12809" s="13">
        <v>0</v>
      </c>
      <c r="E12809" s="12">
        <v>0</v>
      </c>
      <c r="F12809" s="14">
        <v>0</v>
      </c>
      <c r="G12809" s="13">
        <v>67703000</v>
      </c>
      <c r="H12809" s="14">
        <v>70123598899.6</v>
      </c>
      <c r="I12809" s="14" t="e">
        <f>=Round(970394.50970000,0)</f>
        <v>#VALUE!</v>
      </c>
      <c r="J12809" s="14" t="e">
        <f>=Round(0.00000000,0)</f>
        <v>#VALUE!</v>
      </c>
    </row>
    <row r="12810">
      <c r="A12810" s="11" t="s">
        <v>42</v>
      </c>
      <c r="B12810" s="12">
        <v>1035.7532</v>
      </c>
      <c r="C12810" s="12">
        <v>0</v>
      </c>
      <c r="D12810" s="13">
        <v>0</v>
      </c>
      <c r="E12810" s="12">
        <v>0</v>
      </c>
      <c r="F12810" s="14">
        <v>0</v>
      </c>
      <c r="G12810" s="13">
        <v>67703000</v>
      </c>
      <c r="H12810" s="14">
        <v>70123598899.6</v>
      </c>
      <c r="I12810" s="14" t="e">
        <f>=Round(969468.33450000,0)</f>
        <v>#VALUE!</v>
      </c>
      <c r="J12810" s="14" t="e">
        <f>=Round(0.00000000,0)</f>
        <v>#VALUE!</v>
      </c>
    </row>
    <row r="12811">
      <c r="A12811" s="11" t="s">
        <v>43</v>
      </c>
      <c r="B12811" s="12">
        <v>1035.7532</v>
      </c>
      <c r="C12811" s="12">
        <v>0</v>
      </c>
      <c r="D12811" s="13">
        <v>0</v>
      </c>
      <c r="E12811" s="12">
        <v>0</v>
      </c>
      <c r="F12811" s="14">
        <v>0</v>
      </c>
      <c r="G12811" s="13">
        <v>67703000</v>
      </c>
      <c r="H12811" s="14">
        <v>70123598899.6</v>
      </c>
      <c r="I12811" s="14" t="e">
        <f>=Round(969468.33450000,0)</f>
        <v>#VALUE!</v>
      </c>
      <c r="J12811" s="14" t="e">
        <f>=Round(0.00000000,0)</f>
        <v>#VALUE!</v>
      </c>
    </row>
    <row r="12812">
      <c r="A12812" s="11" t="s">
        <v>44</v>
      </c>
      <c r="B12812" s="12">
        <v>1035.3098</v>
      </c>
      <c r="C12812" s="12">
        <v>0</v>
      </c>
      <c r="D12812" s="13">
        <v>0</v>
      </c>
      <c r="E12812" s="12">
        <v>0</v>
      </c>
      <c r="F12812" s="14">
        <v>0</v>
      </c>
      <c r="G12812" s="13">
        <v>67703000</v>
      </c>
      <c r="H12812" s="14">
        <v>70093579389.4</v>
      </c>
      <c r="I12812" s="14" t="e">
        <f>=Round(969468.33450000,0)</f>
        <v>#VALUE!</v>
      </c>
      <c r="J12812" s="14" t="e">
        <f>=Round(0.00000000,0)</f>
        <v>#VALUE!</v>
      </c>
    </row>
    <row r="12813">
      <c r="A12813" s="11" t="s">
        <v>45</v>
      </c>
      <c r="B12813" s="12">
        <v>1033.8346</v>
      </c>
      <c r="C12813" s="12">
        <v>0</v>
      </c>
      <c r="D12813" s="13">
        <v>0</v>
      </c>
      <c r="E12813" s="12">
        <v>0</v>
      </c>
      <c r="F12813" s="14">
        <v>0</v>
      </c>
      <c r="G12813" s="13">
        <v>67703000</v>
      </c>
      <c r="H12813" s="14">
        <v>69993703923.8</v>
      </c>
      <c r="I12813" s="14" t="e">
        <f>=Round(969053.31070000,0)</f>
        <v>#VALUE!</v>
      </c>
      <c r="J12813" s="14" t="e">
        <f>=Round(0.00000000,0)</f>
        <v>#VALUE!</v>
      </c>
    </row>
    <row r="12814">
      <c r="A12814" s="11" t="s">
        <v>46</v>
      </c>
      <c r="B12814" s="12">
        <v>1036.0399</v>
      </c>
      <c r="C12814" s="12">
        <v>0</v>
      </c>
      <c r="D12814" s="13">
        <v>0</v>
      </c>
      <c r="E12814" s="12">
        <v>0</v>
      </c>
      <c r="F12814" s="14">
        <v>0</v>
      </c>
      <c r="G12814" s="13">
        <v>67703000</v>
      </c>
      <c r="H12814" s="14">
        <v>70143009349.7</v>
      </c>
      <c r="I12814" s="14" t="e">
        <f>=Round(967672.51870000,0)</f>
        <v>#VALUE!</v>
      </c>
      <c r="J12814" s="14" t="e">
        <f>=Round(0.00000000,0)</f>
        <v>#VALUE!</v>
      </c>
    </row>
    <row r="12815">
      <c r="A12815" s="11" t="s">
        <v>47</v>
      </c>
      <c r="B12815" s="12">
        <v>1037.1932</v>
      </c>
      <c r="C12815" s="12">
        <v>0</v>
      </c>
      <c r="D12815" s="13">
        <v>0</v>
      </c>
      <c r="E12815" s="12">
        <v>0</v>
      </c>
      <c r="F12815" s="14">
        <v>0</v>
      </c>
      <c r="G12815" s="13">
        <v>67703000</v>
      </c>
      <c r="H12815" s="14">
        <v>70221091219.6</v>
      </c>
      <c r="I12815" s="14" t="e">
        <f>=Round(969736.68660000,0)</f>
        <v>#VALUE!</v>
      </c>
      <c r="J12815" s="14" t="e">
        <f>=Round(0.00000000,0)</f>
        <v>#VALUE!</v>
      </c>
    </row>
    <row r="12816">
      <c r="A12816" s="11" t="s">
        <v>48</v>
      </c>
      <c r="B12816" s="12">
        <v>1037.9086</v>
      </c>
      <c r="C12816" s="12">
        <v>0</v>
      </c>
      <c r="D12816" s="13">
        <v>0</v>
      </c>
      <c r="E12816" s="12">
        <v>0</v>
      </c>
      <c r="F12816" s="14">
        <v>0</v>
      </c>
      <c r="G12816" s="13">
        <v>67703000</v>
      </c>
      <c r="H12816" s="14">
        <v>70269525945.8</v>
      </c>
      <c r="I12816" s="14" t="e">
        <f>=Round(970816.17920000,0)</f>
        <v>#VALUE!</v>
      </c>
      <c r="J12816" s="14" t="e">
        <f>=Round(0.00000000,0)</f>
        <v>#VALUE!</v>
      </c>
    </row>
    <row r="12817">
      <c r="A12817" s="11" t="s">
        <v>49</v>
      </c>
      <c r="B12817" s="12">
        <v>1037.9086</v>
      </c>
      <c r="C12817" s="12">
        <v>0</v>
      </c>
      <c r="D12817" s="13">
        <v>0</v>
      </c>
      <c r="E12817" s="12">
        <v>0</v>
      </c>
      <c r="F12817" s="14">
        <v>0</v>
      </c>
      <c r="G12817" s="13">
        <v>67703000</v>
      </c>
      <c r="H12817" s="14">
        <v>70269525945.8</v>
      </c>
      <c r="I12817" s="14" t="e">
        <f>=Round(971485.79590000,0)</f>
        <v>#VALUE!</v>
      </c>
      <c r="J12817" s="14" t="e">
        <f>=Round(0.00000000,0)</f>
        <v>#VALUE!</v>
      </c>
    </row>
    <row r="12818">
      <c r="A12818" s="11" t="s">
        <v>50</v>
      </c>
      <c r="B12818" s="12">
        <v>1037.9086</v>
      </c>
      <c r="C12818" s="12">
        <v>0</v>
      </c>
      <c r="D12818" s="13">
        <v>0</v>
      </c>
      <c r="E12818" s="12">
        <v>0</v>
      </c>
      <c r="F12818" s="14">
        <v>0</v>
      </c>
      <c r="G12818" s="13">
        <v>67703000</v>
      </c>
      <c r="H12818" s="14">
        <v>70269525945.8</v>
      </c>
      <c r="I12818" s="14" t="e">
        <f>=Round(971485.79590000,0)</f>
        <v>#VALUE!</v>
      </c>
      <c r="J12818" s="14" t="e">
        <f>=Round(0.00000000,0)</f>
        <v>#VALUE!</v>
      </c>
    </row>
    <row r="12819">
      <c r="A12819" s="11" t="s">
        <v>51</v>
      </c>
      <c r="B12819" s="12">
        <v>1014.2364</v>
      </c>
      <c r="C12819" s="12">
        <v>0</v>
      </c>
      <c r="D12819" s="13">
        <v>0</v>
      </c>
      <c r="E12819" s="12">
        <v>0</v>
      </c>
      <c r="F12819" s="14">
        <v>0</v>
      </c>
      <c r="G12819" s="13">
        <v>67703000</v>
      </c>
      <c r="H12819" s="14">
        <v>68666846989.2</v>
      </c>
      <c r="I12819" s="14" t="e">
        <f>=Round(971485.79590000,0)</f>
        <v>#VALUE!</v>
      </c>
      <c r="J12819" s="14" t="e">
        <f>=Round(0.00000000,0)</f>
        <v>#VALUE!</v>
      </c>
    </row>
    <row r="12820">
      <c r="A12820" s="11" t="s">
        <v>52</v>
      </c>
      <c r="B12820" s="12">
        <v>1014.5231</v>
      </c>
      <c r="C12820" s="12">
        <v>0</v>
      </c>
      <c r="D12820" s="13">
        <v>0</v>
      </c>
      <c r="E12820" s="12">
        <v>0</v>
      </c>
      <c r="F12820" s="14">
        <v>0</v>
      </c>
      <c r="G12820" s="13">
        <v>67703000</v>
      </c>
      <c r="H12820" s="14">
        <v>68686257439.3</v>
      </c>
      <c r="I12820" s="14" t="e">
        <f>=Round(949328.54030000,0)</f>
        <v>#VALUE!</v>
      </c>
      <c r="J12820" s="14" t="e">
        <f>=Round(0.00000000,0)</f>
        <v>#VALUE!</v>
      </c>
    </row>
    <row r="12821">
      <c r="A12821" s="11" t="s">
        <v>53</v>
      </c>
      <c r="B12821" s="12">
        <v>1014.9483</v>
      </c>
      <c r="C12821" s="12">
        <v>0</v>
      </c>
      <c r="D12821" s="13">
        <v>0</v>
      </c>
      <c r="E12821" s="12">
        <v>0</v>
      </c>
      <c r="F12821" s="14">
        <v>0</v>
      </c>
      <c r="G12821" s="13">
        <v>67703000</v>
      </c>
      <c r="H12821" s="14">
        <v>68715044754.9</v>
      </c>
      <c r="I12821" s="14" t="e">
        <f>=Round(949596.89250000,0)</f>
        <v>#VALUE!</v>
      </c>
      <c r="J12821" s="14" t="e">
        <f>=Round(0.00000000,0)</f>
        <v>#VALUE!</v>
      </c>
    </row>
    <row r="12822">
      <c r="A12822" s="11" t="s">
        <v>54</v>
      </c>
      <c r="B12822" s="12">
        <v>1015.1276</v>
      </c>
      <c r="C12822" s="12">
        <v>0</v>
      </c>
      <c r="D12822" s="13">
        <v>0</v>
      </c>
      <c r="E12822" s="12">
        <v>0</v>
      </c>
      <c r="F12822" s="14">
        <v>0</v>
      </c>
      <c r="G12822" s="13">
        <v>67703000</v>
      </c>
      <c r="H12822" s="14">
        <v>68727183902.8</v>
      </c>
      <c r="I12822" s="14" t="e">
        <f>=Round(949994.88100000,0)</f>
        <v>#VALUE!</v>
      </c>
      <c r="J12822" s="14" t="e">
        <f>=Round(0.00000000,0)</f>
        <v>#VALUE!</v>
      </c>
    </row>
    <row r="12823">
      <c r="A12823" s="11" t="s">
        <v>55</v>
      </c>
      <c r="B12823" s="12">
        <v>1014.1822</v>
      </c>
      <c r="C12823" s="12">
        <v>0</v>
      </c>
      <c r="D12823" s="13">
        <v>0</v>
      </c>
      <c r="E12823" s="12">
        <v>0</v>
      </c>
      <c r="F12823" s="14">
        <v>0</v>
      </c>
      <c r="G12823" s="13">
        <v>67703000</v>
      </c>
      <c r="H12823" s="14">
        <v>68663177486.6</v>
      </c>
      <c r="I12823" s="14" t="e">
        <f>=Round(950162.70640000,0)</f>
        <v>#VALUE!</v>
      </c>
      <c r="J12823" s="14" t="e">
        <f>=Round(0.00000000,0)</f>
        <v>#VALUE!</v>
      </c>
    </row>
    <row r="12824" ht="-1">
      <c r="A12824" s="15"/>
      <c r="B12824" s="16" t="s">
        <v>56</v>
      </c>
      <c r="C12824" s="15"/>
      <c r="D12824" s="15"/>
      <c r="E12824" s="15"/>
      <c r="F12824" s="15"/>
      <c r="G12824" s="15"/>
      <c r="H12824" s="15"/>
      <c r="I12824" s="17" t="e">
        <f>=Round(SUM(I12798:I12823),0)</f>
        <v>#VALUE!</v>
      </c>
      <c r="J12824" s="17" t="e">
        <f>=Round(SUM(J12798:J12823),0)</f>
        <v>#VALUE!</v>
      </c>
    </row>
    <row r="12825">
      <c r="A12825" s="1" t="s">
        <v>0</v>
      </c>
      <c r="B12825" s="1"/>
      <c r="C12825" s="1"/>
      <c r="D12825" s="1"/>
    </row>
    <row r="12826">
      <c r="A12826" s="0" t="s">
        <v>1</v>
      </c>
      <c r="C12826" s="0" t="s">
        <v>430</v>
      </c>
      <c r="H12826" s="2" t="s">
        <v>3</v>
      </c>
    </row>
    <row r="12827">
      <c r="A12827" s="0" t="s">
        <v>4</v>
      </c>
      <c r="C12827" s="0" t="s">
        <v>433</v>
      </c>
      <c r="H12827" s="3" t="s">
        <v>6</v>
      </c>
    </row>
    <row r="12828">
      <c r="A12828" s="0" t="s">
        <v>7</v>
      </c>
      <c r="C12828" s="4" t="s">
        <v>431</v>
      </c>
      <c r="H12828" s="2" t="s">
        <v>9</v>
      </c>
    </row>
    <row r="12829">
      <c r="A12829" s="0" t="s">
        <v>10</v>
      </c>
      <c r="C12829" s="4" t="s">
        <v>11</v>
      </c>
      <c r="H12829" s="2" t="s">
        <v>12</v>
      </c>
    </row>
    <row r="12830">
      <c r="A12830" s="0" t="s">
        <v>13</v>
      </c>
      <c r="C12830" s="0" t="s">
        <v>14</v>
      </c>
    </row>
    <row r="12831">
      <c r="A12831" s="0" t="s">
        <v>15</v>
      </c>
      <c r="C12831" s="0" t="s">
        <v>16</v>
      </c>
    </row>
    <row r="12832">
      <c r="A12832" s="0" t="s">
        <v>17</v>
      </c>
      <c r="C12832" s="0" t="s">
        <v>18</v>
      </c>
    </row>
    <row r="12835">
      <c r="A12835" s="5" t="s">
        <v>19</v>
      </c>
      <c r="B12835" s="5" t="s">
        <v>20</v>
      </c>
      <c r="C12835" s="7" t="s">
        <v>21</v>
      </c>
      <c r="D12835" s="9"/>
      <c r="E12835" s="7" t="s">
        <v>22</v>
      </c>
      <c r="F12835" s="9"/>
      <c r="G12835" s="5" t="s">
        <v>23</v>
      </c>
      <c r="H12835" s="5" t="s">
        <v>24</v>
      </c>
      <c r="I12835" s="5" t="s">
        <v>432</v>
      </c>
      <c r="J12835" s="5" t="s">
        <v>26</v>
      </c>
    </row>
    <row r="12836">
      <c r="A12836" s="6"/>
      <c r="B12836" s="6"/>
      <c r="C12836" s="8" t="s">
        <v>27</v>
      </c>
      <c r="D12836" s="8" t="s">
        <v>28</v>
      </c>
      <c r="E12836" s="8" t="s">
        <v>27</v>
      </c>
      <c r="F12836" s="8" t="s">
        <v>28</v>
      </c>
      <c r="G12836" s="6"/>
      <c r="H12836" s="6"/>
      <c r="I12836" s="10" t="s">
        <v>29</v>
      </c>
      <c r="J12836" s="6"/>
    </row>
    <row r="12837">
      <c r="A12837" s="11" t="s">
        <v>30</v>
      </c>
      <c r="B12837" s="12">
        <v>1035.9887</v>
      </c>
      <c r="C12837" s="12">
        <v>0</v>
      </c>
      <c r="D12837" s="13">
        <v>0</v>
      </c>
      <c r="E12837" s="12">
        <v>0</v>
      </c>
      <c r="F12837" s="14">
        <v>0</v>
      </c>
      <c r="G12837" s="13">
        <v>1000000</v>
      </c>
      <c r="H12837" s="14">
        <v>1035988700</v>
      </c>
      <c r="I12837" s="14" t="e">
        <f>=Round(14311.30030000,0)</f>
        <v>#VALUE!</v>
      </c>
      <c r="J12837" s="14" t="e">
        <f>=Round(0.00000000,0)</f>
        <v>#VALUE!</v>
      </c>
    </row>
    <row r="12838">
      <c r="A12838" s="11" t="s">
        <v>31</v>
      </c>
      <c r="B12838" s="12">
        <v>1036.2631</v>
      </c>
      <c r="C12838" s="12">
        <v>0</v>
      </c>
      <c r="D12838" s="13">
        <v>0</v>
      </c>
      <c r="E12838" s="12">
        <v>0</v>
      </c>
      <c r="F12838" s="14">
        <v>0</v>
      </c>
      <c r="G12838" s="13">
        <v>1000000</v>
      </c>
      <c r="H12838" s="14">
        <v>1036263100</v>
      </c>
      <c r="I12838" s="14" t="e">
        <f>=Round(14322.68530000,0)</f>
        <v>#VALUE!</v>
      </c>
      <c r="J12838" s="14" t="e">
        <f>=Round(0.00000000,0)</f>
        <v>#VALUE!</v>
      </c>
    </row>
    <row r="12839">
      <c r="A12839" s="11" t="s">
        <v>32</v>
      </c>
      <c r="B12839" s="12">
        <v>1036.5375</v>
      </c>
      <c r="C12839" s="12">
        <v>0</v>
      </c>
      <c r="D12839" s="13">
        <v>0</v>
      </c>
      <c r="E12839" s="12">
        <v>0</v>
      </c>
      <c r="F12839" s="14">
        <v>0</v>
      </c>
      <c r="G12839" s="13">
        <v>1000000</v>
      </c>
      <c r="H12839" s="14">
        <v>1036537500</v>
      </c>
      <c r="I12839" s="14" t="e">
        <f>=Round(14326.47890000,0)</f>
        <v>#VALUE!</v>
      </c>
      <c r="J12839" s="14" t="e">
        <f>=Round(0.00000000,0)</f>
        <v>#VALUE!</v>
      </c>
    </row>
    <row r="12840">
      <c r="A12840" s="11" t="s">
        <v>33</v>
      </c>
      <c r="B12840" s="12">
        <v>1036.812</v>
      </c>
      <c r="C12840" s="12">
        <v>0</v>
      </c>
      <c r="D12840" s="13">
        <v>0</v>
      </c>
      <c r="E12840" s="12">
        <v>0</v>
      </c>
      <c r="F12840" s="14">
        <v>0</v>
      </c>
      <c r="G12840" s="13">
        <v>1000000</v>
      </c>
      <c r="H12840" s="14">
        <v>1036812000</v>
      </c>
      <c r="I12840" s="14" t="e">
        <f>=Round(14330.27250000,0)</f>
        <v>#VALUE!</v>
      </c>
      <c r="J12840" s="14" t="e">
        <f>=Round(0.00000000,0)</f>
        <v>#VALUE!</v>
      </c>
    </row>
    <row r="12841">
      <c r="A12841" s="11" t="s">
        <v>34</v>
      </c>
      <c r="B12841" s="12">
        <v>1037.0864</v>
      </c>
      <c r="C12841" s="12">
        <v>0</v>
      </c>
      <c r="D12841" s="13">
        <v>0</v>
      </c>
      <c r="E12841" s="12">
        <v>0</v>
      </c>
      <c r="F12841" s="14">
        <v>0</v>
      </c>
      <c r="G12841" s="13">
        <v>1000000</v>
      </c>
      <c r="H12841" s="14">
        <v>1037086400</v>
      </c>
      <c r="I12841" s="14" t="e">
        <f>=Round(14334.06750000,0)</f>
        <v>#VALUE!</v>
      </c>
      <c r="J12841" s="14" t="e">
        <f>=Round(0.00000000,0)</f>
        <v>#VALUE!</v>
      </c>
    </row>
    <row r="12842">
      <c r="A12842" s="11" t="s">
        <v>35</v>
      </c>
      <c r="B12842" s="12">
        <v>1037.0864</v>
      </c>
      <c r="C12842" s="12">
        <v>0</v>
      </c>
      <c r="D12842" s="13">
        <v>0</v>
      </c>
      <c r="E12842" s="12">
        <v>0</v>
      </c>
      <c r="F12842" s="14">
        <v>0</v>
      </c>
      <c r="G12842" s="13">
        <v>1000000</v>
      </c>
      <c r="H12842" s="14">
        <v>1037086400</v>
      </c>
      <c r="I12842" s="14" t="e">
        <f>=Round(14337.86120000,0)</f>
        <v>#VALUE!</v>
      </c>
      <c r="J12842" s="14" t="e">
        <f>=Round(0.00000000,0)</f>
        <v>#VALUE!</v>
      </c>
    </row>
    <row r="12843">
      <c r="A12843" s="11" t="s">
        <v>36</v>
      </c>
      <c r="B12843" s="12">
        <v>1037.0864</v>
      </c>
      <c r="C12843" s="12">
        <v>0</v>
      </c>
      <c r="D12843" s="13">
        <v>0</v>
      </c>
      <c r="E12843" s="12">
        <v>0</v>
      </c>
      <c r="F12843" s="14">
        <v>0</v>
      </c>
      <c r="G12843" s="13">
        <v>1000000</v>
      </c>
      <c r="H12843" s="14">
        <v>1037086400</v>
      </c>
      <c r="I12843" s="14" t="e">
        <f>=Round(14337.86120000,0)</f>
        <v>#VALUE!</v>
      </c>
      <c r="J12843" s="14" t="e">
        <f>=Round(0.00000000,0)</f>
        <v>#VALUE!</v>
      </c>
    </row>
    <row r="12844">
      <c r="A12844" s="11" t="s">
        <v>37</v>
      </c>
      <c r="B12844" s="12">
        <v>1037.9098</v>
      </c>
      <c r="C12844" s="12">
        <v>0</v>
      </c>
      <c r="D12844" s="13">
        <v>0</v>
      </c>
      <c r="E12844" s="12">
        <v>0</v>
      </c>
      <c r="F12844" s="14">
        <v>0</v>
      </c>
      <c r="G12844" s="13">
        <v>1000000</v>
      </c>
      <c r="H12844" s="14">
        <v>1037909800</v>
      </c>
      <c r="I12844" s="14" t="e">
        <f>=Round(14337.86120000,0)</f>
        <v>#VALUE!</v>
      </c>
      <c r="J12844" s="14" t="e">
        <f>=Round(0.00000000,0)</f>
        <v>#VALUE!</v>
      </c>
    </row>
    <row r="12845">
      <c r="A12845" s="11" t="s">
        <v>38</v>
      </c>
      <c r="B12845" s="12">
        <v>1038.1843</v>
      </c>
      <c r="C12845" s="12">
        <v>0</v>
      </c>
      <c r="D12845" s="13">
        <v>0</v>
      </c>
      <c r="E12845" s="12">
        <v>0</v>
      </c>
      <c r="F12845" s="14">
        <v>0</v>
      </c>
      <c r="G12845" s="13">
        <v>1000000</v>
      </c>
      <c r="H12845" s="14">
        <v>1038184300</v>
      </c>
      <c r="I12845" s="14" t="e">
        <f>=Round(14349.24480000,0)</f>
        <v>#VALUE!</v>
      </c>
      <c r="J12845" s="14" t="e">
        <f>=Round(0.00000000,0)</f>
        <v>#VALUE!</v>
      </c>
    </row>
    <row r="12846">
      <c r="A12846" s="11" t="s">
        <v>39</v>
      </c>
      <c r="B12846" s="12">
        <v>1037.4635</v>
      </c>
      <c r="C12846" s="12">
        <v>0</v>
      </c>
      <c r="D12846" s="13">
        <v>0</v>
      </c>
      <c r="E12846" s="12">
        <v>0</v>
      </c>
      <c r="F12846" s="14">
        <v>0</v>
      </c>
      <c r="G12846" s="13">
        <v>1000000</v>
      </c>
      <c r="H12846" s="14">
        <v>1037463500</v>
      </c>
      <c r="I12846" s="14" t="e">
        <f>=Round(14353.03980000,0)</f>
        <v>#VALUE!</v>
      </c>
      <c r="J12846" s="14" t="e">
        <f>=Round(0.00000000,0)</f>
        <v>#VALUE!</v>
      </c>
    </row>
    <row r="12847">
      <c r="A12847" s="11" t="s">
        <v>40</v>
      </c>
      <c r="B12847" s="12">
        <v>1036.7427</v>
      </c>
      <c r="C12847" s="12">
        <v>0</v>
      </c>
      <c r="D12847" s="13">
        <v>0</v>
      </c>
      <c r="E12847" s="12">
        <v>0</v>
      </c>
      <c r="F12847" s="14">
        <v>0</v>
      </c>
      <c r="G12847" s="13">
        <v>1000000</v>
      </c>
      <c r="H12847" s="14">
        <v>1036742700</v>
      </c>
      <c r="I12847" s="14" t="e">
        <f>=Round(14343.07460000,0)</f>
        <v>#VALUE!</v>
      </c>
      <c r="J12847" s="14" t="e">
        <f>=Round(0.00000000,0)</f>
        <v>#VALUE!</v>
      </c>
    </row>
    <row r="12848">
      <c r="A12848" s="11" t="s">
        <v>41</v>
      </c>
      <c r="B12848" s="12">
        <v>1035.7532</v>
      </c>
      <c r="C12848" s="12">
        <v>0</v>
      </c>
      <c r="D12848" s="13">
        <v>0</v>
      </c>
      <c r="E12848" s="12">
        <v>0</v>
      </c>
      <c r="F12848" s="14">
        <v>0</v>
      </c>
      <c r="G12848" s="13">
        <v>1000000</v>
      </c>
      <c r="H12848" s="14">
        <v>1035753200</v>
      </c>
      <c r="I12848" s="14" t="e">
        <f>=Round(14333.10950000,0)</f>
        <v>#VALUE!</v>
      </c>
      <c r="J12848" s="14" t="e">
        <f>=Round(0.00000000,0)</f>
        <v>#VALUE!</v>
      </c>
    </row>
    <row r="12849">
      <c r="A12849" s="11" t="s">
        <v>42</v>
      </c>
      <c r="B12849" s="12">
        <v>1035.7532</v>
      </c>
      <c r="C12849" s="12">
        <v>0</v>
      </c>
      <c r="D12849" s="13">
        <v>0</v>
      </c>
      <c r="E12849" s="12">
        <v>0</v>
      </c>
      <c r="F12849" s="14">
        <v>0</v>
      </c>
      <c r="G12849" s="13">
        <v>1000000</v>
      </c>
      <c r="H12849" s="14">
        <v>1035753200</v>
      </c>
      <c r="I12849" s="14" t="e">
        <f>=Round(14319.42950000,0)</f>
        <v>#VALUE!</v>
      </c>
      <c r="J12849" s="14" t="e">
        <f>=Round(0.00000000,0)</f>
        <v>#VALUE!</v>
      </c>
    </row>
    <row r="12850">
      <c r="A12850" s="11" t="s">
        <v>43</v>
      </c>
      <c r="B12850" s="12">
        <v>1035.7532</v>
      </c>
      <c r="C12850" s="12">
        <v>0</v>
      </c>
      <c r="D12850" s="13">
        <v>0</v>
      </c>
      <c r="E12850" s="12">
        <v>0</v>
      </c>
      <c r="F12850" s="14">
        <v>0</v>
      </c>
      <c r="G12850" s="13">
        <v>1000000</v>
      </c>
      <c r="H12850" s="14">
        <v>1035753200</v>
      </c>
      <c r="I12850" s="14" t="e">
        <f>=Round(14319.42950000,0)</f>
        <v>#VALUE!</v>
      </c>
      <c r="J12850" s="14" t="e">
        <f>=Round(0.00000000,0)</f>
        <v>#VALUE!</v>
      </c>
    </row>
    <row r="12851">
      <c r="A12851" s="11" t="s">
        <v>44</v>
      </c>
      <c r="B12851" s="12">
        <v>1035.3098</v>
      </c>
      <c r="C12851" s="12">
        <v>0</v>
      </c>
      <c r="D12851" s="13">
        <v>0</v>
      </c>
      <c r="E12851" s="12">
        <v>0</v>
      </c>
      <c r="F12851" s="14">
        <v>0</v>
      </c>
      <c r="G12851" s="13">
        <v>1000000</v>
      </c>
      <c r="H12851" s="14">
        <v>1035309800</v>
      </c>
      <c r="I12851" s="14" t="e">
        <f>=Round(14319.42950000,0)</f>
        <v>#VALUE!</v>
      </c>
      <c r="J12851" s="14" t="e">
        <f>=Round(0.00000000,0)</f>
        <v>#VALUE!</v>
      </c>
    </row>
    <row r="12852">
      <c r="A12852" s="11" t="s">
        <v>45</v>
      </c>
      <c r="B12852" s="12">
        <v>1033.8346</v>
      </c>
      <c r="C12852" s="12">
        <v>0</v>
      </c>
      <c r="D12852" s="13">
        <v>0</v>
      </c>
      <c r="E12852" s="12">
        <v>0</v>
      </c>
      <c r="F12852" s="14">
        <v>0</v>
      </c>
      <c r="G12852" s="13">
        <v>1000000</v>
      </c>
      <c r="H12852" s="14">
        <v>1033834600</v>
      </c>
      <c r="I12852" s="14" t="e">
        <f>=Round(14313.29940000,0)</f>
        <v>#VALUE!</v>
      </c>
      <c r="J12852" s="14" t="e">
        <f>=Round(0.00000000,0)</f>
        <v>#VALUE!</v>
      </c>
    </row>
    <row r="12853">
      <c r="A12853" s="11" t="s">
        <v>46</v>
      </c>
      <c r="B12853" s="12">
        <v>1036.0399</v>
      </c>
      <c r="C12853" s="12">
        <v>0</v>
      </c>
      <c r="D12853" s="13">
        <v>0</v>
      </c>
      <c r="E12853" s="12">
        <v>0</v>
      </c>
      <c r="F12853" s="14">
        <v>0</v>
      </c>
      <c r="G12853" s="13">
        <v>1000000</v>
      </c>
      <c r="H12853" s="14">
        <v>1036039900</v>
      </c>
      <c r="I12853" s="14" t="e">
        <f>=Round(14292.90460000,0)</f>
        <v>#VALUE!</v>
      </c>
      <c r="J12853" s="14" t="e">
        <f>=Round(0.00000000,0)</f>
        <v>#VALUE!</v>
      </c>
    </row>
    <row r="12854">
      <c r="A12854" s="11" t="s">
        <v>47</v>
      </c>
      <c r="B12854" s="12">
        <v>1037.1932</v>
      </c>
      <c r="C12854" s="12">
        <v>0</v>
      </c>
      <c r="D12854" s="13">
        <v>0</v>
      </c>
      <c r="E12854" s="12">
        <v>0</v>
      </c>
      <c r="F12854" s="14">
        <v>0</v>
      </c>
      <c r="G12854" s="13">
        <v>1000000</v>
      </c>
      <c r="H12854" s="14">
        <v>1037193200</v>
      </c>
      <c r="I12854" s="14" t="e">
        <f>=Round(14323.39320000,0)</f>
        <v>#VALUE!</v>
      </c>
      <c r="J12854" s="14" t="e">
        <f>=Round(0.00000000,0)</f>
        <v>#VALUE!</v>
      </c>
    </row>
    <row r="12855">
      <c r="A12855" s="11" t="s">
        <v>48</v>
      </c>
      <c r="B12855" s="12">
        <v>1037.9086</v>
      </c>
      <c r="C12855" s="12">
        <v>0</v>
      </c>
      <c r="D12855" s="13">
        <v>0</v>
      </c>
      <c r="E12855" s="12">
        <v>0</v>
      </c>
      <c r="F12855" s="14">
        <v>0</v>
      </c>
      <c r="G12855" s="13">
        <v>1000000</v>
      </c>
      <c r="H12855" s="14">
        <v>1037908600</v>
      </c>
      <c r="I12855" s="14" t="e">
        <f>=Round(14339.33770000,0)</f>
        <v>#VALUE!</v>
      </c>
      <c r="J12855" s="14" t="e">
        <f>=Round(0.00000000,0)</f>
        <v>#VALUE!</v>
      </c>
    </row>
    <row r="12856">
      <c r="A12856" s="11" t="s">
        <v>49</v>
      </c>
      <c r="B12856" s="12">
        <v>1037.9086</v>
      </c>
      <c r="C12856" s="12">
        <v>0</v>
      </c>
      <c r="D12856" s="13">
        <v>0</v>
      </c>
      <c r="E12856" s="12">
        <v>0</v>
      </c>
      <c r="F12856" s="14">
        <v>0</v>
      </c>
      <c r="G12856" s="13">
        <v>1000000</v>
      </c>
      <c r="H12856" s="14">
        <v>1037908600</v>
      </c>
      <c r="I12856" s="14" t="e">
        <f>=Round(14349.22820000,0)</f>
        <v>#VALUE!</v>
      </c>
      <c r="J12856" s="14" t="e">
        <f>=Round(0.00000000,0)</f>
        <v>#VALUE!</v>
      </c>
    </row>
    <row r="12857">
      <c r="A12857" s="11" t="s">
        <v>50</v>
      </c>
      <c r="B12857" s="12">
        <v>1037.9086</v>
      </c>
      <c r="C12857" s="12">
        <v>0</v>
      </c>
      <c r="D12857" s="13">
        <v>0</v>
      </c>
      <c r="E12857" s="12">
        <v>0</v>
      </c>
      <c r="F12857" s="14">
        <v>0</v>
      </c>
      <c r="G12857" s="13">
        <v>1000000</v>
      </c>
      <c r="H12857" s="14">
        <v>1037908600</v>
      </c>
      <c r="I12857" s="14" t="e">
        <f>=Round(14349.22820000,0)</f>
        <v>#VALUE!</v>
      </c>
      <c r="J12857" s="14" t="e">
        <f>=Round(0.00000000,0)</f>
        <v>#VALUE!</v>
      </c>
    </row>
    <row r="12858">
      <c r="A12858" s="11" t="s">
        <v>51</v>
      </c>
      <c r="B12858" s="12">
        <v>1014.2364</v>
      </c>
      <c r="C12858" s="12">
        <v>0</v>
      </c>
      <c r="D12858" s="13">
        <v>0</v>
      </c>
      <c r="E12858" s="12">
        <v>0</v>
      </c>
      <c r="F12858" s="14">
        <v>0</v>
      </c>
      <c r="G12858" s="13">
        <v>1000000</v>
      </c>
      <c r="H12858" s="14">
        <v>1014236400</v>
      </c>
      <c r="I12858" s="14" t="e">
        <f>=Round(14349.22820000,0)</f>
        <v>#VALUE!</v>
      </c>
      <c r="J12858" s="14" t="e">
        <f>=Round(0.00000000,0)</f>
        <v>#VALUE!</v>
      </c>
    </row>
    <row r="12859">
      <c r="A12859" s="11" t="s">
        <v>52</v>
      </c>
      <c r="B12859" s="12">
        <v>1014.5231</v>
      </c>
      <c r="C12859" s="12">
        <v>0</v>
      </c>
      <c r="D12859" s="13">
        <v>0</v>
      </c>
      <c r="E12859" s="12">
        <v>0</v>
      </c>
      <c r="F12859" s="14">
        <v>0</v>
      </c>
      <c r="G12859" s="13">
        <v>1000000</v>
      </c>
      <c r="H12859" s="14">
        <v>1014523100</v>
      </c>
      <c r="I12859" s="14" t="e">
        <f>=Round(14021.95680000,0)</f>
        <v>#VALUE!</v>
      </c>
      <c r="J12859" s="14" t="e">
        <f>=Round(0.00000000,0)</f>
        <v>#VALUE!</v>
      </c>
    </row>
    <row r="12860">
      <c r="A12860" s="11" t="s">
        <v>53</v>
      </c>
      <c r="B12860" s="12">
        <v>1014.9483</v>
      </c>
      <c r="C12860" s="12">
        <v>0</v>
      </c>
      <c r="D12860" s="13">
        <v>0</v>
      </c>
      <c r="E12860" s="12">
        <v>0</v>
      </c>
      <c r="F12860" s="14">
        <v>0</v>
      </c>
      <c r="G12860" s="13">
        <v>1000000</v>
      </c>
      <c r="H12860" s="14">
        <v>1014948300</v>
      </c>
      <c r="I12860" s="14" t="e">
        <f>=Round(14025.92050000,0)</f>
        <v>#VALUE!</v>
      </c>
      <c r="J12860" s="14" t="e">
        <f>=Round(0.00000000,0)</f>
        <v>#VALUE!</v>
      </c>
    </row>
    <row r="12861">
      <c r="A12861" s="11" t="s">
        <v>54</v>
      </c>
      <c r="B12861" s="12">
        <v>1015.1276</v>
      </c>
      <c r="C12861" s="12">
        <v>0</v>
      </c>
      <c r="D12861" s="13">
        <v>0</v>
      </c>
      <c r="E12861" s="12">
        <v>0</v>
      </c>
      <c r="F12861" s="14">
        <v>0</v>
      </c>
      <c r="G12861" s="13">
        <v>1000000</v>
      </c>
      <c r="H12861" s="14">
        <v>1015127600</v>
      </c>
      <c r="I12861" s="14" t="e">
        <f>=Round(14031.79890000,0)</f>
        <v>#VALUE!</v>
      </c>
      <c r="J12861" s="14" t="e">
        <f>=Round(0.00000000,0)</f>
        <v>#VALUE!</v>
      </c>
    </row>
    <row r="12862">
      <c r="A12862" s="11" t="s">
        <v>55</v>
      </c>
      <c r="B12862" s="12">
        <v>1014.1822</v>
      </c>
      <c r="C12862" s="12">
        <v>0</v>
      </c>
      <c r="D12862" s="13">
        <v>0</v>
      </c>
      <c r="E12862" s="12">
        <v>0</v>
      </c>
      <c r="F12862" s="14">
        <v>0</v>
      </c>
      <c r="G12862" s="13">
        <v>1000000</v>
      </c>
      <c r="H12862" s="14">
        <v>1014182200</v>
      </c>
      <c r="I12862" s="14" t="e">
        <f>=Round(14034.27770000,0)</f>
        <v>#VALUE!</v>
      </c>
      <c r="J12862" s="14" t="e">
        <f>=Round(0.00000000,0)</f>
        <v>#VALUE!</v>
      </c>
    </row>
    <row r="12863" ht="-1">
      <c r="A12863" s="15"/>
      <c r="B12863" s="16" t="s">
        <v>56</v>
      </c>
      <c r="C12863" s="15"/>
      <c r="D12863" s="15"/>
      <c r="E12863" s="15"/>
      <c r="F12863" s="15"/>
      <c r="G12863" s="15"/>
      <c r="H12863" s="15"/>
      <c r="I12863" s="17" t="e">
        <f>=Round(SUM(I12837:I12862),0)</f>
        <v>#VALUE!</v>
      </c>
      <c r="J12863" s="17" t="e">
        <f>=Round(SUM(J12837:J12862),0)</f>
        <v>#VALUE!</v>
      </c>
    </row>
    <row r="12864">
      <c r="A12864" s="1" t="s">
        <v>0</v>
      </c>
      <c r="B12864" s="1"/>
      <c r="C12864" s="1"/>
      <c r="D12864" s="1"/>
    </row>
    <row r="12865">
      <c r="A12865" s="0" t="s">
        <v>1</v>
      </c>
      <c r="C12865" s="0" t="s">
        <v>430</v>
      </c>
      <c r="H12865" s="2" t="s">
        <v>3</v>
      </c>
    </row>
    <row r="12866">
      <c r="A12866" s="0" t="s">
        <v>4</v>
      </c>
      <c r="C12866" s="0" t="s">
        <v>434</v>
      </c>
      <c r="H12866" s="3" t="s">
        <v>6</v>
      </c>
    </row>
    <row r="12867">
      <c r="A12867" s="0" t="s">
        <v>7</v>
      </c>
      <c r="C12867" s="4" t="s">
        <v>431</v>
      </c>
      <c r="H12867" s="2" t="s">
        <v>9</v>
      </c>
    </row>
    <row r="12868">
      <c r="A12868" s="0" t="s">
        <v>10</v>
      </c>
      <c r="C12868" s="4" t="s">
        <v>11</v>
      </c>
      <c r="H12868" s="2" t="s">
        <v>12</v>
      </c>
    </row>
    <row r="12869">
      <c r="A12869" s="0" t="s">
        <v>13</v>
      </c>
      <c r="C12869" s="0" t="s">
        <v>14</v>
      </c>
    </row>
    <row r="12870">
      <c r="A12870" s="0" t="s">
        <v>15</v>
      </c>
      <c r="C12870" s="0" t="s">
        <v>16</v>
      </c>
    </row>
    <row r="12871">
      <c r="A12871" s="0" t="s">
        <v>17</v>
      </c>
      <c r="C12871" s="0" t="s">
        <v>18</v>
      </c>
    </row>
    <row r="12874">
      <c r="A12874" s="5" t="s">
        <v>19</v>
      </c>
      <c r="B12874" s="5" t="s">
        <v>20</v>
      </c>
      <c r="C12874" s="7" t="s">
        <v>21</v>
      </c>
      <c r="D12874" s="9"/>
      <c r="E12874" s="7" t="s">
        <v>22</v>
      </c>
      <c r="F12874" s="9"/>
      <c r="G12874" s="5" t="s">
        <v>23</v>
      </c>
      <c r="H12874" s="5" t="s">
        <v>24</v>
      </c>
      <c r="I12874" s="5" t="s">
        <v>432</v>
      </c>
      <c r="J12874" s="5" t="s">
        <v>26</v>
      </c>
    </row>
    <row r="12875">
      <c r="A12875" s="6"/>
      <c r="B12875" s="6"/>
      <c r="C12875" s="8" t="s">
        <v>27</v>
      </c>
      <c r="D12875" s="8" t="s">
        <v>28</v>
      </c>
      <c r="E12875" s="8" t="s">
        <v>27</v>
      </c>
      <c r="F12875" s="8" t="s">
        <v>28</v>
      </c>
      <c r="G12875" s="6"/>
      <c r="H12875" s="6"/>
      <c r="I12875" s="10" t="s">
        <v>29</v>
      </c>
      <c r="J12875" s="6"/>
    </row>
    <row r="12876">
      <c r="A12876" s="11" t="s">
        <v>30</v>
      </c>
      <c r="B12876" s="12">
        <v>1035.9887</v>
      </c>
      <c r="C12876" s="12">
        <v>0</v>
      </c>
      <c r="D12876" s="13">
        <v>0</v>
      </c>
      <c r="E12876" s="12">
        <v>0</v>
      </c>
      <c r="F12876" s="14">
        <v>0</v>
      </c>
      <c r="G12876" s="13">
        <v>900000</v>
      </c>
      <c r="H12876" s="14">
        <v>932389830</v>
      </c>
      <c r="I12876" s="14" t="e">
        <f>=Round(12880.17030000,0)</f>
        <v>#VALUE!</v>
      </c>
      <c r="J12876" s="14" t="e">
        <f>=Round(0.00000000,0)</f>
        <v>#VALUE!</v>
      </c>
    </row>
    <row r="12877">
      <c r="A12877" s="11" t="s">
        <v>31</v>
      </c>
      <c r="B12877" s="12">
        <v>1036.2631</v>
      </c>
      <c r="C12877" s="12">
        <v>0</v>
      </c>
      <c r="D12877" s="13">
        <v>0</v>
      </c>
      <c r="E12877" s="12">
        <v>0</v>
      </c>
      <c r="F12877" s="14">
        <v>0</v>
      </c>
      <c r="G12877" s="13">
        <v>900000</v>
      </c>
      <c r="H12877" s="14">
        <v>932636790</v>
      </c>
      <c r="I12877" s="14" t="e">
        <f>=Round(12890.41680000,0)</f>
        <v>#VALUE!</v>
      </c>
      <c r="J12877" s="14" t="e">
        <f>=Round(0.00000000,0)</f>
        <v>#VALUE!</v>
      </c>
    </row>
    <row r="12878">
      <c r="A12878" s="11" t="s">
        <v>32</v>
      </c>
      <c r="B12878" s="12">
        <v>1036.5375</v>
      </c>
      <c r="C12878" s="12">
        <v>0</v>
      </c>
      <c r="D12878" s="13">
        <v>0</v>
      </c>
      <c r="E12878" s="12">
        <v>0</v>
      </c>
      <c r="F12878" s="14">
        <v>0</v>
      </c>
      <c r="G12878" s="13">
        <v>900000</v>
      </c>
      <c r="H12878" s="14">
        <v>932883750</v>
      </c>
      <c r="I12878" s="14" t="e">
        <f>=Round(12893.83100000,0)</f>
        <v>#VALUE!</v>
      </c>
      <c r="J12878" s="14" t="e">
        <f>=Round(0.00000000,0)</f>
        <v>#VALUE!</v>
      </c>
    </row>
    <row r="12879">
      <c r="A12879" s="11" t="s">
        <v>33</v>
      </c>
      <c r="B12879" s="12">
        <v>1036.812</v>
      </c>
      <c r="C12879" s="12">
        <v>0</v>
      </c>
      <c r="D12879" s="13">
        <v>0</v>
      </c>
      <c r="E12879" s="12">
        <v>0</v>
      </c>
      <c r="F12879" s="14">
        <v>0</v>
      </c>
      <c r="G12879" s="13">
        <v>900000</v>
      </c>
      <c r="H12879" s="14">
        <v>933130800</v>
      </c>
      <c r="I12879" s="14" t="e">
        <f>=Round(12897.24530000,0)</f>
        <v>#VALUE!</v>
      </c>
      <c r="J12879" s="14" t="e">
        <f>=Round(0.00000000,0)</f>
        <v>#VALUE!</v>
      </c>
    </row>
    <row r="12880">
      <c r="A12880" s="11" t="s">
        <v>34</v>
      </c>
      <c r="B12880" s="12">
        <v>1037.0864</v>
      </c>
      <c r="C12880" s="12">
        <v>0</v>
      </c>
      <c r="D12880" s="13">
        <v>0</v>
      </c>
      <c r="E12880" s="12">
        <v>0</v>
      </c>
      <c r="F12880" s="14">
        <v>0</v>
      </c>
      <c r="G12880" s="13">
        <v>900000</v>
      </c>
      <c r="H12880" s="14">
        <v>933377760</v>
      </c>
      <c r="I12880" s="14" t="e">
        <f>=Round(12900.66080000,0)</f>
        <v>#VALUE!</v>
      </c>
      <c r="J12880" s="14" t="e">
        <f>=Round(0.00000000,0)</f>
        <v>#VALUE!</v>
      </c>
    </row>
    <row r="12881">
      <c r="A12881" s="11" t="s">
        <v>35</v>
      </c>
      <c r="B12881" s="12">
        <v>1037.0864</v>
      </c>
      <c r="C12881" s="12">
        <v>0</v>
      </c>
      <c r="D12881" s="13">
        <v>0</v>
      </c>
      <c r="E12881" s="12">
        <v>0</v>
      </c>
      <c r="F12881" s="14">
        <v>0</v>
      </c>
      <c r="G12881" s="13">
        <v>900000</v>
      </c>
      <c r="H12881" s="14">
        <v>933377760</v>
      </c>
      <c r="I12881" s="14" t="e">
        <f>=Round(12904.07500000,0)</f>
        <v>#VALUE!</v>
      </c>
      <c r="J12881" s="14" t="e">
        <f>=Round(0.00000000,0)</f>
        <v>#VALUE!</v>
      </c>
    </row>
    <row r="12882">
      <c r="A12882" s="11" t="s">
        <v>36</v>
      </c>
      <c r="B12882" s="12">
        <v>1037.0864</v>
      </c>
      <c r="C12882" s="12">
        <v>0</v>
      </c>
      <c r="D12882" s="13">
        <v>0</v>
      </c>
      <c r="E12882" s="12">
        <v>0</v>
      </c>
      <c r="F12882" s="14">
        <v>0</v>
      </c>
      <c r="G12882" s="13">
        <v>900000</v>
      </c>
      <c r="H12882" s="14">
        <v>933377760</v>
      </c>
      <c r="I12882" s="14" t="e">
        <f>=Round(12904.07500000,0)</f>
        <v>#VALUE!</v>
      </c>
      <c r="J12882" s="14" t="e">
        <f>=Round(0.00000000,0)</f>
        <v>#VALUE!</v>
      </c>
    </row>
    <row r="12883">
      <c r="A12883" s="11" t="s">
        <v>37</v>
      </c>
      <c r="B12883" s="12">
        <v>1037.9098</v>
      </c>
      <c r="C12883" s="12">
        <v>0</v>
      </c>
      <c r="D12883" s="13">
        <v>0</v>
      </c>
      <c r="E12883" s="12">
        <v>0</v>
      </c>
      <c r="F12883" s="14">
        <v>0</v>
      </c>
      <c r="G12883" s="13">
        <v>900000</v>
      </c>
      <c r="H12883" s="14">
        <v>934118820</v>
      </c>
      <c r="I12883" s="14" t="e">
        <f>=Round(12904.07500000,0)</f>
        <v>#VALUE!</v>
      </c>
      <c r="J12883" s="14" t="e">
        <f>=Round(0.00000000,0)</f>
        <v>#VALUE!</v>
      </c>
    </row>
    <row r="12884">
      <c r="A12884" s="11" t="s">
        <v>38</v>
      </c>
      <c r="B12884" s="12">
        <v>1038.1843</v>
      </c>
      <c r="C12884" s="12">
        <v>0</v>
      </c>
      <c r="D12884" s="13">
        <v>0</v>
      </c>
      <c r="E12884" s="12">
        <v>0</v>
      </c>
      <c r="F12884" s="14">
        <v>0</v>
      </c>
      <c r="G12884" s="13">
        <v>900000</v>
      </c>
      <c r="H12884" s="14">
        <v>934365870</v>
      </c>
      <c r="I12884" s="14" t="e">
        <f>=Round(12914.32030000,0)</f>
        <v>#VALUE!</v>
      </c>
      <c r="J12884" s="14" t="e">
        <f>=Round(0.00000000,0)</f>
        <v>#VALUE!</v>
      </c>
    </row>
    <row r="12885">
      <c r="A12885" s="11" t="s">
        <v>39</v>
      </c>
      <c r="B12885" s="12">
        <v>1037.4635</v>
      </c>
      <c r="C12885" s="12">
        <v>0</v>
      </c>
      <c r="D12885" s="13">
        <v>0</v>
      </c>
      <c r="E12885" s="12">
        <v>0</v>
      </c>
      <c r="F12885" s="14">
        <v>0</v>
      </c>
      <c r="G12885" s="13">
        <v>900000</v>
      </c>
      <c r="H12885" s="14">
        <v>933717150</v>
      </c>
      <c r="I12885" s="14" t="e">
        <f>=Round(12917.73580000,0)</f>
        <v>#VALUE!</v>
      </c>
      <c r="J12885" s="14" t="e">
        <f>=Round(0.00000000,0)</f>
        <v>#VALUE!</v>
      </c>
    </row>
    <row r="12886">
      <c r="A12886" s="11" t="s">
        <v>40</v>
      </c>
      <c r="B12886" s="12">
        <v>1036.7427</v>
      </c>
      <c r="C12886" s="12">
        <v>0</v>
      </c>
      <c r="D12886" s="13">
        <v>0</v>
      </c>
      <c r="E12886" s="12">
        <v>0</v>
      </c>
      <c r="F12886" s="14">
        <v>0</v>
      </c>
      <c r="G12886" s="13">
        <v>900000</v>
      </c>
      <c r="H12886" s="14">
        <v>933068430</v>
      </c>
      <c r="I12886" s="14" t="e">
        <f>=Round(12908.76720000,0)</f>
        <v>#VALUE!</v>
      </c>
      <c r="J12886" s="14" t="e">
        <f>=Round(0.00000000,0)</f>
        <v>#VALUE!</v>
      </c>
    </row>
    <row r="12887">
      <c r="A12887" s="11" t="s">
        <v>41</v>
      </c>
      <c r="B12887" s="12">
        <v>1035.7532</v>
      </c>
      <c r="C12887" s="12">
        <v>0</v>
      </c>
      <c r="D12887" s="13">
        <v>0</v>
      </c>
      <c r="E12887" s="12">
        <v>0</v>
      </c>
      <c r="F12887" s="14">
        <v>0</v>
      </c>
      <c r="G12887" s="13">
        <v>900000</v>
      </c>
      <c r="H12887" s="14">
        <v>932177880</v>
      </c>
      <c r="I12887" s="14" t="e">
        <f>=Round(12899.79850000,0)</f>
        <v>#VALUE!</v>
      </c>
      <c r="J12887" s="14" t="e">
        <f>=Round(0.00000000,0)</f>
        <v>#VALUE!</v>
      </c>
    </row>
    <row r="12888">
      <c r="A12888" s="11" t="s">
        <v>42</v>
      </c>
      <c r="B12888" s="12">
        <v>1035.7532</v>
      </c>
      <c r="C12888" s="12">
        <v>0</v>
      </c>
      <c r="D12888" s="13">
        <v>0</v>
      </c>
      <c r="E12888" s="12">
        <v>0</v>
      </c>
      <c r="F12888" s="14">
        <v>0</v>
      </c>
      <c r="G12888" s="13">
        <v>900000</v>
      </c>
      <c r="H12888" s="14">
        <v>932177880</v>
      </c>
      <c r="I12888" s="14" t="e">
        <f>=Round(12887.48650000,0)</f>
        <v>#VALUE!</v>
      </c>
      <c r="J12888" s="14" t="e">
        <f>=Round(0.00000000,0)</f>
        <v>#VALUE!</v>
      </c>
    </row>
    <row r="12889">
      <c r="A12889" s="11" t="s">
        <v>43</v>
      </c>
      <c r="B12889" s="12">
        <v>1035.7532</v>
      </c>
      <c r="C12889" s="12">
        <v>0</v>
      </c>
      <c r="D12889" s="13">
        <v>0</v>
      </c>
      <c r="E12889" s="12">
        <v>0</v>
      </c>
      <c r="F12889" s="14">
        <v>0</v>
      </c>
      <c r="G12889" s="13">
        <v>900000</v>
      </c>
      <c r="H12889" s="14">
        <v>932177880</v>
      </c>
      <c r="I12889" s="14" t="e">
        <f>=Round(12887.48650000,0)</f>
        <v>#VALUE!</v>
      </c>
      <c r="J12889" s="14" t="e">
        <f>=Round(0.00000000,0)</f>
        <v>#VALUE!</v>
      </c>
    </row>
    <row r="12890">
      <c r="A12890" s="11" t="s">
        <v>44</v>
      </c>
      <c r="B12890" s="12">
        <v>1035.3098</v>
      </c>
      <c r="C12890" s="12">
        <v>0</v>
      </c>
      <c r="D12890" s="13">
        <v>0</v>
      </c>
      <c r="E12890" s="12">
        <v>0</v>
      </c>
      <c r="F12890" s="14">
        <v>0</v>
      </c>
      <c r="G12890" s="13">
        <v>900000</v>
      </c>
      <c r="H12890" s="14">
        <v>931778820</v>
      </c>
      <c r="I12890" s="14" t="e">
        <f>=Round(12887.48650000,0)</f>
        <v>#VALUE!</v>
      </c>
      <c r="J12890" s="14" t="e">
        <f>=Round(0.00000000,0)</f>
        <v>#VALUE!</v>
      </c>
    </row>
    <row r="12891">
      <c r="A12891" s="11" t="s">
        <v>45</v>
      </c>
      <c r="B12891" s="12">
        <v>1033.8346</v>
      </c>
      <c r="C12891" s="12">
        <v>0</v>
      </c>
      <c r="D12891" s="13">
        <v>0</v>
      </c>
      <c r="E12891" s="12">
        <v>0</v>
      </c>
      <c r="F12891" s="14">
        <v>0</v>
      </c>
      <c r="G12891" s="13">
        <v>900000</v>
      </c>
      <c r="H12891" s="14">
        <v>930451140</v>
      </c>
      <c r="I12891" s="14" t="e">
        <f>=Round(12881.96950000,0)</f>
        <v>#VALUE!</v>
      </c>
      <c r="J12891" s="14" t="e">
        <f>=Round(0.00000000,0)</f>
        <v>#VALUE!</v>
      </c>
    </row>
    <row r="12892">
      <c r="A12892" s="11" t="s">
        <v>46</v>
      </c>
      <c r="B12892" s="12">
        <v>1036.0399</v>
      </c>
      <c r="C12892" s="12">
        <v>0</v>
      </c>
      <c r="D12892" s="13">
        <v>0</v>
      </c>
      <c r="E12892" s="12">
        <v>0</v>
      </c>
      <c r="F12892" s="14">
        <v>0</v>
      </c>
      <c r="G12892" s="13">
        <v>900000</v>
      </c>
      <c r="H12892" s="14">
        <v>932435910</v>
      </c>
      <c r="I12892" s="14" t="e">
        <f>=Round(12863.61410000,0)</f>
        <v>#VALUE!</v>
      </c>
      <c r="J12892" s="14" t="e">
        <f>=Round(0.00000000,0)</f>
        <v>#VALUE!</v>
      </c>
    </row>
    <row r="12893">
      <c r="A12893" s="11" t="s">
        <v>47</v>
      </c>
      <c r="B12893" s="12">
        <v>1037.1932</v>
      </c>
      <c r="C12893" s="12">
        <v>0</v>
      </c>
      <c r="D12893" s="13">
        <v>0</v>
      </c>
      <c r="E12893" s="12">
        <v>0</v>
      </c>
      <c r="F12893" s="14">
        <v>0</v>
      </c>
      <c r="G12893" s="13">
        <v>900000</v>
      </c>
      <c r="H12893" s="14">
        <v>933473880</v>
      </c>
      <c r="I12893" s="14" t="e">
        <f>=Round(12891.05380000,0)</f>
        <v>#VALUE!</v>
      </c>
      <c r="J12893" s="14" t="e">
        <f>=Round(0.00000000,0)</f>
        <v>#VALUE!</v>
      </c>
    </row>
    <row r="12894">
      <c r="A12894" s="11" t="s">
        <v>48</v>
      </c>
      <c r="B12894" s="12">
        <v>1037.9086</v>
      </c>
      <c r="C12894" s="12">
        <v>0</v>
      </c>
      <c r="D12894" s="13">
        <v>0</v>
      </c>
      <c r="E12894" s="12">
        <v>0</v>
      </c>
      <c r="F12894" s="14">
        <v>0</v>
      </c>
      <c r="G12894" s="13">
        <v>900000</v>
      </c>
      <c r="H12894" s="14">
        <v>934117740</v>
      </c>
      <c r="I12894" s="14" t="e">
        <f>=Round(12905.40390000,0)</f>
        <v>#VALUE!</v>
      </c>
      <c r="J12894" s="14" t="e">
        <f>=Round(0.00000000,0)</f>
        <v>#VALUE!</v>
      </c>
    </row>
    <row r="12895">
      <c r="A12895" s="11" t="s">
        <v>49</v>
      </c>
      <c r="B12895" s="12">
        <v>1037.9086</v>
      </c>
      <c r="C12895" s="12">
        <v>0</v>
      </c>
      <c r="D12895" s="13">
        <v>0</v>
      </c>
      <c r="E12895" s="12">
        <v>0</v>
      </c>
      <c r="F12895" s="14">
        <v>0</v>
      </c>
      <c r="G12895" s="13">
        <v>900000</v>
      </c>
      <c r="H12895" s="14">
        <v>934117740</v>
      </c>
      <c r="I12895" s="14" t="e">
        <f>=Round(12914.30540000,0)</f>
        <v>#VALUE!</v>
      </c>
      <c r="J12895" s="14" t="e">
        <f>=Round(0.00000000,0)</f>
        <v>#VALUE!</v>
      </c>
    </row>
    <row r="12896">
      <c r="A12896" s="11" t="s">
        <v>50</v>
      </c>
      <c r="B12896" s="12">
        <v>1037.9086</v>
      </c>
      <c r="C12896" s="12">
        <v>0</v>
      </c>
      <c r="D12896" s="13">
        <v>0</v>
      </c>
      <c r="E12896" s="12">
        <v>0</v>
      </c>
      <c r="F12896" s="14">
        <v>0</v>
      </c>
      <c r="G12896" s="13">
        <v>900000</v>
      </c>
      <c r="H12896" s="14">
        <v>934117740</v>
      </c>
      <c r="I12896" s="14" t="e">
        <f>=Round(12914.30540000,0)</f>
        <v>#VALUE!</v>
      </c>
      <c r="J12896" s="14" t="e">
        <f>=Round(0.00000000,0)</f>
        <v>#VALUE!</v>
      </c>
    </row>
    <row r="12897">
      <c r="A12897" s="11" t="s">
        <v>51</v>
      </c>
      <c r="B12897" s="12">
        <v>1014.2364</v>
      </c>
      <c r="C12897" s="12">
        <v>0</v>
      </c>
      <c r="D12897" s="13">
        <v>0</v>
      </c>
      <c r="E12897" s="12">
        <v>0</v>
      </c>
      <c r="F12897" s="14">
        <v>0</v>
      </c>
      <c r="G12897" s="13">
        <v>900000</v>
      </c>
      <c r="H12897" s="14">
        <v>912812760</v>
      </c>
      <c r="I12897" s="14" t="e">
        <f>=Round(12914.30540000,0)</f>
        <v>#VALUE!</v>
      </c>
      <c r="J12897" s="14" t="e">
        <f>=Round(0.00000000,0)</f>
        <v>#VALUE!</v>
      </c>
    </row>
    <row r="12898">
      <c r="A12898" s="11" t="s">
        <v>52</v>
      </c>
      <c r="B12898" s="12">
        <v>1014.5231</v>
      </c>
      <c r="C12898" s="12">
        <v>0</v>
      </c>
      <c r="D12898" s="13">
        <v>0</v>
      </c>
      <c r="E12898" s="12">
        <v>0</v>
      </c>
      <c r="F12898" s="14">
        <v>0</v>
      </c>
      <c r="G12898" s="13">
        <v>900000</v>
      </c>
      <c r="H12898" s="14">
        <v>913070790</v>
      </c>
      <c r="I12898" s="14" t="e">
        <f>=Round(12619.76110000,0)</f>
        <v>#VALUE!</v>
      </c>
      <c r="J12898" s="14" t="e">
        <f>=Round(0.00000000,0)</f>
        <v>#VALUE!</v>
      </c>
    </row>
    <row r="12899">
      <c r="A12899" s="11" t="s">
        <v>53</v>
      </c>
      <c r="B12899" s="12">
        <v>1014.9483</v>
      </c>
      <c r="C12899" s="12">
        <v>0</v>
      </c>
      <c r="D12899" s="13">
        <v>0</v>
      </c>
      <c r="E12899" s="12">
        <v>0</v>
      </c>
      <c r="F12899" s="14">
        <v>0</v>
      </c>
      <c r="G12899" s="13">
        <v>900000</v>
      </c>
      <c r="H12899" s="14">
        <v>913453470</v>
      </c>
      <c r="I12899" s="14" t="e">
        <f>=Round(12623.32840000,0)</f>
        <v>#VALUE!</v>
      </c>
      <c r="J12899" s="14" t="e">
        <f>=Round(0.00000000,0)</f>
        <v>#VALUE!</v>
      </c>
    </row>
    <row r="12900">
      <c r="A12900" s="11" t="s">
        <v>54</v>
      </c>
      <c r="B12900" s="12">
        <v>1015.1276</v>
      </c>
      <c r="C12900" s="12">
        <v>0</v>
      </c>
      <c r="D12900" s="13">
        <v>0</v>
      </c>
      <c r="E12900" s="12">
        <v>0</v>
      </c>
      <c r="F12900" s="14">
        <v>0</v>
      </c>
      <c r="G12900" s="13">
        <v>900000</v>
      </c>
      <c r="H12900" s="14">
        <v>913614840</v>
      </c>
      <c r="I12900" s="14" t="e">
        <f>=Round(12628.61900000,0)</f>
        <v>#VALUE!</v>
      </c>
      <c r="J12900" s="14" t="e">
        <f>=Round(0.00000000,0)</f>
        <v>#VALUE!</v>
      </c>
    </row>
    <row r="12901">
      <c r="A12901" s="11" t="s">
        <v>55</v>
      </c>
      <c r="B12901" s="12">
        <v>1014.1822</v>
      </c>
      <c r="C12901" s="12">
        <v>0</v>
      </c>
      <c r="D12901" s="13">
        <v>0</v>
      </c>
      <c r="E12901" s="12">
        <v>0</v>
      </c>
      <c r="F12901" s="14">
        <v>0</v>
      </c>
      <c r="G12901" s="13">
        <v>900000</v>
      </c>
      <c r="H12901" s="14">
        <v>912763980</v>
      </c>
      <c r="I12901" s="14" t="e">
        <f>=Round(12630.85000000,0)</f>
        <v>#VALUE!</v>
      </c>
      <c r="J12901" s="14" t="e">
        <f>=Round(0.00000000,0)</f>
        <v>#VALUE!</v>
      </c>
    </row>
    <row r="12902" ht="-1">
      <c r="A12902" s="15"/>
      <c r="B12902" s="16" t="s">
        <v>56</v>
      </c>
      <c r="C12902" s="15"/>
      <c r="D12902" s="15"/>
      <c r="E12902" s="15"/>
      <c r="F12902" s="15"/>
      <c r="G12902" s="15"/>
      <c r="H12902" s="15"/>
      <c r="I12902" s="17" t="e">
        <f>=Round(SUM(I12876:I12901),0)</f>
        <v>#VALUE!</v>
      </c>
      <c r="J12902" s="17" t="e">
        <f>=Round(SUM(J12876:J12901),0)</f>
        <v>#VALUE!</v>
      </c>
    </row>
    <row r="12903">
      <c r="A12903" s="1" t="s">
        <v>0</v>
      </c>
      <c r="B12903" s="1"/>
      <c r="C12903" s="1"/>
      <c r="D12903" s="1"/>
    </row>
    <row r="12904">
      <c r="A12904" s="0" t="s">
        <v>1</v>
      </c>
      <c r="C12904" s="0" t="s">
        <v>435</v>
      </c>
      <c r="H12904" s="2" t="s">
        <v>3</v>
      </c>
    </row>
    <row r="12905">
      <c r="A12905" s="0" t="s">
        <v>4</v>
      </c>
      <c r="C12905" s="0" t="s">
        <v>436</v>
      </c>
      <c r="H12905" s="3" t="s">
        <v>6</v>
      </c>
    </row>
    <row r="12906">
      <c r="A12906" s="0" t="s">
        <v>7</v>
      </c>
      <c r="C12906" s="4" t="s">
        <v>437</v>
      </c>
      <c r="H12906" s="2" t="s">
        <v>9</v>
      </c>
    </row>
    <row r="12907">
      <c r="A12907" s="0" t="s">
        <v>10</v>
      </c>
      <c r="C12907" s="4" t="s">
        <v>11</v>
      </c>
      <c r="H12907" s="2" t="s">
        <v>12</v>
      </c>
    </row>
    <row r="12908">
      <c r="A12908" s="0" t="s">
        <v>13</v>
      </c>
      <c r="C12908" s="0" t="s">
        <v>14</v>
      </c>
    </row>
    <row r="12909">
      <c r="A12909" s="0" t="s">
        <v>15</v>
      </c>
      <c r="C12909" s="0" t="s">
        <v>16</v>
      </c>
    </row>
    <row r="12910">
      <c r="A12910" s="0" t="s">
        <v>17</v>
      </c>
      <c r="C12910" s="0" t="s">
        <v>18</v>
      </c>
    </row>
    <row r="12913">
      <c r="A12913" s="5" t="s">
        <v>19</v>
      </c>
      <c r="B12913" s="5" t="s">
        <v>20</v>
      </c>
      <c r="C12913" s="7" t="s">
        <v>21</v>
      </c>
      <c r="D12913" s="9"/>
      <c r="E12913" s="7" t="s">
        <v>22</v>
      </c>
      <c r="F12913" s="9"/>
      <c r="G12913" s="5" t="s">
        <v>23</v>
      </c>
      <c r="H12913" s="5" t="s">
        <v>24</v>
      </c>
      <c r="I12913" s="5" t="s">
        <v>438</v>
      </c>
      <c r="J12913" s="5" t="s">
        <v>26</v>
      </c>
    </row>
    <row r="12914">
      <c r="A12914" s="6"/>
      <c r="B12914" s="6"/>
      <c r="C12914" s="8" t="s">
        <v>27</v>
      </c>
      <c r="D12914" s="8" t="s">
        <v>28</v>
      </c>
      <c r="E12914" s="8" t="s">
        <v>27</v>
      </c>
      <c r="F12914" s="8" t="s">
        <v>28</v>
      </c>
      <c r="G12914" s="6"/>
      <c r="H12914" s="6"/>
      <c r="I12914" s="10" t="s">
        <v>29</v>
      </c>
      <c r="J12914" s="6"/>
    </row>
    <row r="12915">
      <c r="A12915" s="11" t="s">
        <v>30</v>
      </c>
      <c r="B12915" s="12">
        <v>796.0216</v>
      </c>
      <c r="C12915" s="12">
        <v>0</v>
      </c>
      <c r="D12915" s="13">
        <v>0</v>
      </c>
      <c r="E12915" s="12">
        <v>0</v>
      </c>
      <c r="F12915" s="14">
        <v>0</v>
      </c>
      <c r="G12915" s="13">
        <v>530000000</v>
      </c>
      <c r="H12915" s="14">
        <v>421891448000</v>
      </c>
      <c r="I12915" s="14" t="e">
        <f>=Round(6986522.82530000,0)</f>
        <v>#VALUE!</v>
      </c>
      <c r="J12915" s="14" t="e">
        <f>=Round(0.00000000,0)</f>
        <v>#VALUE!</v>
      </c>
    </row>
    <row r="12916">
      <c r="A12916" s="11" t="s">
        <v>31</v>
      </c>
      <c r="B12916" s="12">
        <v>794.5056</v>
      </c>
      <c r="C12916" s="12">
        <v>0</v>
      </c>
      <c r="D12916" s="13">
        <v>0</v>
      </c>
      <c r="E12916" s="12">
        <v>0</v>
      </c>
      <c r="F12916" s="14">
        <v>0</v>
      </c>
      <c r="G12916" s="13">
        <v>530000000</v>
      </c>
      <c r="H12916" s="14">
        <v>421087968000</v>
      </c>
      <c r="I12916" s="14" t="e">
        <f>=Round(6973888.68960000,0)</f>
        <v>#VALUE!</v>
      </c>
      <c r="J12916" s="14" t="e">
        <f>=Round(0.00000000,0)</f>
        <v>#VALUE!</v>
      </c>
    </row>
    <row r="12917">
      <c r="A12917" s="11" t="s">
        <v>32</v>
      </c>
      <c r="B12917" s="12">
        <v>790.1584</v>
      </c>
      <c r="C12917" s="12">
        <v>0</v>
      </c>
      <c r="D12917" s="13">
        <v>0</v>
      </c>
      <c r="E12917" s="12">
        <v>0</v>
      </c>
      <c r="F12917" s="14">
        <v>0</v>
      </c>
      <c r="G12917" s="13">
        <v>530000000</v>
      </c>
      <c r="H12917" s="14">
        <v>418783952000</v>
      </c>
      <c r="I12917" s="14" t="e">
        <f>=Round(6960607.12130000,0)</f>
        <v>#VALUE!</v>
      </c>
      <c r="J12917" s="14" t="e">
        <f>=Round(0.00000000,0)</f>
        <v>#VALUE!</v>
      </c>
    </row>
    <row r="12918">
      <c r="A12918" s="11" t="s">
        <v>33</v>
      </c>
      <c r="B12918" s="12">
        <v>797.1844</v>
      </c>
      <c r="C12918" s="12">
        <v>0</v>
      </c>
      <c r="D12918" s="13">
        <v>0</v>
      </c>
      <c r="E12918" s="12">
        <v>0</v>
      </c>
      <c r="F12918" s="14">
        <v>0</v>
      </c>
      <c r="G12918" s="13">
        <v>530000000</v>
      </c>
      <c r="H12918" s="14">
        <v>422507732000</v>
      </c>
      <c r="I12918" s="14" t="e">
        <f>=Round(6922521.61090000,0)</f>
        <v>#VALUE!</v>
      </c>
      <c r="J12918" s="14" t="e">
        <f>=Round(0.00000000,0)</f>
        <v>#VALUE!</v>
      </c>
    </row>
    <row r="12919">
      <c r="A12919" s="11" t="s">
        <v>34</v>
      </c>
      <c r="B12919" s="12">
        <v>795.9006</v>
      </c>
      <c r="C12919" s="12">
        <v>0</v>
      </c>
      <c r="D12919" s="13">
        <v>0</v>
      </c>
      <c r="E12919" s="12">
        <v>0</v>
      </c>
      <c r="F12919" s="14">
        <v>0</v>
      </c>
      <c r="G12919" s="13">
        <v>530000000</v>
      </c>
      <c r="H12919" s="14">
        <v>421827318000</v>
      </c>
      <c r="I12919" s="14" t="e">
        <f>=Round(6984075.89780000,0)</f>
        <v>#VALUE!</v>
      </c>
      <c r="J12919" s="14" t="e">
        <f>=Round(0.00000000,0)</f>
        <v>#VALUE!</v>
      </c>
    </row>
    <row r="12920">
      <c r="A12920" s="11" t="s">
        <v>35</v>
      </c>
      <c r="B12920" s="12">
        <v>795.9006</v>
      </c>
      <c r="C12920" s="12">
        <v>0</v>
      </c>
      <c r="D12920" s="13">
        <v>0</v>
      </c>
      <c r="E12920" s="12">
        <v>0</v>
      </c>
      <c r="F12920" s="14">
        <v>0</v>
      </c>
      <c r="G12920" s="13">
        <v>530000000</v>
      </c>
      <c r="H12920" s="14">
        <v>421827318000</v>
      </c>
      <c r="I12920" s="14" t="e">
        <f>=Round(6972828.61720000,0)</f>
        <v>#VALUE!</v>
      </c>
      <c r="J12920" s="14" t="e">
        <f>=Round(0.00000000,0)</f>
        <v>#VALUE!</v>
      </c>
    </row>
    <row r="12921">
      <c r="A12921" s="11" t="s">
        <v>36</v>
      </c>
      <c r="B12921" s="12">
        <v>795.9006</v>
      </c>
      <c r="C12921" s="12">
        <v>0</v>
      </c>
      <c r="D12921" s="13">
        <v>0</v>
      </c>
      <c r="E12921" s="12">
        <v>0</v>
      </c>
      <c r="F12921" s="14">
        <v>0</v>
      </c>
      <c r="G12921" s="13">
        <v>530000000</v>
      </c>
      <c r="H12921" s="14">
        <v>421827318000</v>
      </c>
      <c r="I12921" s="14" t="e">
        <f>=Round(6972828.61720000,0)</f>
        <v>#VALUE!</v>
      </c>
      <c r="J12921" s="14" t="e">
        <f>=Round(0.00000000,0)</f>
        <v>#VALUE!</v>
      </c>
    </row>
    <row r="12922">
      <c r="A12922" s="11" t="s">
        <v>37</v>
      </c>
      <c r="B12922" s="12">
        <v>795.2715</v>
      </c>
      <c r="C12922" s="12">
        <v>0</v>
      </c>
      <c r="D12922" s="13">
        <v>0</v>
      </c>
      <c r="E12922" s="12">
        <v>0</v>
      </c>
      <c r="F12922" s="14">
        <v>0</v>
      </c>
      <c r="G12922" s="13">
        <v>530000000</v>
      </c>
      <c r="H12922" s="14">
        <v>421493895000</v>
      </c>
      <c r="I12922" s="14" t="e">
        <f>=Round(6972828.61720000,0)</f>
        <v>#VALUE!</v>
      </c>
      <c r="J12922" s="14" t="e">
        <f>=Round(0.00000000,0)</f>
        <v>#VALUE!</v>
      </c>
    </row>
    <row r="12923">
      <c r="A12923" s="11" t="s">
        <v>38</v>
      </c>
      <c r="B12923" s="12">
        <v>794.2675</v>
      </c>
      <c r="C12923" s="12">
        <v>0</v>
      </c>
      <c r="D12923" s="13">
        <v>0</v>
      </c>
      <c r="E12923" s="12">
        <v>0</v>
      </c>
      <c r="F12923" s="14">
        <v>0</v>
      </c>
      <c r="G12923" s="13">
        <v>530000000</v>
      </c>
      <c r="H12923" s="14">
        <v>420961775000</v>
      </c>
      <c r="I12923" s="14" t="e">
        <f>=Round(6967317.11680000,0)</f>
        <v>#VALUE!</v>
      </c>
      <c r="J12923" s="14" t="e">
        <f>=Round(0.00000000,0)</f>
        <v>#VALUE!</v>
      </c>
    </row>
    <row r="12924">
      <c r="A12924" s="11" t="s">
        <v>39</v>
      </c>
      <c r="B12924" s="12">
        <v>798.262</v>
      </c>
      <c r="C12924" s="12">
        <v>0</v>
      </c>
      <c r="D12924" s="13">
        <v>0</v>
      </c>
      <c r="E12924" s="12">
        <v>0</v>
      </c>
      <c r="F12924" s="14">
        <v>0</v>
      </c>
      <c r="G12924" s="13">
        <v>530000000</v>
      </c>
      <c r="H12924" s="14">
        <v>423078860000</v>
      </c>
      <c r="I12924" s="14" t="e">
        <f>=Round(6958521.14410000,0)</f>
        <v>#VALUE!</v>
      </c>
      <c r="J12924" s="14" t="e">
        <f>=Round(0.00000000,0)</f>
        <v>#VALUE!</v>
      </c>
    </row>
    <row r="12925">
      <c r="A12925" s="11" t="s">
        <v>40</v>
      </c>
      <c r="B12925" s="12">
        <v>801.3448</v>
      </c>
      <c r="C12925" s="12">
        <v>0</v>
      </c>
      <c r="D12925" s="13">
        <v>0</v>
      </c>
      <c r="E12925" s="12">
        <v>0</v>
      </c>
      <c r="F12925" s="14">
        <v>0</v>
      </c>
      <c r="G12925" s="13">
        <v>530000000</v>
      </c>
      <c r="H12925" s="14">
        <v>424712744000</v>
      </c>
      <c r="I12925" s="14" t="e">
        <f>=Round(6993516.67490000,0)</f>
        <v>#VALUE!</v>
      </c>
      <c r="J12925" s="14" t="e">
        <f>=Round(0.00000000,0)</f>
        <v>#VALUE!</v>
      </c>
    </row>
    <row r="12926">
      <c r="A12926" s="11" t="s">
        <v>41</v>
      </c>
      <c r="B12926" s="12">
        <v>795.2314</v>
      </c>
      <c r="C12926" s="12">
        <v>0</v>
      </c>
      <c r="D12926" s="13">
        <v>0</v>
      </c>
      <c r="E12926" s="12">
        <v>0</v>
      </c>
      <c r="F12926" s="14">
        <v>0</v>
      </c>
      <c r="G12926" s="13">
        <v>530000000</v>
      </c>
      <c r="H12926" s="14">
        <v>421472642000</v>
      </c>
      <c r="I12926" s="14" t="e">
        <f>=Round(7020524.86670000,0)</f>
        <v>#VALUE!</v>
      </c>
      <c r="J12926" s="14" t="e">
        <f>=Round(0.00000000,0)</f>
        <v>#VALUE!</v>
      </c>
    </row>
    <row r="12927">
      <c r="A12927" s="11" t="s">
        <v>42</v>
      </c>
      <c r="B12927" s="12">
        <v>795.2314</v>
      </c>
      <c r="C12927" s="12">
        <v>0</v>
      </c>
      <c r="D12927" s="13">
        <v>0</v>
      </c>
      <c r="E12927" s="12">
        <v>0</v>
      </c>
      <c r="F12927" s="14">
        <v>0</v>
      </c>
      <c r="G12927" s="13">
        <v>530000000</v>
      </c>
      <c r="H12927" s="14">
        <v>421472642000</v>
      </c>
      <c r="I12927" s="14" t="e">
        <f>=Round(6966965.80360000,0)</f>
        <v>#VALUE!</v>
      </c>
      <c r="J12927" s="14" t="e">
        <f>=Round(0.00000000,0)</f>
        <v>#VALUE!</v>
      </c>
    </row>
    <row r="12928">
      <c r="A12928" s="11" t="s">
        <v>43</v>
      </c>
      <c r="B12928" s="12">
        <v>795.2314</v>
      </c>
      <c r="C12928" s="12">
        <v>0</v>
      </c>
      <c r="D12928" s="13">
        <v>0</v>
      </c>
      <c r="E12928" s="12">
        <v>0</v>
      </c>
      <c r="F12928" s="14">
        <v>0</v>
      </c>
      <c r="G12928" s="13">
        <v>530000000</v>
      </c>
      <c r="H12928" s="14">
        <v>421472642000</v>
      </c>
      <c r="I12928" s="14" t="e">
        <f>=Round(6966965.80360000,0)</f>
        <v>#VALUE!</v>
      </c>
      <c r="J12928" s="14" t="e">
        <f>=Round(0.00000000,0)</f>
        <v>#VALUE!</v>
      </c>
    </row>
    <row r="12929">
      <c r="A12929" s="11" t="s">
        <v>44</v>
      </c>
      <c r="B12929" s="12">
        <v>799.2252</v>
      </c>
      <c r="C12929" s="12">
        <v>0</v>
      </c>
      <c r="D12929" s="13">
        <v>0</v>
      </c>
      <c r="E12929" s="12">
        <v>0</v>
      </c>
      <c r="F12929" s="14">
        <v>0</v>
      </c>
      <c r="G12929" s="13">
        <v>530000000</v>
      </c>
      <c r="H12929" s="14">
        <v>423589356000</v>
      </c>
      <c r="I12929" s="14" t="e">
        <f>=Round(6966965.80360000,0)</f>
        <v>#VALUE!</v>
      </c>
      <c r="J12929" s="14" t="e">
        <f>=Round(0.00000000,0)</f>
        <v>#VALUE!</v>
      </c>
    </row>
    <row r="12930">
      <c r="A12930" s="11" t="s">
        <v>45</v>
      </c>
      <c r="B12930" s="12">
        <v>800.0152</v>
      </c>
      <c r="C12930" s="12">
        <v>0</v>
      </c>
      <c r="D12930" s="13">
        <v>0</v>
      </c>
      <c r="E12930" s="12">
        <v>0</v>
      </c>
      <c r="F12930" s="14">
        <v>0</v>
      </c>
      <c r="G12930" s="13">
        <v>530000000</v>
      </c>
      <c r="H12930" s="14">
        <v>424008056000</v>
      </c>
      <c r="I12930" s="14" t="e">
        <f>=Round(7001955.20160000,0)</f>
        <v>#VALUE!</v>
      </c>
      <c r="J12930" s="14" t="e">
        <f>=Round(0.00000000,0)</f>
        <v>#VALUE!</v>
      </c>
    </row>
    <row r="12931">
      <c r="A12931" s="11" t="s">
        <v>46</v>
      </c>
      <c r="B12931" s="12">
        <v>800.8239</v>
      </c>
      <c r="C12931" s="12">
        <v>0</v>
      </c>
      <c r="D12931" s="13">
        <v>0</v>
      </c>
      <c r="E12931" s="12">
        <v>0</v>
      </c>
      <c r="F12931" s="14">
        <v>0</v>
      </c>
      <c r="G12931" s="13">
        <v>530000000</v>
      </c>
      <c r="H12931" s="14">
        <v>424436667000</v>
      </c>
      <c r="I12931" s="14" t="e">
        <f>=Round(7008876.33550000,0)</f>
        <v>#VALUE!</v>
      </c>
      <c r="J12931" s="14" t="e">
        <f>=Round(0.00000000,0)</f>
        <v>#VALUE!</v>
      </c>
    </row>
    <row r="12932">
      <c r="A12932" s="11" t="s">
        <v>47</v>
      </c>
      <c r="B12932" s="12">
        <v>800.2629</v>
      </c>
      <c r="C12932" s="12">
        <v>0</v>
      </c>
      <c r="D12932" s="13">
        <v>0</v>
      </c>
      <c r="E12932" s="12">
        <v>0</v>
      </c>
      <c r="F12932" s="14">
        <v>0</v>
      </c>
      <c r="G12932" s="13">
        <v>530000000</v>
      </c>
      <c r="H12932" s="14">
        <v>424139337000</v>
      </c>
      <c r="I12932" s="14" t="e">
        <f>=Round(7015961.29880000,0)</f>
        <v>#VALUE!</v>
      </c>
      <c r="J12932" s="14" t="e">
        <f>=Round(0.00000000,0)</f>
        <v>#VALUE!</v>
      </c>
    </row>
    <row r="12933">
      <c r="A12933" s="11" t="s">
        <v>48</v>
      </c>
      <c r="B12933" s="12">
        <v>801.4922</v>
      </c>
      <c r="C12933" s="12">
        <v>0</v>
      </c>
      <c r="D12933" s="13">
        <v>0</v>
      </c>
      <c r="E12933" s="12">
        <v>0</v>
      </c>
      <c r="F12933" s="14">
        <v>0</v>
      </c>
      <c r="G12933" s="13">
        <v>530000000</v>
      </c>
      <c r="H12933" s="14">
        <v>424790866000</v>
      </c>
      <c r="I12933" s="14" t="e">
        <f>=Round(7011046.41760000,0)</f>
        <v>#VALUE!</v>
      </c>
      <c r="J12933" s="14" t="e">
        <f>=Round(0.00000000,0)</f>
        <v>#VALUE!</v>
      </c>
    </row>
    <row r="12934">
      <c r="A12934" s="11" t="s">
        <v>49</v>
      </c>
      <c r="B12934" s="12">
        <v>801.4922</v>
      </c>
      <c r="C12934" s="12">
        <v>0</v>
      </c>
      <c r="D12934" s="13">
        <v>0</v>
      </c>
      <c r="E12934" s="12">
        <v>0</v>
      </c>
      <c r="F12934" s="14">
        <v>0</v>
      </c>
      <c r="G12934" s="13">
        <v>530000000</v>
      </c>
      <c r="H12934" s="14">
        <v>424790866000</v>
      </c>
      <c r="I12934" s="14" t="e">
        <f>=Round(7021816.22760000,0)</f>
        <v>#VALUE!</v>
      </c>
      <c r="J12934" s="14" t="e">
        <f>=Round(0.00000000,0)</f>
        <v>#VALUE!</v>
      </c>
    </row>
    <row r="12935">
      <c r="A12935" s="11" t="s">
        <v>50</v>
      </c>
      <c r="B12935" s="12">
        <v>801.4922</v>
      </c>
      <c r="C12935" s="12">
        <v>0</v>
      </c>
      <c r="D12935" s="13">
        <v>0</v>
      </c>
      <c r="E12935" s="12">
        <v>0</v>
      </c>
      <c r="F12935" s="14">
        <v>0</v>
      </c>
      <c r="G12935" s="13">
        <v>530000000</v>
      </c>
      <c r="H12935" s="14">
        <v>424790866000</v>
      </c>
      <c r="I12935" s="14" t="e">
        <f>=Round(7021816.22760000,0)</f>
        <v>#VALUE!</v>
      </c>
      <c r="J12935" s="14" t="e">
        <f>=Round(0.00000000,0)</f>
        <v>#VALUE!</v>
      </c>
    </row>
    <row r="12936">
      <c r="A12936" s="11" t="s">
        <v>51</v>
      </c>
      <c r="B12936" s="12">
        <v>798.8698</v>
      </c>
      <c r="C12936" s="12">
        <v>0</v>
      </c>
      <c r="D12936" s="13">
        <v>0</v>
      </c>
      <c r="E12936" s="12">
        <v>0</v>
      </c>
      <c r="F12936" s="14">
        <v>0</v>
      </c>
      <c r="G12936" s="13">
        <v>530000000</v>
      </c>
      <c r="H12936" s="14">
        <v>423400994000</v>
      </c>
      <c r="I12936" s="14" t="e">
        <f>=Round(7021816.22760000,0)</f>
        <v>#VALUE!</v>
      </c>
      <c r="J12936" s="14" t="e">
        <f>=Round(0.00000000,0)</f>
        <v>#VALUE!</v>
      </c>
    </row>
    <row r="12937">
      <c r="A12937" s="11" t="s">
        <v>52</v>
      </c>
      <c r="B12937" s="12">
        <v>800.9345</v>
      </c>
      <c r="C12937" s="12">
        <v>0</v>
      </c>
      <c r="D12937" s="13">
        <v>0</v>
      </c>
      <c r="E12937" s="12">
        <v>0</v>
      </c>
      <c r="F12937" s="14">
        <v>0</v>
      </c>
      <c r="G12937" s="13">
        <v>530000000</v>
      </c>
      <c r="H12937" s="14">
        <v>424495285000</v>
      </c>
      <c r="I12937" s="14" t="e">
        <f>=Round(6998841.56750000,0)</f>
        <v>#VALUE!</v>
      </c>
      <c r="J12937" s="14" t="e">
        <f>=Round(0.00000000,0)</f>
        <v>#VALUE!</v>
      </c>
    </row>
    <row r="12938">
      <c r="A12938" s="11" t="s">
        <v>53</v>
      </c>
      <c r="B12938" s="12">
        <v>797.5148</v>
      </c>
      <c r="C12938" s="12">
        <v>0</v>
      </c>
      <c r="D12938" s="13">
        <v>0</v>
      </c>
      <c r="E12938" s="12">
        <v>0</v>
      </c>
      <c r="F12938" s="14">
        <v>0</v>
      </c>
      <c r="G12938" s="13">
        <v>530000000</v>
      </c>
      <c r="H12938" s="14">
        <v>422682844000</v>
      </c>
      <c r="I12938" s="14" t="e">
        <f>=Round(7016930.25750000,0)</f>
        <v>#VALUE!</v>
      </c>
      <c r="J12938" s="14" t="e">
        <f>=Round(0.00000000,0)</f>
        <v>#VALUE!</v>
      </c>
    </row>
    <row r="12939">
      <c r="A12939" s="11" t="s">
        <v>54</v>
      </c>
      <c r="B12939" s="12">
        <v>793.6982</v>
      </c>
      <c r="C12939" s="12">
        <v>0</v>
      </c>
      <c r="D12939" s="13">
        <v>0</v>
      </c>
      <c r="E12939" s="12">
        <v>0</v>
      </c>
      <c r="F12939" s="14">
        <v>0</v>
      </c>
      <c r="G12939" s="13">
        <v>530000000</v>
      </c>
      <c r="H12939" s="14">
        <v>420660046000</v>
      </c>
      <c r="I12939" s="14" t="e">
        <f>=Round(6986970.50870000,0)</f>
        <v>#VALUE!</v>
      </c>
      <c r="J12939" s="14" t="e">
        <f>=Round(0.00000000,0)</f>
        <v>#VALUE!</v>
      </c>
    </row>
    <row r="12940">
      <c r="A12940" s="11" t="s">
        <v>55</v>
      </c>
      <c r="B12940" s="12">
        <v>790.0923</v>
      </c>
      <c r="C12940" s="12">
        <v>0</v>
      </c>
      <c r="D12940" s="13">
        <v>0</v>
      </c>
      <c r="E12940" s="12">
        <v>0</v>
      </c>
      <c r="F12940" s="14">
        <v>0</v>
      </c>
      <c r="G12940" s="13">
        <v>530000000</v>
      </c>
      <c r="H12940" s="14">
        <v>418748919000</v>
      </c>
      <c r="I12940" s="14" t="e">
        <f>=Round(6953533.54730000,0)</f>
        <v>#VALUE!</v>
      </c>
      <c r="J12940" s="14" t="e">
        <f>=Round(0.00000000,0)</f>
        <v>#VALUE!</v>
      </c>
    </row>
    <row r="12941" ht="-1">
      <c r="A12941" s="15"/>
      <c r="B12941" s="16" t="s">
        <v>56</v>
      </c>
      <c r="C12941" s="15"/>
      <c r="D12941" s="15"/>
      <c r="E12941" s="15"/>
      <c r="F12941" s="15"/>
      <c r="G12941" s="15"/>
      <c r="H12941" s="15"/>
      <c r="I12941" s="17" t="e">
        <f>=Round(SUM(I12915:I12940),0)</f>
        <v>#VALUE!</v>
      </c>
      <c r="J12941" s="17" t="e">
        <f>=Round(SUM(J12915:J12940),0)</f>
        <v>#VALUE!</v>
      </c>
    </row>
    <row r="12942">
      <c r="A12942" s="1" t="s">
        <v>0</v>
      </c>
      <c r="B12942" s="1"/>
      <c r="C12942" s="1"/>
      <c r="D12942" s="1"/>
    </row>
    <row r="12943">
      <c r="A12943" s="0" t="s">
        <v>1</v>
      </c>
      <c r="C12943" s="0" t="s">
        <v>439</v>
      </c>
      <c r="H12943" s="2" t="s">
        <v>3</v>
      </c>
    </row>
    <row r="12944">
      <c r="A12944" s="0" t="s">
        <v>4</v>
      </c>
      <c r="C12944" s="0" t="s">
        <v>327</v>
      </c>
      <c r="H12944" s="3" t="s">
        <v>6</v>
      </c>
    </row>
    <row r="12945">
      <c r="A12945" s="0" t="s">
        <v>7</v>
      </c>
      <c r="C12945" s="4" t="s">
        <v>260</v>
      </c>
      <c r="H12945" s="2" t="s">
        <v>9</v>
      </c>
    </row>
    <row r="12946">
      <c r="A12946" s="0" t="s">
        <v>10</v>
      </c>
      <c r="C12946" s="4" t="s">
        <v>11</v>
      </c>
      <c r="H12946" s="2" t="s">
        <v>12</v>
      </c>
    </row>
    <row r="12947">
      <c r="A12947" s="0" t="s">
        <v>13</v>
      </c>
      <c r="C12947" s="0" t="s">
        <v>14</v>
      </c>
    </row>
    <row r="12948">
      <c r="A12948" s="0" t="s">
        <v>15</v>
      </c>
      <c r="C12948" s="0" t="s">
        <v>16</v>
      </c>
    </row>
    <row r="12949">
      <c r="A12949" s="0" t="s">
        <v>17</v>
      </c>
      <c r="C12949" s="0" t="s">
        <v>18</v>
      </c>
    </row>
    <row r="12952">
      <c r="A12952" s="5" t="s">
        <v>19</v>
      </c>
      <c r="B12952" s="5" t="s">
        <v>20</v>
      </c>
      <c r="C12952" s="7" t="s">
        <v>21</v>
      </c>
      <c r="D12952" s="9"/>
      <c r="E12952" s="7" t="s">
        <v>22</v>
      </c>
      <c r="F12952" s="9"/>
      <c r="G12952" s="5" t="s">
        <v>23</v>
      </c>
      <c r="H12952" s="5" t="s">
        <v>24</v>
      </c>
      <c r="I12952" s="5" t="s">
        <v>261</v>
      </c>
      <c r="J12952" s="5" t="s">
        <v>26</v>
      </c>
    </row>
    <row r="12953">
      <c r="A12953" s="6"/>
      <c r="B12953" s="6"/>
      <c r="C12953" s="8" t="s">
        <v>27</v>
      </c>
      <c r="D12953" s="8" t="s">
        <v>28</v>
      </c>
      <c r="E12953" s="8" t="s">
        <v>27</v>
      </c>
      <c r="F12953" s="8" t="s">
        <v>28</v>
      </c>
      <c r="G12953" s="6"/>
      <c r="H12953" s="6"/>
      <c r="I12953" s="10" t="s">
        <v>29</v>
      </c>
      <c r="J12953" s="6"/>
    </row>
    <row r="12954">
      <c r="A12954" s="11" t="s">
        <v>30</v>
      </c>
      <c r="B12954" s="12">
        <v>942.783</v>
      </c>
      <c r="C12954" s="12">
        <v>0</v>
      </c>
      <c r="D12954" s="13">
        <v>0</v>
      </c>
      <c r="E12954" s="12">
        <v>0</v>
      </c>
      <c r="F12954" s="14">
        <v>0</v>
      </c>
      <c r="G12954" s="13">
        <v>338179427.6909</v>
      </c>
      <c r="H12954" s="14">
        <v>318829815376.70978</v>
      </c>
      <c r="I12954" s="14" t="e">
        <f>=Round(2863769.92080000,0)</f>
        <v>#VALUE!</v>
      </c>
      <c r="J12954" s="14" t="e">
        <f>=Round(0.00000000,0)</f>
        <v>#VALUE!</v>
      </c>
    </row>
    <row r="12955">
      <c r="A12955" s="11" t="s">
        <v>31</v>
      </c>
      <c r="B12955" s="12">
        <v>946.323</v>
      </c>
      <c r="C12955" s="12">
        <v>0</v>
      </c>
      <c r="D12955" s="13">
        <v>0</v>
      </c>
      <c r="E12955" s="12">
        <v>0</v>
      </c>
      <c r="F12955" s="14">
        <v>0</v>
      </c>
      <c r="G12955" s="13">
        <v>338179427.6909</v>
      </c>
      <c r="H12955" s="14">
        <v>320026970550.73553</v>
      </c>
      <c r="I12955" s="14" t="e">
        <f>=Round(2874695.05670000,0)</f>
        <v>#VALUE!</v>
      </c>
      <c r="J12955" s="14" t="e">
        <f>=Round(0.00000000,0)</f>
        <v>#VALUE!</v>
      </c>
    </row>
    <row r="12956">
      <c r="A12956" s="11" t="s">
        <v>32</v>
      </c>
      <c r="B12956" s="12">
        <v>945.65</v>
      </c>
      <c r="C12956" s="12">
        <v>0</v>
      </c>
      <c r="D12956" s="13">
        <v>0</v>
      </c>
      <c r="E12956" s="12">
        <v>0</v>
      </c>
      <c r="F12956" s="14">
        <v>0</v>
      </c>
      <c r="G12956" s="13">
        <v>338179427.6909</v>
      </c>
      <c r="H12956" s="14">
        <v>319799375795.8996</v>
      </c>
      <c r="I12956" s="14" t="e">
        <f>=Round(2885489.07870000,0)</f>
        <v>#VALUE!</v>
      </c>
      <c r="J12956" s="14" t="e">
        <f>=Round(0.00000000,0)</f>
        <v>#VALUE!</v>
      </c>
    </row>
    <row r="12957">
      <c r="A12957" s="11" t="s">
        <v>33</v>
      </c>
      <c r="B12957" s="12">
        <v>947.846</v>
      </c>
      <c r="C12957" s="12">
        <v>0</v>
      </c>
      <c r="D12957" s="13">
        <v>0</v>
      </c>
      <c r="E12957" s="12">
        <v>0</v>
      </c>
      <c r="F12957" s="14">
        <v>0</v>
      </c>
      <c r="G12957" s="13">
        <v>338179427.6909</v>
      </c>
      <c r="H12957" s="14">
        <v>320542017819.10883</v>
      </c>
      <c r="I12957" s="14" t="e">
        <f>=Round(2883436.99490000,0)</f>
        <v>#VALUE!</v>
      </c>
      <c r="J12957" s="14" t="e">
        <f>=Round(0.00000000,0)</f>
        <v>#VALUE!</v>
      </c>
    </row>
    <row r="12958">
      <c r="A12958" s="11" t="s">
        <v>34</v>
      </c>
      <c r="B12958" s="12">
        <v>950.279</v>
      </c>
      <c r="C12958" s="12">
        <v>0</v>
      </c>
      <c r="D12958" s="13">
        <v>0</v>
      </c>
      <c r="E12958" s="12">
        <v>0</v>
      </c>
      <c r="F12958" s="14">
        <v>0</v>
      </c>
      <c r="G12958" s="13">
        <v>338179427.6909</v>
      </c>
      <c r="H12958" s="14">
        <v>321364808366.68079</v>
      </c>
      <c r="I12958" s="14" t="e">
        <f>=Round(2890132.94750000,0)</f>
        <v>#VALUE!</v>
      </c>
      <c r="J12958" s="14" t="e">
        <f>=Round(0.00000000,0)</f>
        <v>#VALUE!</v>
      </c>
    </row>
    <row r="12959">
      <c r="A12959" s="11" t="s">
        <v>35</v>
      </c>
      <c r="B12959" s="12">
        <v>950.279</v>
      </c>
      <c r="C12959" s="12">
        <v>0</v>
      </c>
      <c r="D12959" s="13">
        <v>0</v>
      </c>
      <c r="E12959" s="12">
        <v>0</v>
      </c>
      <c r="F12959" s="14">
        <v>0</v>
      </c>
      <c r="G12959" s="13">
        <v>338179427.6909</v>
      </c>
      <c r="H12959" s="14">
        <v>321364808366.68079</v>
      </c>
      <c r="I12959" s="14" t="e">
        <f>=Round(2897551.55080000,0)</f>
        <v>#VALUE!</v>
      </c>
      <c r="J12959" s="14" t="e">
        <f>=Round(0.00000000,0)</f>
        <v>#VALUE!</v>
      </c>
    </row>
    <row r="12960">
      <c r="A12960" s="11" t="s">
        <v>36</v>
      </c>
      <c r="B12960" s="12">
        <v>950.279</v>
      </c>
      <c r="C12960" s="12">
        <v>0</v>
      </c>
      <c r="D12960" s="13">
        <v>0</v>
      </c>
      <c r="E12960" s="12">
        <v>0</v>
      </c>
      <c r="F12960" s="14">
        <v>0</v>
      </c>
      <c r="G12960" s="13">
        <v>338179427.6909</v>
      </c>
      <c r="H12960" s="14">
        <v>321364808366.68079</v>
      </c>
      <c r="I12960" s="14" t="e">
        <f>=Round(2897551.55080000,0)</f>
        <v>#VALUE!</v>
      </c>
      <c r="J12960" s="14" t="e">
        <f>=Round(0.00000000,0)</f>
        <v>#VALUE!</v>
      </c>
    </row>
    <row r="12961">
      <c r="A12961" s="11" t="s">
        <v>37</v>
      </c>
      <c r="B12961" s="12">
        <v>950.043</v>
      </c>
      <c r="C12961" s="12">
        <v>0</v>
      </c>
      <c r="D12961" s="13">
        <v>0</v>
      </c>
      <c r="E12961" s="12">
        <v>0</v>
      </c>
      <c r="F12961" s="14">
        <v>0</v>
      </c>
      <c r="G12961" s="13">
        <v>338179427.6909</v>
      </c>
      <c r="H12961" s="14">
        <v>321284998021.74573</v>
      </c>
      <c r="I12961" s="14" t="e">
        <f>=Round(2897551.55080000,0)</f>
        <v>#VALUE!</v>
      </c>
      <c r="J12961" s="14" t="e">
        <f>=Round(0.00000000,0)</f>
        <v>#VALUE!</v>
      </c>
    </row>
    <row r="12962">
      <c r="A12962" s="11" t="s">
        <v>38</v>
      </c>
      <c r="B12962" s="12">
        <v>947.413</v>
      </c>
      <c r="C12962" s="12">
        <v>0</v>
      </c>
      <c r="D12962" s="13">
        <v>0</v>
      </c>
      <c r="E12962" s="12">
        <v>0</v>
      </c>
      <c r="F12962" s="14">
        <v>0</v>
      </c>
      <c r="G12962" s="13">
        <v>338179427.6909</v>
      </c>
      <c r="H12962" s="14">
        <v>320395586126.91864</v>
      </c>
      <c r="I12962" s="14" t="e">
        <f>=Round(2896831.94940000,0)</f>
        <v>#VALUE!</v>
      </c>
      <c r="J12962" s="14" t="e">
        <f>=Round(0.00000000,0)</f>
        <v>#VALUE!</v>
      </c>
    </row>
    <row r="12963">
      <c r="A12963" s="11" t="s">
        <v>39</v>
      </c>
      <c r="B12963" s="12">
        <v>951.762</v>
      </c>
      <c r="C12963" s="12">
        <v>0</v>
      </c>
      <c r="D12963" s="13">
        <v>0</v>
      </c>
      <c r="E12963" s="12">
        <v>0</v>
      </c>
      <c r="F12963" s="14">
        <v>0</v>
      </c>
      <c r="G12963" s="13">
        <v>338179427.6909</v>
      </c>
      <c r="H12963" s="14">
        <v>321866328457.94635</v>
      </c>
      <c r="I12963" s="14" t="e">
        <f>=Round(2888812.66180000,0)</f>
        <v>#VALUE!</v>
      </c>
      <c r="J12963" s="14" t="e">
        <f>=Round(0.00000000,0)</f>
        <v>#VALUE!</v>
      </c>
    </row>
    <row r="12964">
      <c r="A12964" s="11" t="s">
        <v>40</v>
      </c>
      <c r="B12964" s="12">
        <v>953.081</v>
      </c>
      <c r="C12964" s="12">
        <v>0</v>
      </c>
      <c r="D12964" s="13">
        <v>0</v>
      </c>
      <c r="E12964" s="12">
        <v>0</v>
      </c>
      <c r="F12964" s="14">
        <v>0</v>
      </c>
      <c r="G12964" s="13">
        <v>338179427.6909</v>
      </c>
      <c r="H12964" s="14">
        <v>322312387123.07068</v>
      </c>
      <c r="I12964" s="14" t="e">
        <f>=Round(2902073.45330000,0)</f>
        <v>#VALUE!</v>
      </c>
      <c r="J12964" s="14" t="e">
        <f>=Round(0.00000000,0)</f>
        <v>#VALUE!</v>
      </c>
    </row>
    <row r="12965">
      <c r="A12965" s="11" t="s">
        <v>41</v>
      </c>
      <c r="B12965" s="12">
        <v>952.843</v>
      </c>
      <c r="C12965" s="12">
        <v>0</v>
      </c>
      <c r="D12965" s="13">
        <v>0</v>
      </c>
      <c r="E12965" s="12">
        <v>0</v>
      </c>
      <c r="F12965" s="14">
        <v>0</v>
      </c>
      <c r="G12965" s="13">
        <v>338179427.6909</v>
      </c>
      <c r="H12965" s="14">
        <v>322231900419.28027</v>
      </c>
      <c r="I12965" s="14" t="e">
        <f>=Round(2906095.29370000,0)</f>
        <v>#VALUE!</v>
      </c>
      <c r="J12965" s="14" t="e">
        <f>=Round(0.00000000,0)</f>
        <v>#VALUE!</v>
      </c>
    </row>
    <row r="12966">
      <c r="A12966" s="11" t="s">
        <v>42</v>
      </c>
      <c r="B12966" s="12">
        <v>952.843</v>
      </c>
      <c r="C12966" s="12">
        <v>0</v>
      </c>
      <c r="D12966" s="13">
        <v>0</v>
      </c>
      <c r="E12966" s="12">
        <v>0</v>
      </c>
      <c r="F12966" s="14">
        <v>0</v>
      </c>
      <c r="G12966" s="13">
        <v>338179427.6909</v>
      </c>
      <c r="H12966" s="14">
        <v>322231900419.28027</v>
      </c>
      <c r="I12966" s="14" t="e">
        <f>=Round(2905369.59390000,0)</f>
        <v>#VALUE!</v>
      </c>
      <c r="J12966" s="14" t="e">
        <f>=Round(0.00000000,0)</f>
        <v>#VALUE!</v>
      </c>
    </row>
    <row r="12967">
      <c r="A12967" s="11" t="s">
        <v>43</v>
      </c>
      <c r="B12967" s="12">
        <v>952.843</v>
      </c>
      <c r="C12967" s="12">
        <v>0</v>
      </c>
      <c r="D12967" s="13">
        <v>0</v>
      </c>
      <c r="E12967" s="12">
        <v>0</v>
      </c>
      <c r="F12967" s="14">
        <v>0</v>
      </c>
      <c r="G12967" s="13">
        <v>338179427.6909</v>
      </c>
      <c r="H12967" s="14">
        <v>322231900419.28027</v>
      </c>
      <c r="I12967" s="14" t="e">
        <f>=Round(2905369.59390000,0)</f>
        <v>#VALUE!</v>
      </c>
      <c r="J12967" s="14" t="e">
        <f>=Round(0.00000000,0)</f>
        <v>#VALUE!</v>
      </c>
    </row>
    <row r="12968">
      <c r="A12968" s="11" t="s">
        <v>44</v>
      </c>
      <c r="B12968" s="12">
        <v>951.731</v>
      </c>
      <c r="C12968" s="12">
        <v>0</v>
      </c>
      <c r="D12968" s="13">
        <v>0</v>
      </c>
      <c r="E12968" s="12">
        <v>0</v>
      </c>
      <c r="F12968" s="14">
        <v>0</v>
      </c>
      <c r="G12968" s="13">
        <v>338179427.6909</v>
      </c>
      <c r="H12968" s="14">
        <v>321855844895.68793</v>
      </c>
      <c r="I12968" s="14" t="e">
        <f>=Round(2905369.59390000,0)</f>
        <v>#VALUE!</v>
      </c>
      <c r="J12968" s="14" t="e">
        <f>=Round(0.00000000,0)</f>
        <v>#VALUE!</v>
      </c>
    </row>
    <row r="12969">
      <c r="A12969" s="11" t="s">
        <v>45</v>
      </c>
      <c r="B12969" s="12">
        <v>950.914</v>
      </c>
      <c r="C12969" s="12">
        <v>0</v>
      </c>
      <c r="D12969" s="13">
        <v>0</v>
      </c>
      <c r="E12969" s="12">
        <v>0</v>
      </c>
      <c r="F12969" s="14">
        <v>0</v>
      </c>
      <c r="G12969" s="13">
        <v>338179427.6909</v>
      </c>
      <c r="H12969" s="14">
        <v>321579552303.26453</v>
      </c>
      <c r="I12969" s="14" t="e">
        <f>=Round(2901978.92940000,0)</f>
        <v>#VALUE!</v>
      </c>
      <c r="J12969" s="14" t="e">
        <f>=Round(0.00000000,0)</f>
        <v>#VALUE!</v>
      </c>
    </row>
    <row r="12970">
      <c r="A12970" s="11" t="s">
        <v>46</v>
      </c>
      <c r="B12970" s="12">
        <v>950.928</v>
      </c>
      <c r="C12970" s="12">
        <v>0</v>
      </c>
      <c r="D12970" s="13">
        <v>0</v>
      </c>
      <c r="E12970" s="12">
        <v>0</v>
      </c>
      <c r="F12970" s="14">
        <v>0</v>
      </c>
      <c r="G12970" s="13">
        <v>338179427.6909</v>
      </c>
      <c r="H12970" s="14">
        <v>321584286815.25214</v>
      </c>
      <c r="I12970" s="14" t="e">
        <f>=Round(2899487.76670000,0)</f>
        <v>#VALUE!</v>
      </c>
      <c r="J12970" s="14" t="e">
        <f>=Round(0.00000000,0)</f>
        <v>#VALUE!</v>
      </c>
    </row>
    <row r="12971">
      <c r="A12971" s="11" t="s">
        <v>47</v>
      </c>
      <c r="B12971" s="12">
        <v>950.677</v>
      </c>
      <c r="C12971" s="12">
        <v>0</v>
      </c>
      <c r="D12971" s="13">
        <v>0</v>
      </c>
      <c r="E12971" s="12">
        <v>0</v>
      </c>
      <c r="F12971" s="14">
        <v>0</v>
      </c>
      <c r="G12971" s="13">
        <v>338179427.6909</v>
      </c>
      <c r="H12971" s="14">
        <v>321499403778.90173</v>
      </c>
      <c r="I12971" s="14" t="e">
        <f>=Round(2899530.45490000,0)</f>
        <v>#VALUE!</v>
      </c>
      <c r="J12971" s="14" t="e">
        <f>=Round(0.00000000,0)</f>
        <v>#VALUE!</v>
      </c>
    </row>
    <row r="12972">
      <c r="A12972" s="11" t="s">
        <v>48</v>
      </c>
      <c r="B12972" s="12">
        <v>951.548</v>
      </c>
      <c r="C12972" s="12">
        <v>0</v>
      </c>
      <c r="D12972" s="13">
        <v>0</v>
      </c>
      <c r="E12972" s="12">
        <v>0</v>
      </c>
      <c r="F12972" s="14">
        <v>0</v>
      </c>
      <c r="G12972" s="13">
        <v>338179427.6909</v>
      </c>
      <c r="H12972" s="14">
        <v>321793958060.42053</v>
      </c>
      <c r="I12972" s="14" t="e">
        <f>=Round(2898765.11600000,0)</f>
        <v>#VALUE!</v>
      </c>
      <c r="J12972" s="14" t="e">
        <f>=Round(0.00000000,0)</f>
        <v>#VALUE!</v>
      </c>
    </row>
    <row r="12973">
      <c r="A12973" s="11" t="s">
        <v>49</v>
      </c>
      <c r="B12973" s="12">
        <v>951.548</v>
      </c>
      <c r="C12973" s="12">
        <v>0</v>
      </c>
      <c r="D12973" s="13">
        <v>0</v>
      </c>
      <c r="E12973" s="12">
        <v>0</v>
      </c>
      <c r="F12973" s="14">
        <v>0</v>
      </c>
      <c r="G12973" s="13">
        <v>338179427.6909</v>
      </c>
      <c r="H12973" s="14">
        <v>321793958060.42053</v>
      </c>
      <c r="I12973" s="14" t="e">
        <f>=Round(2901420.93330000,0)</f>
        <v>#VALUE!</v>
      </c>
      <c r="J12973" s="14" t="e">
        <f>=Round(0.00000000,0)</f>
        <v>#VALUE!</v>
      </c>
    </row>
    <row r="12974">
      <c r="A12974" s="11" t="s">
        <v>50</v>
      </c>
      <c r="B12974" s="12">
        <v>951.548</v>
      </c>
      <c r="C12974" s="12">
        <v>0</v>
      </c>
      <c r="D12974" s="13">
        <v>0</v>
      </c>
      <c r="E12974" s="12">
        <v>0</v>
      </c>
      <c r="F12974" s="14">
        <v>0</v>
      </c>
      <c r="G12974" s="13">
        <v>338179427.6909</v>
      </c>
      <c r="H12974" s="14">
        <v>321793958060.42053</v>
      </c>
      <c r="I12974" s="14" t="e">
        <f>=Round(2901420.93330000,0)</f>
        <v>#VALUE!</v>
      </c>
      <c r="J12974" s="14" t="e">
        <f>=Round(0.00000000,0)</f>
        <v>#VALUE!</v>
      </c>
    </row>
    <row r="12975">
      <c r="A12975" s="11" t="s">
        <v>51</v>
      </c>
      <c r="B12975" s="12">
        <v>948.44</v>
      </c>
      <c r="C12975" s="12">
        <v>0</v>
      </c>
      <c r="D12975" s="13">
        <v>0</v>
      </c>
      <c r="E12975" s="12">
        <v>0</v>
      </c>
      <c r="F12975" s="14">
        <v>0</v>
      </c>
      <c r="G12975" s="13">
        <v>338179427.6909</v>
      </c>
      <c r="H12975" s="14">
        <v>320742896399.15717</v>
      </c>
      <c r="I12975" s="14" t="e">
        <f>=Round(2901420.93330000,0)</f>
        <v>#VALUE!</v>
      </c>
      <c r="J12975" s="14" t="e">
        <f>=Round(0.00000000,0)</f>
        <v>#VALUE!</v>
      </c>
    </row>
    <row r="12976">
      <c r="A12976" s="11" t="s">
        <v>52</v>
      </c>
      <c r="B12976" s="12">
        <v>947.704</v>
      </c>
      <c r="C12976" s="12">
        <v>0</v>
      </c>
      <c r="D12976" s="13">
        <v>0</v>
      </c>
      <c r="E12976" s="12">
        <v>0</v>
      </c>
      <c r="F12976" s="14">
        <v>0</v>
      </c>
      <c r="G12976" s="13">
        <v>338179427.6909</v>
      </c>
      <c r="H12976" s="14">
        <v>320493996340.37671</v>
      </c>
      <c r="I12976" s="14" t="e">
        <f>=Round(2891944.14790000,0)</f>
        <v>#VALUE!</v>
      </c>
      <c r="J12976" s="14" t="e">
        <f>=Round(0.00000000,0)</f>
        <v>#VALUE!</v>
      </c>
    </row>
    <row r="12977">
      <c r="A12977" s="11" t="s">
        <v>53</v>
      </c>
      <c r="B12977" s="12">
        <v>945.41</v>
      </c>
      <c r="C12977" s="12">
        <v>0</v>
      </c>
      <c r="D12977" s="13">
        <v>0</v>
      </c>
      <c r="E12977" s="12">
        <v>0</v>
      </c>
      <c r="F12977" s="14">
        <v>0</v>
      </c>
      <c r="G12977" s="13">
        <v>338179427.6909</v>
      </c>
      <c r="H12977" s="14">
        <v>319718212733.25378</v>
      </c>
      <c r="I12977" s="14" t="e">
        <f>=Round(2889699.96700000,0)</f>
        <v>#VALUE!</v>
      </c>
      <c r="J12977" s="14" t="e">
        <f>=Round(0.00000000,0)</f>
        <v>#VALUE!</v>
      </c>
    </row>
    <row r="12978">
      <c r="A12978" s="11" t="s">
        <v>54</v>
      </c>
      <c r="B12978" s="12">
        <v>944.717</v>
      </c>
      <c r="C12978" s="12">
        <v>0</v>
      </c>
      <c r="D12978" s="13">
        <v>0</v>
      </c>
      <c r="E12978" s="12">
        <v>0</v>
      </c>
      <c r="F12978" s="14">
        <v>0</v>
      </c>
      <c r="G12978" s="13">
        <v>338179427.6909</v>
      </c>
      <c r="H12978" s="14">
        <v>319483854389.864</v>
      </c>
      <c r="I12978" s="14" t="e">
        <f>=Round(2882705.19680000,0)</f>
        <v>#VALUE!</v>
      </c>
      <c r="J12978" s="14" t="e">
        <f>=Round(0.00000000,0)</f>
        <v>#VALUE!</v>
      </c>
    </row>
    <row r="12979">
      <c r="A12979" s="11" t="s">
        <v>55</v>
      </c>
      <c r="B12979" s="12">
        <v>937.121</v>
      </c>
      <c r="C12979" s="12">
        <v>0</v>
      </c>
      <c r="D12979" s="13">
        <v>0</v>
      </c>
      <c r="E12979" s="12">
        <v>0</v>
      </c>
      <c r="F12979" s="14">
        <v>0</v>
      </c>
      <c r="G12979" s="13">
        <v>338179427.6909</v>
      </c>
      <c r="H12979" s="14">
        <v>316915043457.1239</v>
      </c>
      <c r="I12979" s="14" t="e">
        <f>=Round(2880592.12970000,0)</f>
        <v>#VALUE!</v>
      </c>
      <c r="J12979" s="14" t="e">
        <f>=Round(0.00000000,0)</f>
        <v>#VALUE!</v>
      </c>
    </row>
    <row r="12980" ht="-1">
      <c r="A12980" s="15"/>
      <c r="B12980" s="16" t="s">
        <v>56</v>
      </c>
      <c r="C12980" s="15"/>
      <c r="D12980" s="15"/>
      <c r="E12980" s="15"/>
      <c r="F12980" s="15"/>
      <c r="G12980" s="15"/>
      <c r="H12980" s="15"/>
      <c r="I12980" s="17" t="e">
        <f>=Round(SUM(I12954:I12979),0)</f>
        <v>#VALUE!</v>
      </c>
      <c r="J12980" s="17" t="e">
        <f>=Round(SUM(J12954:J12979),0)</f>
        <v>#VALUE!</v>
      </c>
    </row>
    <row r="12981">
      <c r="A12981" s="1" t="s">
        <v>0</v>
      </c>
      <c r="B12981" s="1"/>
      <c r="C12981" s="1"/>
      <c r="D12981" s="1"/>
    </row>
    <row r="12982">
      <c r="A12982" s="0" t="s">
        <v>1</v>
      </c>
      <c r="C12982" s="0" t="s">
        <v>440</v>
      </c>
      <c r="H12982" s="2" t="s">
        <v>3</v>
      </c>
    </row>
    <row r="12983">
      <c r="A12983" s="0" t="s">
        <v>4</v>
      </c>
      <c r="C12983" s="0" t="s">
        <v>126</v>
      </c>
      <c r="H12983" s="3" t="s">
        <v>6</v>
      </c>
    </row>
    <row r="12984">
      <c r="A12984" s="0" t="s">
        <v>7</v>
      </c>
      <c r="C12984" s="4" t="s">
        <v>226</v>
      </c>
      <c r="H12984" s="2" t="s">
        <v>9</v>
      </c>
    </row>
    <row r="12985">
      <c r="A12985" s="0" t="s">
        <v>10</v>
      </c>
      <c r="C12985" s="4" t="s">
        <v>11</v>
      </c>
      <c r="H12985" s="2" t="s">
        <v>12</v>
      </c>
    </row>
    <row r="12986">
      <c r="A12986" s="0" t="s">
        <v>13</v>
      </c>
      <c r="C12986" s="0" t="s">
        <v>14</v>
      </c>
    </row>
    <row r="12987">
      <c r="A12987" s="0" t="s">
        <v>15</v>
      </c>
      <c r="C12987" s="0" t="s">
        <v>16</v>
      </c>
    </row>
    <row r="12988">
      <c r="A12988" s="0" t="s">
        <v>17</v>
      </c>
      <c r="C12988" s="0" t="s">
        <v>18</v>
      </c>
    </row>
    <row r="12991">
      <c r="A12991" s="5" t="s">
        <v>19</v>
      </c>
      <c r="B12991" s="5" t="s">
        <v>20</v>
      </c>
      <c r="C12991" s="7" t="s">
        <v>21</v>
      </c>
      <c r="D12991" s="9"/>
      <c r="E12991" s="7" t="s">
        <v>22</v>
      </c>
      <c r="F12991" s="9"/>
      <c r="G12991" s="5" t="s">
        <v>23</v>
      </c>
      <c r="H12991" s="5" t="s">
        <v>24</v>
      </c>
      <c r="I12991" s="5" t="s">
        <v>227</v>
      </c>
      <c r="J12991" s="5" t="s">
        <v>26</v>
      </c>
    </row>
    <row r="12992">
      <c r="A12992" s="6"/>
      <c r="B12992" s="6"/>
      <c r="C12992" s="8" t="s">
        <v>27</v>
      </c>
      <c r="D12992" s="8" t="s">
        <v>28</v>
      </c>
      <c r="E12992" s="8" t="s">
        <v>27</v>
      </c>
      <c r="F12992" s="8" t="s">
        <v>28</v>
      </c>
      <c r="G12992" s="6"/>
      <c r="H12992" s="6"/>
      <c r="I12992" s="10" t="s">
        <v>29</v>
      </c>
      <c r="J12992" s="6"/>
    </row>
    <row r="12993">
      <c r="A12993" s="11" t="s">
        <v>30</v>
      </c>
      <c r="B12993" s="12">
        <v>996.822</v>
      </c>
      <c r="C12993" s="12">
        <v>0</v>
      </c>
      <c r="D12993" s="13">
        <v>0</v>
      </c>
      <c r="E12993" s="12">
        <v>0</v>
      </c>
      <c r="F12993" s="14">
        <v>0</v>
      </c>
      <c r="G12993" s="13">
        <v>185735000</v>
      </c>
      <c r="H12993" s="14">
        <v>185144734170</v>
      </c>
      <c r="I12993" s="14" t="e">
        <f>=Round(1112093.59020000,0)</f>
        <v>#VALUE!</v>
      </c>
      <c r="J12993" s="14" t="e">
        <f>=Round(0.00000000,0)</f>
        <v>#VALUE!</v>
      </c>
    </row>
    <row r="12994">
      <c r="A12994" s="11" t="s">
        <v>31</v>
      </c>
      <c r="B12994" s="12">
        <v>997.054</v>
      </c>
      <c r="C12994" s="12">
        <v>0</v>
      </c>
      <c r="D12994" s="13">
        <v>0</v>
      </c>
      <c r="E12994" s="12">
        <v>0</v>
      </c>
      <c r="F12994" s="14">
        <v>0</v>
      </c>
      <c r="G12994" s="13">
        <v>185735000</v>
      </c>
      <c r="H12994" s="14">
        <v>185187824690</v>
      </c>
      <c r="I12994" s="14" t="e">
        <f>=Round(1112891.84470000,0)</f>
        <v>#VALUE!</v>
      </c>
      <c r="J12994" s="14" t="e">
        <f>=Round(0.00000000,0)</f>
        <v>#VALUE!</v>
      </c>
    </row>
    <row r="12995">
      <c r="A12995" s="11" t="s">
        <v>32</v>
      </c>
      <c r="B12995" s="12">
        <v>997.256</v>
      </c>
      <c r="C12995" s="12">
        <v>0</v>
      </c>
      <c r="D12995" s="13">
        <v>0</v>
      </c>
      <c r="E12995" s="12">
        <v>0</v>
      </c>
      <c r="F12995" s="14">
        <v>0</v>
      </c>
      <c r="G12995" s="13">
        <v>185735000</v>
      </c>
      <c r="H12995" s="14">
        <v>185225343160</v>
      </c>
      <c r="I12995" s="14" t="e">
        <f>=Round(1113150.85880000,0)</f>
        <v>#VALUE!</v>
      </c>
      <c r="J12995" s="14" t="e">
        <f>=Round(0.00000000,0)</f>
        <v>#VALUE!</v>
      </c>
    </row>
    <row r="12996">
      <c r="A12996" s="11" t="s">
        <v>33</v>
      </c>
      <c r="B12996" s="12">
        <v>997.469</v>
      </c>
      <c r="C12996" s="12">
        <v>0</v>
      </c>
      <c r="D12996" s="13">
        <v>0</v>
      </c>
      <c r="E12996" s="12">
        <v>0</v>
      </c>
      <c r="F12996" s="14">
        <v>0</v>
      </c>
      <c r="G12996" s="13">
        <v>185735000</v>
      </c>
      <c r="H12996" s="14">
        <v>185264904715</v>
      </c>
      <c r="I12996" s="14" t="e">
        <f>=Round(1113376.37970000,0)</f>
        <v>#VALUE!</v>
      </c>
      <c r="J12996" s="14" t="e">
        <f>=Round(0.00000000,0)</f>
        <v>#VALUE!</v>
      </c>
    </row>
    <row r="12997">
      <c r="A12997" s="11" t="s">
        <v>34</v>
      </c>
      <c r="B12997" s="12">
        <v>997.701</v>
      </c>
      <c r="C12997" s="12">
        <v>0</v>
      </c>
      <c r="D12997" s="13">
        <v>0</v>
      </c>
      <c r="E12997" s="12">
        <v>0</v>
      </c>
      <c r="F12997" s="14">
        <v>0</v>
      </c>
      <c r="G12997" s="13">
        <v>185735000</v>
      </c>
      <c r="H12997" s="14">
        <v>185307995235</v>
      </c>
      <c r="I12997" s="14" t="e">
        <f>=Round(1113614.18130000,0)</f>
        <v>#VALUE!</v>
      </c>
      <c r="J12997" s="14" t="e">
        <f>=Round(0.00000000,0)</f>
        <v>#VALUE!</v>
      </c>
    </row>
    <row r="12998">
      <c r="A12998" s="11" t="s">
        <v>35</v>
      </c>
      <c r="B12998" s="12">
        <v>997.701</v>
      </c>
      <c r="C12998" s="12">
        <v>0</v>
      </c>
      <c r="D12998" s="13">
        <v>0</v>
      </c>
      <c r="E12998" s="12">
        <v>0</v>
      </c>
      <c r="F12998" s="14">
        <v>0</v>
      </c>
      <c r="G12998" s="13">
        <v>185735000</v>
      </c>
      <c r="H12998" s="14">
        <v>185307995235</v>
      </c>
      <c r="I12998" s="14" t="e">
        <f>=Round(1113873.19540000,0)</f>
        <v>#VALUE!</v>
      </c>
      <c r="J12998" s="14" t="e">
        <f>=Round(0.00000000,0)</f>
        <v>#VALUE!</v>
      </c>
    </row>
    <row r="12999">
      <c r="A12999" s="11" t="s">
        <v>36</v>
      </c>
      <c r="B12999" s="12">
        <v>997.701</v>
      </c>
      <c r="C12999" s="12">
        <v>0</v>
      </c>
      <c r="D12999" s="13">
        <v>0</v>
      </c>
      <c r="E12999" s="12">
        <v>0</v>
      </c>
      <c r="F12999" s="14">
        <v>0</v>
      </c>
      <c r="G12999" s="13">
        <v>185735000</v>
      </c>
      <c r="H12999" s="14">
        <v>185307995235</v>
      </c>
      <c r="I12999" s="14" t="e">
        <f>=Round(1113873.19540000,0)</f>
        <v>#VALUE!</v>
      </c>
      <c r="J12999" s="14" t="e">
        <f>=Round(0.00000000,0)</f>
        <v>#VALUE!</v>
      </c>
    </row>
    <row r="13000">
      <c r="A13000" s="11" t="s">
        <v>37</v>
      </c>
      <c r="B13000" s="12">
        <v>998.398</v>
      </c>
      <c r="C13000" s="12">
        <v>0</v>
      </c>
      <c r="D13000" s="13">
        <v>0</v>
      </c>
      <c r="E13000" s="12">
        <v>0</v>
      </c>
      <c r="F13000" s="14">
        <v>0</v>
      </c>
      <c r="G13000" s="13">
        <v>185735000</v>
      </c>
      <c r="H13000" s="14">
        <v>185437452530</v>
      </c>
      <c r="I13000" s="14" t="e">
        <f>=Round(1113873.19540000,0)</f>
        <v>#VALUE!</v>
      </c>
      <c r="J13000" s="14" t="e">
        <f>=Round(0.00000000,0)</f>
        <v>#VALUE!</v>
      </c>
    </row>
    <row r="13001">
      <c r="A13001" s="11" t="s">
        <v>38</v>
      </c>
      <c r="B13001" s="12">
        <v>998.63</v>
      </c>
      <c r="C13001" s="12">
        <v>0</v>
      </c>
      <c r="D13001" s="13">
        <v>0</v>
      </c>
      <c r="E13001" s="12">
        <v>0</v>
      </c>
      <c r="F13001" s="14">
        <v>0</v>
      </c>
      <c r="G13001" s="13">
        <v>185735000</v>
      </c>
      <c r="H13001" s="14">
        <v>185480543050</v>
      </c>
      <c r="I13001" s="14" t="e">
        <f>=Round(1114651.35400000,0)</f>
        <v>#VALUE!</v>
      </c>
      <c r="J13001" s="14" t="e">
        <f>=Round(0.00000000,0)</f>
        <v>#VALUE!</v>
      </c>
    </row>
    <row r="13002">
      <c r="A13002" s="11" t="s">
        <v>39</v>
      </c>
      <c r="B13002" s="12">
        <v>999.493</v>
      </c>
      <c r="C13002" s="12">
        <v>0</v>
      </c>
      <c r="D13002" s="13">
        <v>0</v>
      </c>
      <c r="E13002" s="12">
        <v>0</v>
      </c>
      <c r="F13002" s="14">
        <v>0</v>
      </c>
      <c r="G13002" s="13">
        <v>185735000</v>
      </c>
      <c r="H13002" s="14">
        <v>185640832355</v>
      </c>
      <c r="I13002" s="14" t="e">
        <f>=Round(1114910.36810000,0)</f>
        <v>#VALUE!</v>
      </c>
      <c r="J13002" s="14" t="e">
        <f>=Round(0.00000000,0)</f>
        <v>#VALUE!</v>
      </c>
    </row>
    <row r="13003">
      <c r="A13003" s="11" t="s">
        <v>40</v>
      </c>
      <c r="B13003" s="12">
        <v>999.888</v>
      </c>
      <c r="C13003" s="12">
        <v>0</v>
      </c>
      <c r="D13003" s="13">
        <v>0</v>
      </c>
      <c r="E13003" s="12">
        <v>0</v>
      </c>
      <c r="F13003" s="14">
        <v>0</v>
      </c>
      <c r="G13003" s="13">
        <v>185735000</v>
      </c>
      <c r="H13003" s="14">
        <v>185714197680</v>
      </c>
      <c r="I13003" s="14" t="e">
        <f>=Round(1115873.85570000,0)</f>
        <v>#VALUE!</v>
      </c>
      <c r="J13003" s="14" t="e">
        <f>=Round(0.00000000,0)</f>
        <v>#VALUE!</v>
      </c>
    </row>
    <row r="13004">
      <c r="A13004" s="11" t="s">
        <v>41</v>
      </c>
      <c r="B13004" s="12">
        <v>1000.186</v>
      </c>
      <c r="C13004" s="12">
        <v>0</v>
      </c>
      <c r="D13004" s="13">
        <v>0</v>
      </c>
      <c r="E13004" s="12">
        <v>0</v>
      </c>
      <c r="F13004" s="14">
        <v>0</v>
      </c>
      <c r="G13004" s="13">
        <v>185735000</v>
      </c>
      <c r="H13004" s="14">
        <v>185769546710</v>
      </c>
      <c r="I13004" s="14" t="e">
        <f>=Round(1116314.84940000,0)</f>
        <v>#VALUE!</v>
      </c>
      <c r="J13004" s="14" t="e">
        <f>=Round(0.00000000,0)</f>
        <v>#VALUE!</v>
      </c>
    </row>
    <row r="13005">
      <c r="A13005" s="11" t="s">
        <v>42</v>
      </c>
      <c r="B13005" s="12">
        <v>1000.186</v>
      </c>
      <c r="C13005" s="12">
        <v>0</v>
      </c>
      <c r="D13005" s="13">
        <v>0</v>
      </c>
      <c r="E13005" s="12">
        <v>0</v>
      </c>
      <c r="F13005" s="14">
        <v>0</v>
      </c>
      <c r="G13005" s="13">
        <v>185735000</v>
      </c>
      <c r="H13005" s="14">
        <v>185769546710</v>
      </c>
      <c r="I13005" s="14" t="e">
        <f>=Round(1116647.54850000,0)</f>
        <v>#VALUE!</v>
      </c>
      <c r="J13005" s="14" t="e">
        <f>=Round(0.00000000,0)</f>
        <v>#VALUE!</v>
      </c>
    </row>
    <row r="13006">
      <c r="A13006" s="11" t="s">
        <v>43</v>
      </c>
      <c r="B13006" s="12">
        <v>1000.186</v>
      </c>
      <c r="C13006" s="12">
        <v>0</v>
      </c>
      <c r="D13006" s="13">
        <v>0</v>
      </c>
      <c r="E13006" s="12">
        <v>0</v>
      </c>
      <c r="F13006" s="14">
        <v>0</v>
      </c>
      <c r="G13006" s="13">
        <v>185735000</v>
      </c>
      <c r="H13006" s="14">
        <v>185769546710</v>
      </c>
      <c r="I13006" s="14" t="e">
        <f>=Round(1116647.54850000,0)</f>
        <v>#VALUE!</v>
      </c>
      <c r="J13006" s="14" t="e">
        <f>=Round(0.00000000,0)</f>
        <v>#VALUE!</v>
      </c>
    </row>
    <row r="13007">
      <c r="A13007" s="11" t="s">
        <v>44</v>
      </c>
      <c r="B13007" s="12">
        <v>1001.069</v>
      </c>
      <c r="C13007" s="12">
        <v>0</v>
      </c>
      <c r="D13007" s="13">
        <v>0</v>
      </c>
      <c r="E13007" s="12">
        <v>0</v>
      </c>
      <c r="F13007" s="14">
        <v>0</v>
      </c>
      <c r="G13007" s="13">
        <v>185735000</v>
      </c>
      <c r="H13007" s="14">
        <v>185933550715</v>
      </c>
      <c r="I13007" s="14" t="e">
        <f>=Round(1116647.54850000,0)</f>
        <v>#VALUE!</v>
      </c>
      <c r="J13007" s="14" t="e">
        <f>=Round(0.00000000,0)</f>
        <v>#VALUE!</v>
      </c>
    </row>
    <row r="13008">
      <c r="A13008" s="11" t="s">
        <v>45</v>
      </c>
      <c r="B13008" s="12">
        <v>1001.301</v>
      </c>
      <c r="C13008" s="12">
        <v>0</v>
      </c>
      <c r="D13008" s="13">
        <v>0</v>
      </c>
      <c r="E13008" s="12">
        <v>0</v>
      </c>
      <c r="F13008" s="14">
        <v>0</v>
      </c>
      <c r="G13008" s="13">
        <v>185735000</v>
      </c>
      <c r="H13008" s="14">
        <v>185976641235</v>
      </c>
      <c r="I13008" s="14" t="e">
        <f>=Round(1117633.36500000,0)</f>
        <v>#VALUE!</v>
      </c>
      <c r="J13008" s="14" t="e">
        <f>=Round(0.00000000,0)</f>
        <v>#VALUE!</v>
      </c>
    </row>
    <row r="13009">
      <c r="A13009" s="11" t="s">
        <v>46</v>
      </c>
      <c r="B13009" s="12">
        <v>1001.548</v>
      </c>
      <c r="C13009" s="12">
        <v>0</v>
      </c>
      <c r="D13009" s="13">
        <v>0</v>
      </c>
      <c r="E13009" s="12">
        <v>0</v>
      </c>
      <c r="F13009" s="14">
        <v>0</v>
      </c>
      <c r="G13009" s="13">
        <v>185735000</v>
      </c>
      <c r="H13009" s="14">
        <v>186022517780</v>
      </c>
      <c r="I13009" s="14" t="e">
        <f>=Round(1117892.37900000,0)</f>
        <v>#VALUE!</v>
      </c>
      <c r="J13009" s="14" t="e">
        <f>=Round(0.00000000,0)</f>
        <v>#VALUE!</v>
      </c>
    </row>
    <row r="13010">
      <c r="A13010" s="11" t="s">
        <v>47</v>
      </c>
      <c r="B13010" s="12">
        <v>1001.963</v>
      </c>
      <c r="C13010" s="12">
        <v>0</v>
      </c>
      <c r="D13010" s="13">
        <v>0</v>
      </c>
      <c r="E13010" s="12">
        <v>0</v>
      </c>
      <c r="F13010" s="14">
        <v>0</v>
      </c>
      <c r="G13010" s="13">
        <v>185735000</v>
      </c>
      <c r="H13010" s="14">
        <v>186099597805</v>
      </c>
      <c r="I13010" s="14" t="e">
        <f>=Round(1118168.13970000,0)</f>
        <v>#VALUE!</v>
      </c>
      <c r="J13010" s="14" t="e">
        <f>=Round(0.00000000,0)</f>
        <v>#VALUE!</v>
      </c>
    </row>
    <row r="13011">
      <c r="A13011" s="11" t="s">
        <v>48</v>
      </c>
      <c r="B13011" s="12">
        <v>1002.611</v>
      </c>
      <c r="C13011" s="12">
        <v>0</v>
      </c>
      <c r="D13011" s="13">
        <v>0</v>
      </c>
      <c r="E13011" s="12">
        <v>0</v>
      </c>
      <c r="F13011" s="14">
        <v>0</v>
      </c>
      <c r="G13011" s="13">
        <v>185735000</v>
      </c>
      <c r="H13011" s="14">
        <v>186219954085</v>
      </c>
      <c r="I13011" s="14" t="e">
        <f>=Round(1118631.46220000,0)</f>
        <v>#VALUE!</v>
      </c>
      <c r="J13011" s="14" t="e">
        <f>=Round(0.00000000,0)</f>
        <v>#VALUE!</v>
      </c>
    </row>
    <row r="13012">
      <c r="A13012" s="11" t="s">
        <v>49</v>
      </c>
      <c r="B13012" s="12">
        <v>1002.611</v>
      </c>
      <c r="C13012" s="12">
        <v>0</v>
      </c>
      <c r="D13012" s="13">
        <v>0</v>
      </c>
      <c r="E13012" s="12">
        <v>0</v>
      </c>
      <c r="F13012" s="14">
        <v>0</v>
      </c>
      <c r="G13012" s="13">
        <v>185735000</v>
      </c>
      <c r="H13012" s="14">
        <v>186219954085</v>
      </c>
      <c r="I13012" s="14" t="e">
        <f>=Round(1119354.91530000,0)</f>
        <v>#VALUE!</v>
      </c>
      <c r="J13012" s="14" t="e">
        <f>=Round(0.00000000,0)</f>
        <v>#VALUE!</v>
      </c>
    </row>
    <row r="13013">
      <c r="A13013" s="11" t="s">
        <v>50</v>
      </c>
      <c r="B13013" s="12">
        <v>1002.611</v>
      </c>
      <c r="C13013" s="12">
        <v>0</v>
      </c>
      <c r="D13013" s="13">
        <v>0</v>
      </c>
      <c r="E13013" s="12">
        <v>0</v>
      </c>
      <c r="F13013" s="14">
        <v>0</v>
      </c>
      <c r="G13013" s="13">
        <v>185735000</v>
      </c>
      <c r="H13013" s="14">
        <v>186219954085</v>
      </c>
      <c r="I13013" s="14" t="e">
        <f>=Round(1119354.91530000,0)</f>
        <v>#VALUE!</v>
      </c>
      <c r="J13013" s="14" t="e">
        <f>=Round(0.00000000,0)</f>
        <v>#VALUE!</v>
      </c>
    </row>
    <row r="13014">
      <c r="A13014" s="11" t="s">
        <v>51</v>
      </c>
      <c r="B13014" s="12">
        <v>1003.308</v>
      </c>
      <c r="C13014" s="12">
        <v>0</v>
      </c>
      <c r="D13014" s="13">
        <v>0</v>
      </c>
      <c r="E13014" s="12">
        <v>0</v>
      </c>
      <c r="F13014" s="14">
        <v>0</v>
      </c>
      <c r="G13014" s="13">
        <v>185735000</v>
      </c>
      <c r="H13014" s="14">
        <v>186349411380</v>
      </c>
      <c r="I13014" s="14" t="e">
        <f>=Round(1119354.91530000,0)</f>
        <v>#VALUE!</v>
      </c>
      <c r="J13014" s="14" t="e">
        <f>=Round(0.00000000,0)</f>
        <v>#VALUE!</v>
      </c>
    </row>
    <row r="13015">
      <c r="A13015" s="11" t="s">
        <v>52</v>
      </c>
      <c r="B13015" s="12">
        <v>1003.54</v>
      </c>
      <c r="C13015" s="12">
        <v>0</v>
      </c>
      <c r="D13015" s="13">
        <v>0</v>
      </c>
      <c r="E13015" s="12">
        <v>0</v>
      </c>
      <c r="F13015" s="14">
        <v>0</v>
      </c>
      <c r="G13015" s="13">
        <v>185735000</v>
      </c>
      <c r="H13015" s="14">
        <v>186392501900</v>
      </c>
      <c r="I13015" s="14" t="e">
        <f>=Round(1120133.07390000,0)</f>
        <v>#VALUE!</v>
      </c>
      <c r="J13015" s="14" t="e">
        <f>=Round(0.00000000,0)</f>
        <v>#VALUE!</v>
      </c>
    </row>
    <row r="13016">
      <c r="A13016" s="11" t="s">
        <v>53</v>
      </c>
      <c r="B13016" s="12">
        <v>1003.772</v>
      </c>
      <c r="C13016" s="12">
        <v>0</v>
      </c>
      <c r="D13016" s="13">
        <v>0</v>
      </c>
      <c r="E13016" s="12">
        <v>0</v>
      </c>
      <c r="F13016" s="14">
        <v>0</v>
      </c>
      <c r="G13016" s="13">
        <v>185735000</v>
      </c>
      <c r="H13016" s="14">
        <v>186435592420</v>
      </c>
      <c r="I13016" s="14" t="e">
        <f>=Round(1120392.08790000,0)</f>
        <v>#VALUE!</v>
      </c>
      <c r="J13016" s="14" t="e">
        <f>=Round(0.00000000,0)</f>
        <v>#VALUE!</v>
      </c>
    </row>
    <row r="13017">
      <c r="A13017" s="11" t="s">
        <v>54</v>
      </c>
      <c r="B13017" s="12">
        <v>1004.004</v>
      </c>
      <c r="C13017" s="12">
        <v>0</v>
      </c>
      <c r="D13017" s="13">
        <v>0</v>
      </c>
      <c r="E13017" s="12">
        <v>0</v>
      </c>
      <c r="F13017" s="14">
        <v>0</v>
      </c>
      <c r="G13017" s="13">
        <v>185735000</v>
      </c>
      <c r="H13017" s="14">
        <v>186478682940</v>
      </c>
      <c r="I13017" s="14" t="e">
        <f>=Round(1120651.10200000,0)</f>
        <v>#VALUE!</v>
      </c>
      <c r="J13017" s="14" t="e">
        <f>=Round(0.00000000,0)</f>
        <v>#VALUE!</v>
      </c>
    </row>
    <row r="13018">
      <c r="A13018" s="11" t="s">
        <v>55</v>
      </c>
      <c r="B13018" s="12">
        <v>1005.063</v>
      </c>
      <c r="C13018" s="12">
        <v>0</v>
      </c>
      <c r="D13018" s="13">
        <v>0</v>
      </c>
      <c r="E13018" s="12">
        <v>0</v>
      </c>
      <c r="F13018" s="14">
        <v>0</v>
      </c>
      <c r="G13018" s="13">
        <v>185735000</v>
      </c>
      <c r="H13018" s="14">
        <v>186675376305</v>
      </c>
      <c r="I13018" s="14" t="e">
        <f>=Round(1120910.11600000,0)</f>
        <v>#VALUE!</v>
      </c>
      <c r="J13018" s="14" t="e">
        <f>=Round(0.00000000,0)</f>
        <v>#VALUE!</v>
      </c>
    </row>
    <row r="13019" ht="-1">
      <c r="A13019" s="15"/>
      <c r="B13019" s="16" t="s">
        <v>56</v>
      </c>
      <c r="C13019" s="15"/>
      <c r="D13019" s="15"/>
      <c r="E13019" s="15"/>
      <c r="F13019" s="15"/>
      <c r="G13019" s="15"/>
      <c r="H13019" s="15"/>
      <c r="I13019" s="17" t="e">
        <f>=Round(SUM(I12993:I13018),0)</f>
        <v>#VALUE!</v>
      </c>
      <c r="J13019" s="17" t="e">
        <f>=Round(SUM(J12993:J13018),0)</f>
        <v>#VALUE!</v>
      </c>
    </row>
    <row r="13020">
      <c r="A13020" s="1" t="s">
        <v>0</v>
      </c>
      <c r="B13020" s="1"/>
      <c r="C13020" s="1"/>
      <c r="D13020" s="1"/>
    </row>
    <row r="13021">
      <c r="A13021" s="0" t="s">
        <v>1</v>
      </c>
      <c r="C13021" s="0" t="s">
        <v>440</v>
      </c>
      <c r="H13021" s="2" t="s">
        <v>3</v>
      </c>
    </row>
    <row r="13022">
      <c r="A13022" s="0" t="s">
        <v>4</v>
      </c>
      <c r="C13022" s="0" t="s">
        <v>127</v>
      </c>
      <c r="H13022" s="3" t="s">
        <v>6</v>
      </c>
    </row>
    <row r="13023">
      <c r="A13023" s="0" t="s">
        <v>7</v>
      </c>
      <c r="C13023" s="4" t="s">
        <v>226</v>
      </c>
      <c r="H13023" s="2" t="s">
        <v>9</v>
      </c>
    </row>
    <row r="13024">
      <c r="A13024" s="0" t="s">
        <v>10</v>
      </c>
      <c r="C13024" s="4" t="s">
        <v>11</v>
      </c>
      <c r="H13024" s="2" t="s">
        <v>12</v>
      </c>
    </row>
    <row r="13025">
      <c r="A13025" s="0" t="s">
        <v>13</v>
      </c>
      <c r="C13025" s="0" t="s">
        <v>14</v>
      </c>
    </row>
    <row r="13026">
      <c r="A13026" s="0" t="s">
        <v>15</v>
      </c>
      <c r="C13026" s="0" t="s">
        <v>16</v>
      </c>
    </row>
    <row r="13027">
      <c r="A13027" s="0" t="s">
        <v>17</v>
      </c>
      <c r="C13027" s="0" t="s">
        <v>18</v>
      </c>
    </row>
    <row r="13030">
      <c r="A13030" s="5" t="s">
        <v>19</v>
      </c>
      <c r="B13030" s="5" t="s">
        <v>20</v>
      </c>
      <c r="C13030" s="7" t="s">
        <v>21</v>
      </c>
      <c r="D13030" s="9"/>
      <c r="E13030" s="7" t="s">
        <v>22</v>
      </c>
      <c r="F13030" s="9"/>
      <c r="G13030" s="5" t="s">
        <v>23</v>
      </c>
      <c r="H13030" s="5" t="s">
        <v>24</v>
      </c>
      <c r="I13030" s="5" t="s">
        <v>227</v>
      </c>
      <c r="J13030" s="5" t="s">
        <v>26</v>
      </c>
    </row>
    <row r="13031">
      <c r="A13031" s="6"/>
      <c r="B13031" s="6"/>
      <c r="C13031" s="8" t="s">
        <v>27</v>
      </c>
      <c r="D13031" s="8" t="s">
        <v>28</v>
      </c>
      <c r="E13031" s="8" t="s">
        <v>27</v>
      </c>
      <c r="F13031" s="8" t="s">
        <v>28</v>
      </c>
      <c r="G13031" s="6"/>
      <c r="H13031" s="6"/>
      <c r="I13031" s="10" t="s">
        <v>29</v>
      </c>
      <c r="J13031" s="6"/>
    </row>
    <row r="13032">
      <c r="A13032" s="11" t="s">
        <v>30</v>
      </c>
      <c r="B13032" s="12">
        <v>996.822</v>
      </c>
      <c r="C13032" s="12">
        <v>0</v>
      </c>
      <c r="D13032" s="13">
        <v>0</v>
      </c>
      <c r="E13032" s="12">
        <v>0</v>
      </c>
      <c r="F13032" s="14">
        <v>0</v>
      </c>
      <c r="G13032" s="13">
        <v>29296.557</v>
      </c>
      <c r="H13032" s="14">
        <v>29203452.541854</v>
      </c>
      <c r="I13032" s="14" t="e">
        <f>=Round(175.41400000,0)</f>
        <v>#VALUE!</v>
      </c>
      <c r="J13032" s="14" t="e">
        <f>=Round(0.00000000,0)</f>
        <v>#VALUE!</v>
      </c>
    </row>
    <row r="13033">
      <c r="A13033" s="11" t="s">
        <v>31</v>
      </c>
      <c r="B13033" s="12">
        <v>997.054</v>
      </c>
      <c r="C13033" s="12">
        <v>0</v>
      </c>
      <c r="D13033" s="13">
        <v>0</v>
      </c>
      <c r="E13033" s="12">
        <v>0</v>
      </c>
      <c r="F13033" s="14">
        <v>0</v>
      </c>
      <c r="G13033" s="13">
        <v>29296.557</v>
      </c>
      <c r="H13033" s="14">
        <v>29210249.343078</v>
      </c>
      <c r="I13033" s="14" t="e">
        <f>=Round(175.53990000,0)</f>
        <v>#VALUE!</v>
      </c>
      <c r="J13033" s="14" t="e">
        <f>=Round(0.00000000,0)</f>
        <v>#VALUE!</v>
      </c>
    </row>
    <row r="13034">
      <c r="A13034" s="11" t="s">
        <v>32</v>
      </c>
      <c r="B13034" s="12">
        <v>997.256</v>
      </c>
      <c r="C13034" s="12">
        <v>0</v>
      </c>
      <c r="D13034" s="13">
        <v>0</v>
      </c>
      <c r="E13034" s="12">
        <v>0</v>
      </c>
      <c r="F13034" s="14">
        <v>0</v>
      </c>
      <c r="G13034" s="13">
        <v>29296.557</v>
      </c>
      <c r="H13034" s="14">
        <v>29216167.247592</v>
      </c>
      <c r="I13034" s="14" t="e">
        <f>=Round(175.58070000,0)</f>
        <v>#VALUE!</v>
      </c>
      <c r="J13034" s="14" t="e">
        <f>=Round(0.00000000,0)</f>
        <v>#VALUE!</v>
      </c>
    </row>
    <row r="13035">
      <c r="A13035" s="11" t="s">
        <v>33</v>
      </c>
      <c r="B13035" s="12">
        <v>997.469</v>
      </c>
      <c r="C13035" s="12">
        <v>0</v>
      </c>
      <c r="D13035" s="13">
        <v>0</v>
      </c>
      <c r="E13035" s="12">
        <v>0</v>
      </c>
      <c r="F13035" s="14">
        <v>0</v>
      </c>
      <c r="G13035" s="13">
        <v>29296.557</v>
      </c>
      <c r="H13035" s="14">
        <v>29222407.414233</v>
      </c>
      <c r="I13035" s="14" t="e">
        <f>=Round(175.61630000,0)</f>
        <v>#VALUE!</v>
      </c>
      <c r="J13035" s="14" t="e">
        <f>=Round(0.00000000,0)</f>
        <v>#VALUE!</v>
      </c>
    </row>
    <row r="13036">
      <c r="A13036" s="11" t="s">
        <v>34</v>
      </c>
      <c r="B13036" s="12">
        <v>997.701</v>
      </c>
      <c r="C13036" s="12">
        <v>0</v>
      </c>
      <c r="D13036" s="13">
        <v>0</v>
      </c>
      <c r="E13036" s="12">
        <v>0</v>
      </c>
      <c r="F13036" s="14">
        <v>0</v>
      </c>
      <c r="G13036" s="13">
        <v>29296.557</v>
      </c>
      <c r="H13036" s="14">
        <v>29229204.215457</v>
      </c>
      <c r="I13036" s="14" t="e">
        <f>=Round(175.65380000,0)</f>
        <v>#VALUE!</v>
      </c>
      <c r="J13036" s="14" t="e">
        <f>=Round(0.00000000,0)</f>
        <v>#VALUE!</v>
      </c>
    </row>
    <row r="13037">
      <c r="A13037" s="11" t="s">
        <v>35</v>
      </c>
      <c r="B13037" s="12">
        <v>997.701</v>
      </c>
      <c r="C13037" s="12">
        <v>0</v>
      </c>
      <c r="D13037" s="13">
        <v>0</v>
      </c>
      <c r="E13037" s="12">
        <v>0</v>
      </c>
      <c r="F13037" s="14">
        <v>0</v>
      </c>
      <c r="G13037" s="13">
        <v>29296.557</v>
      </c>
      <c r="H13037" s="14">
        <v>29229204.215457</v>
      </c>
      <c r="I13037" s="14" t="e">
        <f>=Round(175.69470000,0)</f>
        <v>#VALUE!</v>
      </c>
      <c r="J13037" s="14" t="e">
        <f>=Round(0.00000000,0)</f>
        <v>#VALUE!</v>
      </c>
    </row>
    <row r="13038">
      <c r="A13038" s="11" t="s">
        <v>36</v>
      </c>
      <c r="B13038" s="12">
        <v>997.701</v>
      </c>
      <c r="C13038" s="12">
        <v>0</v>
      </c>
      <c r="D13038" s="13">
        <v>0</v>
      </c>
      <c r="E13038" s="12">
        <v>0</v>
      </c>
      <c r="F13038" s="14">
        <v>0</v>
      </c>
      <c r="G13038" s="13">
        <v>29296.557</v>
      </c>
      <c r="H13038" s="14">
        <v>29229204.215457</v>
      </c>
      <c r="I13038" s="14" t="e">
        <f>=Round(175.69470000,0)</f>
        <v>#VALUE!</v>
      </c>
      <c r="J13038" s="14" t="e">
        <f>=Round(0.00000000,0)</f>
        <v>#VALUE!</v>
      </c>
    </row>
    <row r="13039">
      <c r="A13039" s="11" t="s">
        <v>37</v>
      </c>
      <c r="B13039" s="12">
        <v>998.398</v>
      </c>
      <c r="C13039" s="12">
        <v>0</v>
      </c>
      <c r="D13039" s="13">
        <v>0</v>
      </c>
      <c r="E13039" s="12">
        <v>0</v>
      </c>
      <c r="F13039" s="14">
        <v>0</v>
      </c>
      <c r="G13039" s="13">
        <v>29296.557</v>
      </c>
      <c r="H13039" s="14">
        <v>29249623.915686</v>
      </c>
      <c r="I13039" s="14" t="e">
        <f>=Round(175.69470000,0)</f>
        <v>#VALUE!</v>
      </c>
      <c r="J13039" s="14" t="e">
        <f>=Round(0.00000000,0)</f>
        <v>#VALUE!</v>
      </c>
    </row>
    <row r="13040">
      <c r="A13040" s="11" t="s">
        <v>38</v>
      </c>
      <c r="B13040" s="12">
        <v>998.63</v>
      </c>
      <c r="C13040" s="12">
        <v>0</v>
      </c>
      <c r="D13040" s="13">
        <v>0</v>
      </c>
      <c r="E13040" s="12">
        <v>0</v>
      </c>
      <c r="F13040" s="14">
        <v>0</v>
      </c>
      <c r="G13040" s="13">
        <v>29296.557</v>
      </c>
      <c r="H13040" s="14">
        <v>29256420.71691</v>
      </c>
      <c r="I13040" s="14" t="e">
        <f>=Round(175.81740000,0)</f>
        <v>#VALUE!</v>
      </c>
      <c r="J13040" s="14" t="e">
        <f>=Round(0.00000000,0)</f>
        <v>#VALUE!</v>
      </c>
    </row>
    <row r="13041">
      <c r="A13041" s="11" t="s">
        <v>39</v>
      </c>
      <c r="B13041" s="12">
        <v>999.493</v>
      </c>
      <c r="C13041" s="12">
        <v>0</v>
      </c>
      <c r="D13041" s="13">
        <v>0</v>
      </c>
      <c r="E13041" s="12">
        <v>0</v>
      </c>
      <c r="F13041" s="14">
        <v>0</v>
      </c>
      <c r="G13041" s="13">
        <v>29296.557</v>
      </c>
      <c r="H13041" s="14">
        <v>29281703.645601</v>
      </c>
      <c r="I13041" s="14" t="e">
        <f>=Round(175.85830000,0)</f>
        <v>#VALUE!</v>
      </c>
      <c r="J13041" s="14" t="e">
        <f>=Round(0.00000000,0)</f>
        <v>#VALUE!</v>
      </c>
    </row>
    <row r="13042">
      <c r="A13042" s="11" t="s">
        <v>40</v>
      </c>
      <c r="B13042" s="12">
        <v>999.888</v>
      </c>
      <c r="C13042" s="12">
        <v>0</v>
      </c>
      <c r="D13042" s="13">
        <v>0</v>
      </c>
      <c r="E13042" s="12">
        <v>0</v>
      </c>
      <c r="F13042" s="14">
        <v>0</v>
      </c>
      <c r="G13042" s="13">
        <v>29296.557</v>
      </c>
      <c r="H13042" s="14">
        <v>29293275.785616</v>
      </c>
      <c r="I13042" s="14" t="e">
        <f>=Round(176.01020000,0)</f>
        <v>#VALUE!</v>
      </c>
      <c r="J13042" s="14" t="e">
        <f>=Round(0.00000000,0)</f>
        <v>#VALUE!</v>
      </c>
    </row>
    <row r="13043">
      <c r="A13043" s="11" t="s">
        <v>41</v>
      </c>
      <c r="B13043" s="12">
        <v>1000.186</v>
      </c>
      <c r="C13043" s="12">
        <v>0</v>
      </c>
      <c r="D13043" s="13">
        <v>0</v>
      </c>
      <c r="E13043" s="12">
        <v>0</v>
      </c>
      <c r="F13043" s="14">
        <v>0</v>
      </c>
      <c r="G13043" s="13">
        <v>29296.557</v>
      </c>
      <c r="H13043" s="14">
        <v>29302006.159602</v>
      </c>
      <c r="I13043" s="14" t="e">
        <f>=Round(176.07980000,0)</f>
        <v>#VALUE!</v>
      </c>
      <c r="J13043" s="14" t="e">
        <f>=Round(0.00000000,0)</f>
        <v>#VALUE!</v>
      </c>
    </row>
    <row r="13044">
      <c r="A13044" s="11" t="s">
        <v>42</v>
      </c>
      <c r="B13044" s="12">
        <v>1000.186</v>
      </c>
      <c r="C13044" s="12">
        <v>0</v>
      </c>
      <c r="D13044" s="13">
        <v>0</v>
      </c>
      <c r="E13044" s="12">
        <v>0</v>
      </c>
      <c r="F13044" s="14">
        <v>0</v>
      </c>
      <c r="G13044" s="13">
        <v>29296.557</v>
      </c>
      <c r="H13044" s="14">
        <v>29302006.159602</v>
      </c>
      <c r="I13044" s="14" t="e">
        <f>=Round(176.13230000,0)</f>
        <v>#VALUE!</v>
      </c>
      <c r="J13044" s="14" t="e">
        <f>=Round(0.00000000,0)</f>
        <v>#VALUE!</v>
      </c>
    </row>
    <row r="13045">
      <c r="A13045" s="11" t="s">
        <v>43</v>
      </c>
      <c r="B13045" s="12">
        <v>1000.186</v>
      </c>
      <c r="C13045" s="12">
        <v>0</v>
      </c>
      <c r="D13045" s="13">
        <v>0</v>
      </c>
      <c r="E13045" s="12">
        <v>0</v>
      </c>
      <c r="F13045" s="14">
        <v>0</v>
      </c>
      <c r="G13045" s="13">
        <v>29296.557</v>
      </c>
      <c r="H13045" s="14">
        <v>29302006.159602</v>
      </c>
      <c r="I13045" s="14" t="e">
        <f>=Round(176.13230000,0)</f>
        <v>#VALUE!</v>
      </c>
      <c r="J13045" s="14" t="e">
        <f>=Round(0.00000000,0)</f>
        <v>#VALUE!</v>
      </c>
    </row>
    <row r="13046">
      <c r="A13046" s="11" t="s">
        <v>44</v>
      </c>
      <c r="B13046" s="12">
        <v>1001.069</v>
      </c>
      <c r="C13046" s="12">
        <v>0</v>
      </c>
      <c r="D13046" s="13">
        <v>0</v>
      </c>
      <c r="E13046" s="12">
        <v>0</v>
      </c>
      <c r="F13046" s="14">
        <v>0</v>
      </c>
      <c r="G13046" s="13">
        <v>29296.557</v>
      </c>
      <c r="H13046" s="14">
        <v>29327875.019433</v>
      </c>
      <c r="I13046" s="14" t="e">
        <f>=Round(176.13230000,0)</f>
        <v>#VALUE!</v>
      </c>
      <c r="J13046" s="14" t="e">
        <f>=Round(0.00000000,0)</f>
        <v>#VALUE!</v>
      </c>
    </row>
    <row r="13047">
      <c r="A13047" s="11" t="s">
        <v>45</v>
      </c>
      <c r="B13047" s="12">
        <v>1001.301</v>
      </c>
      <c r="C13047" s="12">
        <v>0</v>
      </c>
      <c r="D13047" s="13">
        <v>0</v>
      </c>
      <c r="E13047" s="12">
        <v>0</v>
      </c>
      <c r="F13047" s="14">
        <v>0</v>
      </c>
      <c r="G13047" s="13">
        <v>29296.557</v>
      </c>
      <c r="H13047" s="14">
        <v>29334671.820657</v>
      </c>
      <c r="I13047" s="14" t="e">
        <f>=Round(176.28780000,0)</f>
        <v>#VALUE!</v>
      </c>
      <c r="J13047" s="14" t="e">
        <f>=Round(0.00000000,0)</f>
        <v>#VALUE!</v>
      </c>
    </row>
    <row r="13048">
      <c r="A13048" s="11" t="s">
        <v>46</v>
      </c>
      <c r="B13048" s="12">
        <v>1001.548</v>
      </c>
      <c r="C13048" s="12">
        <v>0</v>
      </c>
      <c r="D13048" s="13">
        <v>0</v>
      </c>
      <c r="E13048" s="12">
        <v>0</v>
      </c>
      <c r="F13048" s="14">
        <v>0</v>
      </c>
      <c r="G13048" s="13">
        <v>29296.557</v>
      </c>
      <c r="H13048" s="14">
        <v>29341908.070236</v>
      </c>
      <c r="I13048" s="14" t="e">
        <f>=Round(176.32860000,0)</f>
        <v>#VALUE!</v>
      </c>
      <c r="J13048" s="14" t="e">
        <f>=Round(0.00000000,0)</f>
        <v>#VALUE!</v>
      </c>
    </row>
    <row r="13049">
      <c r="A13049" s="11" t="s">
        <v>47</v>
      </c>
      <c r="B13049" s="12">
        <v>1001.963</v>
      </c>
      <c r="C13049" s="12">
        <v>0</v>
      </c>
      <c r="D13049" s="13">
        <v>0</v>
      </c>
      <c r="E13049" s="12">
        <v>0</v>
      </c>
      <c r="F13049" s="14">
        <v>0</v>
      </c>
      <c r="G13049" s="13">
        <v>29296.557</v>
      </c>
      <c r="H13049" s="14">
        <v>29354066.141391</v>
      </c>
      <c r="I13049" s="14" t="e">
        <f>=Round(176.37210000,0)</f>
        <v>#VALUE!</v>
      </c>
      <c r="J13049" s="14" t="e">
        <f>=Round(0.00000000,0)</f>
        <v>#VALUE!</v>
      </c>
    </row>
    <row r="13050">
      <c r="A13050" s="11" t="s">
        <v>48</v>
      </c>
      <c r="B13050" s="12">
        <v>1002.611</v>
      </c>
      <c r="C13050" s="12">
        <v>0</v>
      </c>
      <c r="D13050" s="13">
        <v>0</v>
      </c>
      <c r="E13050" s="12">
        <v>0</v>
      </c>
      <c r="F13050" s="14">
        <v>0</v>
      </c>
      <c r="G13050" s="13">
        <v>29296.557</v>
      </c>
      <c r="H13050" s="14">
        <v>29373050.310327</v>
      </c>
      <c r="I13050" s="14" t="e">
        <f>=Round(176.44520000,0)</f>
        <v>#VALUE!</v>
      </c>
      <c r="J13050" s="14" t="e">
        <f>=Round(0.00000000,0)</f>
        <v>#VALUE!</v>
      </c>
    </row>
    <row r="13051">
      <c r="A13051" s="11" t="s">
        <v>49</v>
      </c>
      <c r="B13051" s="12">
        <v>1002.611</v>
      </c>
      <c r="C13051" s="12">
        <v>0</v>
      </c>
      <c r="D13051" s="13">
        <v>0</v>
      </c>
      <c r="E13051" s="12">
        <v>0</v>
      </c>
      <c r="F13051" s="14">
        <v>0</v>
      </c>
      <c r="G13051" s="13">
        <v>29296.557</v>
      </c>
      <c r="H13051" s="14">
        <v>29373050.310327</v>
      </c>
      <c r="I13051" s="14" t="e">
        <f>=Round(176.55930000,0)</f>
        <v>#VALUE!</v>
      </c>
      <c r="J13051" s="14" t="e">
        <f>=Round(0.00000000,0)</f>
        <v>#VALUE!</v>
      </c>
    </row>
    <row r="13052">
      <c r="A13052" s="11" t="s">
        <v>50</v>
      </c>
      <c r="B13052" s="12">
        <v>1002.611</v>
      </c>
      <c r="C13052" s="12">
        <v>0</v>
      </c>
      <c r="D13052" s="13">
        <v>0</v>
      </c>
      <c r="E13052" s="12">
        <v>0</v>
      </c>
      <c r="F13052" s="14">
        <v>0</v>
      </c>
      <c r="G13052" s="13">
        <v>29296.557</v>
      </c>
      <c r="H13052" s="14">
        <v>29373050.310327</v>
      </c>
      <c r="I13052" s="14" t="e">
        <f>=Round(176.55930000,0)</f>
        <v>#VALUE!</v>
      </c>
      <c r="J13052" s="14" t="e">
        <f>=Round(0.00000000,0)</f>
        <v>#VALUE!</v>
      </c>
    </row>
    <row r="13053">
      <c r="A13053" s="11" t="s">
        <v>51</v>
      </c>
      <c r="B13053" s="12">
        <v>1003.308</v>
      </c>
      <c r="C13053" s="12">
        <v>0</v>
      </c>
      <c r="D13053" s="13">
        <v>0</v>
      </c>
      <c r="E13053" s="12">
        <v>0</v>
      </c>
      <c r="F13053" s="14">
        <v>0</v>
      </c>
      <c r="G13053" s="13">
        <v>29296.557</v>
      </c>
      <c r="H13053" s="14">
        <v>29393470.010556</v>
      </c>
      <c r="I13053" s="14" t="e">
        <f>=Round(176.55930000,0)</f>
        <v>#VALUE!</v>
      </c>
      <c r="J13053" s="14" t="e">
        <f>=Round(0.00000000,0)</f>
        <v>#VALUE!</v>
      </c>
    </row>
    <row r="13054">
      <c r="A13054" s="11" t="s">
        <v>52</v>
      </c>
      <c r="B13054" s="12">
        <v>1003.54</v>
      </c>
      <c r="C13054" s="12">
        <v>0</v>
      </c>
      <c r="D13054" s="13">
        <v>0</v>
      </c>
      <c r="E13054" s="12">
        <v>0</v>
      </c>
      <c r="F13054" s="14">
        <v>0</v>
      </c>
      <c r="G13054" s="13">
        <v>29296.557</v>
      </c>
      <c r="H13054" s="14">
        <v>29400266.81178</v>
      </c>
      <c r="I13054" s="14" t="e">
        <f>=Round(176.68210000,0)</f>
        <v>#VALUE!</v>
      </c>
      <c r="J13054" s="14" t="e">
        <f>=Round(0.00000000,0)</f>
        <v>#VALUE!</v>
      </c>
    </row>
    <row r="13055">
      <c r="A13055" s="11" t="s">
        <v>53</v>
      </c>
      <c r="B13055" s="12">
        <v>1003.772</v>
      </c>
      <c r="C13055" s="12">
        <v>0</v>
      </c>
      <c r="D13055" s="13">
        <v>0</v>
      </c>
      <c r="E13055" s="12">
        <v>0</v>
      </c>
      <c r="F13055" s="14">
        <v>0</v>
      </c>
      <c r="G13055" s="13">
        <v>29296.557</v>
      </c>
      <c r="H13055" s="14">
        <v>29407063.613004</v>
      </c>
      <c r="I13055" s="14" t="e">
        <f>=Round(176.72290000,0)</f>
        <v>#VALUE!</v>
      </c>
      <c r="J13055" s="14" t="e">
        <f>=Round(0.00000000,0)</f>
        <v>#VALUE!</v>
      </c>
    </row>
    <row r="13056">
      <c r="A13056" s="11" t="s">
        <v>54</v>
      </c>
      <c r="B13056" s="12">
        <v>1004.004</v>
      </c>
      <c r="C13056" s="12">
        <v>0</v>
      </c>
      <c r="D13056" s="13">
        <v>0</v>
      </c>
      <c r="E13056" s="12">
        <v>0</v>
      </c>
      <c r="F13056" s="14">
        <v>0</v>
      </c>
      <c r="G13056" s="13">
        <v>29296.557</v>
      </c>
      <c r="H13056" s="14">
        <v>29413860.414228</v>
      </c>
      <c r="I13056" s="14" t="e">
        <f>=Round(176.76380000,0)</f>
        <v>#VALUE!</v>
      </c>
      <c r="J13056" s="14" t="e">
        <f>=Round(0.00000000,0)</f>
        <v>#VALUE!</v>
      </c>
    </row>
    <row r="13057">
      <c r="A13057" s="11" t="s">
        <v>55</v>
      </c>
      <c r="B13057" s="12">
        <v>1005.063</v>
      </c>
      <c r="C13057" s="12">
        <v>0</v>
      </c>
      <c r="D13057" s="13">
        <v>0</v>
      </c>
      <c r="E13057" s="12">
        <v>0</v>
      </c>
      <c r="F13057" s="14">
        <v>0</v>
      </c>
      <c r="G13057" s="13">
        <v>29296.557</v>
      </c>
      <c r="H13057" s="14">
        <v>29444885.468091</v>
      </c>
      <c r="I13057" s="14" t="e">
        <f>=Round(176.80460000,0)</f>
        <v>#VALUE!</v>
      </c>
      <c r="J13057" s="14" t="e">
        <f>=Round(0.00000000,0)</f>
        <v>#VALUE!</v>
      </c>
    </row>
    <row r="13058" ht="-1">
      <c r="A13058" s="15"/>
      <c r="B13058" s="16" t="s">
        <v>56</v>
      </c>
      <c r="C13058" s="15"/>
      <c r="D13058" s="15"/>
      <c r="E13058" s="15"/>
      <c r="F13058" s="15"/>
      <c r="G13058" s="15"/>
      <c r="H13058" s="15"/>
      <c r="I13058" s="17" t="e">
        <f>=Round(SUM(I13032:I13057),0)</f>
        <v>#VALUE!</v>
      </c>
      <c r="J13058" s="17" t="e">
        <f>=Round(SUM(J13032:J13057),0)</f>
        <v>#VALUE!</v>
      </c>
    </row>
    <row r="13059">
      <c r="A13059" s="1" t="s">
        <v>0</v>
      </c>
      <c r="B13059" s="1"/>
      <c r="C13059" s="1"/>
      <c r="D13059" s="1"/>
    </row>
    <row r="13060">
      <c r="A13060" s="0" t="s">
        <v>1</v>
      </c>
      <c r="C13060" s="0" t="s">
        <v>441</v>
      </c>
      <c r="H13060" s="2" t="s">
        <v>3</v>
      </c>
    </row>
    <row r="13061">
      <c r="A13061" s="0" t="s">
        <v>4</v>
      </c>
      <c r="C13061" s="0" t="s">
        <v>265</v>
      </c>
      <c r="H13061" s="3" t="s">
        <v>6</v>
      </c>
    </row>
    <row r="13062">
      <c r="A13062" s="0" t="s">
        <v>7</v>
      </c>
      <c r="C13062" s="4" t="s">
        <v>188</v>
      </c>
      <c r="H13062" s="2" t="s">
        <v>9</v>
      </c>
    </row>
    <row r="13063">
      <c r="A13063" s="0" t="s">
        <v>10</v>
      </c>
      <c r="C13063" s="4" t="s">
        <v>11</v>
      </c>
      <c r="H13063" s="2" t="s">
        <v>12</v>
      </c>
    </row>
    <row r="13064">
      <c r="A13064" s="0" t="s">
        <v>13</v>
      </c>
      <c r="C13064" s="0" t="s">
        <v>14</v>
      </c>
    </row>
    <row r="13065">
      <c r="A13065" s="0" t="s">
        <v>15</v>
      </c>
      <c r="C13065" s="0" t="s">
        <v>16</v>
      </c>
    </row>
    <row r="13066">
      <c r="A13066" s="0" t="s">
        <v>17</v>
      </c>
      <c r="C13066" s="0" t="s">
        <v>18</v>
      </c>
    </row>
    <row r="13069">
      <c r="A13069" s="5" t="s">
        <v>19</v>
      </c>
      <c r="B13069" s="5" t="s">
        <v>20</v>
      </c>
      <c r="C13069" s="7" t="s">
        <v>21</v>
      </c>
      <c r="D13069" s="9"/>
      <c r="E13069" s="7" t="s">
        <v>22</v>
      </c>
      <c r="F13069" s="9"/>
      <c r="G13069" s="5" t="s">
        <v>23</v>
      </c>
      <c r="H13069" s="5" t="s">
        <v>24</v>
      </c>
      <c r="I13069" s="5" t="s">
        <v>189</v>
      </c>
      <c r="J13069" s="5" t="s">
        <v>26</v>
      </c>
    </row>
    <row r="13070">
      <c r="A13070" s="6"/>
      <c r="B13070" s="6"/>
      <c r="C13070" s="8" t="s">
        <v>27</v>
      </c>
      <c r="D13070" s="8" t="s">
        <v>28</v>
      </c>
      <c r="E13070" s="8" t="s">
        <v>27</v>
      </c>
      <c r="F13070" s="8" t="s">
        <v>28</v>
      </c>
      <c r="G13070" s="6"/>
      <c r="H13070" s="6"/>
      <c r="I13070" s="10" t="s">
        <v>29</v>
      </c>
      <c r="J13070" s="6"/>
    </row>
    <row r="13071">
      <c r="A13071" s="11" t="s">
        <v>30</v>
      </c>
      <c r="B13071" s="12">
        <v>965.1137</v>
      </c>
      <c r="C13071" s="12">
        <v>0</v>
      </c>
      <c r="D13071" s="13">
        <v>0</v>
      </c>
      <c r="E13071" s="12">
        <v>0</v>
      </c>
      <c r="F13071" s="14">
        <v>0</v>
      </c>
      <c r="G13071" s="13">
        <v>910000000</v>
      </c>
      <c r="H13071" s="14">
        <v>878253467000</v>
      </c>
      <c r="I13071" s="14" t="e">
        <f>=Round(26373798.27050000,0)</f>
        <v>#VALUE!</v>
      </c>
      <c r="J13071" s="14" t="e">
        <f>=Round(0.00000000,0)</f>
        <v>#VALUE!</v>
      </c>
    </row>
    <row r="13072">
      <c r="A13072" s="11" t="s">
        <v>31</v>
      </c>
      <c r="B13072" s="12">
        <v>966.5575</v>
      </c>
      <c r="C13072" s="12">
        <v>0</v>
      </c>
      <c r="D13072" s="13">
        <v>0</v>
      </c>
      <c r="E13072" s="12">
        <v>0</v>
      </c>
      <c r="F13072" s="14">
        <v>0</v>
      </c>
      <c r="G13072" s="13">
        <v>910000000</v>
      </c>
      <c r="H13072" s="14">
        <v>879567325000</v>
      </c>
      <c r="I13072" s="14" t="e">
        <f>=Round(26395596.00270000,0)</f>
        <v>#VALUE!</v>
      </c>
      <c r="J13072" s="14" t="e">
        <f>=Round(0.00000000,0)</f>
        <v>#VALUE!</v>
      </c>
    </row>
    <row r="13073">
      <c r="A13073" s="11" t="s">
        <v>32</v>
      </c>
      <c r="B13073" s="12">
        <v>966.3954</v>
      </c>
      <c r="C13073" s="12">
        <v>0</v>
      </c>
      <c r="D13073" s="13">
        <v>0</v>
      </c>
      <c r="E13073" s="12">
        <v>0</v>
      </c>
      <c r="F13073" s="14">
        <v>0</v>
      </c>
      <c r="G13073" s="13">
        <v>910000000</v>
      </c>
      <c r="H13073" s="14">
        <v>879419814000</v>
      </c>
      <c r="I13073" s="14" t="e">
        <f>=Round(26435083.53830000,0)</f>
        <v>#VALUE!</v>
      </c>
      <c r="J13073" s="14" t="e">
        <f>=Round(0.00000000,0)</f>
        <v>#VALUE!</v>
      </c>
    </row>
    <row r="13074">
      <c r="A13074" s="11" t="s">
        <v>33</v>
      </c>
      <c r="B13074" s="12">
        <v>967.3967</v>
      </c>
      <c r="C13074" s="12">
        <v>0</v>
      </c>
      <c r="D13074" s="13">
        <v>0</v>
      </c>
      <c r="E13074" s="12">
        <v>0</v>
      </c>
      <c r="F13074" s="14">
        <v>0</v>
      </c>
      <c r="G13074" s="13">
        <v>910000000</v>
      </c>
      <c r="H13074" s="14">
        <v>880330997000</v>
      </c>
      <c r="I13074" s="14" t="e">
        <f>=Round(26430650.14750000,0)</f>
        <v>#VALUE!</v>
      </c>
      <c r="J13074" s="14" t="e">
        <f>=Round(0.00000000,0)</f>
        <v>#VALUE!</v>
      </c>
    </row>
    <row r="13075">
      <c r="A13075" s="11" t="s">
        <v>34</v>
      </c>
      <c r="B13075" s="12">
        <v>972.8542</v>
      </c>
      <c r="C13075" s="12">
        <v>0</v>
      </c>
      <c r="D13075" s="13">
        <v>0</v>
      </c>
      <c r="E13075" s="12">
        <v>0</v>
      </c>
      <c r="F13075" s="14">
        <v>0</v>
      </c>
      <c r="G13075" s="13">
        <v>910000000</v>
      </c>
      <c r="H13075" s="14">
        <v>885297322000</v>
      </c>
      <c r="I13075" s="14" t="e">
        <f>=Round(26458035.42900000,0)</f>
        <v>#VALUE!</v>
      </c>
      <c r="J13075" s="14" t="e">
        <f>=Round(0.00000000,0)</f>
        <v>#VALUE!</v>
      </c>
    </row>
    <row r="13076">
      <c r="A13076" s="11" t="s">
        <v>35</v>
      </c>
      <c r="B13076" s="12">
        <v>972.8542</v>
      </c>
      <c r="C13076" s="12">
        <v>0</v>
      </c>
      <c r="D13076" s="13">
        <v>0</v>
      </c>
      <c r="E13076" s="12">
        <v>0</v>
      </c>
      <c r="F13076" s="14">
        <v>0</v>
      </c>
      <c r="G13076" s="13">
        <v>910000000</v>
      </c>
      <c r="H13076" s="14">
        <v>885297322000</v>
      </c>
      <c r="I13076" s="14" t="e">
        <f>=Round(26607296.56280000,0)</f>
        <v>#VALUE!</v>
      </c>
      <c r="J13076" s="14" t="e">
        <f>=Round(0.00000000,0)</f>
        <v>#VALUE!</v>
      </c>
    </row>
    <row r="13077">
      <c r="A13077" s="11" t="s">
        <v>36</v>
      </c>
      <c r="B13077" s="12">
        <v>972.8542</v>
      </c>
      <c r="C13077" s="12">
        <v>0</v>
      </c>
      <c r="D13077" s="13">
        <v>0</v>
      </c>
      <c r="E13077" s="12">
        <v>0</v>
      </c>
      <c r="F13077" s="14">
        <v>0</v>
      </c>
      <c r="G13077" s="13">
        <v>910000000</v>
      </c>
      <c r="H13077" s="14">
        <v>885297322000</v>
      </c>
      <c r="I13077" s="14" t="e">
        <f>=Round(26607296.56280000,0)</f>
        <v>#VALUE!</v>
      </c>
      <c r="J13077" s="14" t="e">
        <f>=Round(0.00000000,0)</f>
        <v>#VALUE!</v>
      </c>
    </row>
    <row r="13078">
      <c r="A13078" s="11" t="s">
        <v>37</v>
      </c>
      <c r="B13078" s="12">
        <v>971.4052</v>
      </c>
      <c r="C13078" s="12">
        <v>0</v>
      </c>
      <c r="D13078" s="13">
        <v>0</v>
      </c>
      <c r="E13078" s="12">
        <v>0</v>
      </c>
      <c r="F13078" s="14">
        <v>0</v>
      </c>
      <c r="G13078" s="13">
        <v>910000000</v>
      </c>
      <c r="H13078" s="14">
        <v>883978732000</v>
      </c>
      <c r="I13078" s="14" t="e">
        <f>=Round(26607296.56280000,0)</f>
        <v>#VALUE!</v>
      </c>
      <c r="J13078" s="14" t="e">
        <f>=Round(0.00000000,0)</f>
        <v>#VALUE!</v>
      </c>
    </row>
    <row r="13079">
      <c r="A13079" s="11" t="s">
        <v>38</v>
      </c>
      <c r="B13079" s="12">
        <v>967.9252</v>
      </c>
      <c r="C13079" s="12">
        <v>0</v>
      </c>
      <c r="D13079" s="13">
        <v>0</v>
      </c>
      <c r="E13079" s="12">
        <v>0</v>
      </c>
      <c r="F13079" s="14">
        <v>0</v>
      </c>
      <c r="G13079" s="13">
        <v>910000000</v>
      </c>
      <c r="H13079" s="14">
        <v>880811932000</v>
      </c>
      <c r="I13079" s="14" t="e">
        <f>=Round(26567666.80870000,0)</f>
        <v>#VALUE!</v>
      </c>
      <c r="J13079" s="14" t="e">
        <f>=Round(0.00000000,0)</f>
        <v>#VALUE!</v>
      </c>
    </row>
    <row r="13080">
      <c r="A13080" s="11" t="s">
        <v>39</v>
      </c>
      <c r="B13080" s="12">
        <v>968.3382</v>
      </c>
      <c r="C13080" s="12">
        <v>0</v>
      </c>
      <c r="D13080" s="13">
        <v>0</v>
      </c>
      <c r="E13080" s="12">
        <v>0</v>
      </c>
      <c r="F13080" s="14">
        <v>0</v>
      </c>
      <c r="G13080" s="13">
        <v>910000000</v>
      </c>
      <c r="H13080" s="14">
        <v>881187762000</v>
      </c>
      <c r="I13080" s="14" t="e">
        <f>=Round(26472489.75960000,0)</f>
        <v>#VALUE!</v>
      </c>
      <c r="J13080" s="14" t="e">
        <f>=Round(0.00000000,0)</f>
        <v>#VALUE!</v>
      </c>
    </row>
    <row r="13081">
      <c r="A13081" s="11" t="s">
        <v>40</v>
      </c>
      <c r="B13081" s="12">
        <v>967.7099</v>
      </c>
      <c r="C13081" s="12">
        <v>0</v>
      </c>
      <c r="D13081" s="13">
        <v>0</v>
      </c>
      <c r="E13081" s="12">
        <v>0</v>
      </c>
      <c r="F13081" s="14">
        <v>0</v>
      </c>
      <c r="G13081" s="13">
        <v>910000000</v>
      </c>
      <c r="H13081" s="14">
        <v>880616009000</v>
      </c>
      <c r="I13081" s="14" t="e">
        <f>=Round(26483785.19670000,0)</f>
        <v>#VALUE!</v>
      </c>
      <c r="J13081" s="14" t="e">
        <f>=Round(0.00000000,0)</f>
        <v>#VALUE!</v>
      </c>
    </row>
    <row r="13082">
      <c r="A13082" s="11" t="s">
        <v>41</v>
      </c>
      <c r="B13082" s="12">
        <v>971.4705</v>
      </c>
      <c r="C13082" s="12">
        <v>0</v>
      </c>
      <c r="D13082" s="13">
        <v>0</v>
      </c>
      <c r="E13082" s="12">
        <v>0</v>
      </c>
      <c r="F13082" s="14">
        <v>0</v>
      </c>
      <c r="G13082" s="13">
        <v>910000000</v>
      </c>
      <c r="H13082" s="14">
        <v>884038155000</v>
      </c>
      <c r="I13082" s="14" t="e">
        <f>=Round(26466601.36340000,0)</f>
        <v>#VALUE!</v>
      </c>
      <c r="J13082" s="14" t="e">
        <f>=Round(0.00000000,0)</f>
        <v>#VALUE!</v>
      </c>
    </row>
    <row r="13083">
      <c r="A13083" s="11" t="s">
        <v>42</v>
      </c>
      <c r="B13083" s="12">
        <v>971.4705</v>
      </c>
      <c r="C13083" s="12">
        <v>0</v>
      </c>
      <c r="D13083" s="13">
        <v>0</v>
      </c>
      <c r="E13083" s="12">
        <v>0</v>
      </c>
      <c r="F13083" s="14">
        <v>0</v>
      </c>
      <c r="G13083" s="13">
        <v>910000000</v>
      </c>
      <c r="H13083" s="14">
        <v>884038155000</v>
      </c>
      <c r="I13083" s="14" t="e">
        <f>=Round(26569452.74590000,0)</f>
        <v>#VALUE!</v>
      </c>
      <c r="J13083" s="14" t="e">
        <f>=Round(0.00000000,0)</f>
        <v>#VALUE!</v>
      </c>
    </row>
    <row r="13084">
      <c r="A13084" s="11" t="s">
        <v>43</v>
      </c>
      <c r="B13084" s="12">
        <v>971.4705</v>
      </c>
      <c r="C13084" s="12">
        <v>0</v>
      </c>
      <c r="D13084" s="13">
        <v>0</v>
      </c>
      <c r="E13084" s="12">
        <v>0</v>
      </c>
      <c r="F13084" s="14">
        <v>0</v>
      </c>
      <c r="G13084" s="13">
        <v>910000000</v>
      </c>
      <c r="H13084" s="14">
        <v>884038155000</v>
      </c>
      <c r="I13084" s="14" t="e">
        <f>=Round(26569452.74590000,0)</f>
        <v>#VALUE!</v>
      </c>
      <c r="J13084" s="14" t="e">
        <f>=Round(0.00000000,0)</f>
        <v>#VALUE!</v>
      </c>
    </row>
    <row r="13085">
      <c r="A13085" s="11" t="s">
        <v>44</v>
      </c>
      <c r="B13085" s="12">
        <v>971.5492</v>
      </c>
      <c r="C13085" s="12">
        <v>0</v>
      </c>
      <c r="D13085" s="13">
        <v>0</v>
      </c>
      <c r="E13085" s="12">
        <v>0</v>
      </c>
      <c r="F13085" s="14">
        <v>0</v>
      </c>
      <c r="G13085" s="13">
        <v>910000000</v>
      </c>
      <c r="H13085" s="14">
        <v>884109772000</v>
      </c>
      <c r="I13085" s="14" t="e">
        <f>=Round(26569452.74590000,0)</f>
        <v>#VALUE!</v>
      </c>
      <c r="J13085" s="14" t="e">
        <f>=Round(0.00000000,0)</f>
        <v>#VALUE!</v>
      </c>
    </row>
    <row r="13086">
      <c r="A13086" s="11" t="s">
        <v>45</v>
      </c>
      <c r="B13086" s="12">
        <v>971.4671</v>
      </c>
      <c r="C13086" s="12">
        <v>0</v>
      </c>
      <c r="D13086" s="13">
        <v>0</v>
      </c>
      <c r="E13086" s="12">
        <v>0</v>
      </c>
      <c r="F13086" s="14">
        <v>0</v>
      </c>
      <c r="G13086" s="13">
        <v>910000000</v>
      </c>
      <c r="H13086" s="14">
        <v>884035061000</v>
      </c>
      <c r="I13086" s="14" t="e">
        <f>=Round(26571605.16940000,0)</f>
        <v>#VALUE!</v>
      </c>
      <c r="J13086" s="14" t="e">
        <f>=Round(0.00000000,0)</f>
        <v>#VALUE!</v>
      </c>
    </row>
    <row r="13087">
      <c r="A13087" s="11" t="s">
        <v>46</v>
      </c>
      <c r="B13087" s="12">
        <v>972.4371</v>
      </c>
      <c r="C13087" s="12">
        <v>0</v>
      </c>
      <c r="D13087" s="13">
        <v>0</v>
      </c>
      <c r="E13087" s="12">
        <v>0</v>
      </c>
      <c r="F13087" s="14">
        <v>0</v>
      </c>
      <c r="G13087" s="13">
        <v>910000000</v>
      </c>
      <c r="H13087" s="14">
        <v>884917761000</v>
      </c>
      <c r="I13087" s="14" t="e">
        <f>=Round(26569359.75680000,0)</f>
        <v>#VALUE!</v>
      </c>
      <c r="J13087" s="14" t="e">
        <f>=Round(0.00000000,0)</f>
        <v>#VALUE!</v>
      </c>
    </row>
    <row r="13088">
      <c r="A13088" s="11" t="s">
        <v>47</v>
      </c>
      <c r="B13088" s="12">
        <v>972.9943</v>
      </c>
      <c r="C13088" s="12">
        <v>0</v>
      </c>
      <c r="D13088" s="13">
        <v>0</v>
      </c>
      <c r="E13088" s="12">
        <v>0</v>
      </c>
      <c r="F13088" s="14">
        <v>0</v>
      </c>
      <c r="G13088" s="13">
        <v>910000000</v>
      </c>
      <c r="H13088" s="14">
        <v>885424813000</v>
      </c>
      <c r="I13088" s="14" t="e">
        <f>=Round(26595888.99180000,0)</f>
        <v>#VALUE!</v>
      </c>
      <c r="J13088" s="14" t="e">
        <f>=Round(0.00000000,0)</f>
        <v>#VALUE!</v>
      </c>
    </row>
    <row r="13089">
      <c r="A13089" s="11" t="s">
        <v>48</v>
      </c>
      <c r="B13089" s="12">
        <v>972.2317</v>
      </c>
      <c r="C13089" s="12">
        <v>0</v>
      </c>
      <c r="D13089" s="13">
        <v>0</v>
      </c>
      <c r="E13089" s="12">
        <v>0</v>
      </c>
      <c r="F13089" s="14">
        <v>0</v>
      </c>
      <c r="G13089" s="13">
        <v>910000000</v>
      </c>
      <c r="H13089" s="14">
        <v>884730847000</v>
      </c>
      <c r="I13089" s="14" t="e">
        <f>=Round(26611128.25960000,0)</f>
        <v>#VALUE!</v>
      </c>
      <c r="J13089" s="14" t="e">
        <f>=Round(0.00000000,0)</f>
        <v>#VALUE!</v>
      </c>
    </row>
    <row r="13090">
      <c r="A13090" s="11" t="s">
        <v>49</v>
      </c>
      <c r="B13090" s="12">
        <v>972.2317</v>
      </c>
      <c r="C13090" s="12">
        <v>0</v>
      </c>
      <c r="D13090" s="13">
        <v>0</v>
      </c>
      <c r="E13090" s="12">
        <v>0</v>
      </c>
      <c r="F13090" s="14">
        <v>0</v>
      </c>
      <c r="G13090" s="13">
        <v>910000000</v>
      </c>
      <c r="H13090" s="14">
        <v>884730847000</v>
      </c>
      <c r="I13090" s="14" t="e">
        <f>=Round(26590271.35790000,0)</f>
        <v>#VALUE!</v>
      </c>
      <c r="J13090" s="14" t="e">
        <f>=Round(0.00000000,0)</f>
        <v>#VALUE!</v>
      </c>
    </row>
    <row r="13091">
      <c r="A13091" s="11" t="s">
        <v>50</v>
      </c>
      <c r="B13091" s="12">
        <v>972.2317</v>
      </c>
      <c r="C13091" s="12">
        <v>0</v>
      </c>
      <c r="D13091" s="13">
        <v>0</v>
      </c>
      <c r="E13091" s="12">
        <v>0</v>
      </c>
      <c r="F13091" s="14">
        <v>0</v>
      </c>
      <c r="G13091" s="13">
        <v>910000000</v>
      </c>
      <c r="H13091" s="14">
        <v>884730847000</v>
      </c>
      <c r="I13091" s="14" t="e">
        <f>=Round(26590271.35790000,0)</f>
        <v>#VALUE!</v>
      </c>
      <c r="J13091" s="14" t="e">
        <f>=Round(0.00000000,0)</f>
        <v>#VALUE!</v>
      </c>
    </row>
    <row r="13092">
      <c r="A13092" s="11" t="s">
        <v>51</v>
      </c>
      <c r="B13092" s="12">
        <v>971.1913</v>
      </c>
      <c r="C13092" s="12">
        <v>0</v>
      </c>
      <c r="D13092" s="13">
        <v>0</v>
      </c>
      <c r="E13092" s="12">
        <v>0</v>
      </c>
      <c r="F13092" s="14">
        <v>0</v>
      </c>
      <c r="G13092" s="13">
        <v>910000000</v>
      </c>
      <c r="H13092" s="14">
        <v>883784083000</v>
      </c>
      <c r="I13092" s="14" t="e">
        <f>=Round(26590271.35790000,0)</f>
        <v>#VALUE!</v>
      </c>
      <c r="J13092" s="14" t="e">
        <f>=Round(0.00000000,0)</f>
        <v>#VALUE!</v>
      </c>
    </row>
    <row r="13093">
      <c r="A13093" s="11" t="s">
        <v>52</v>
      </c>
      <c r="B13093" s="12">
        <v>971.5403</v>
      </c>
      <c r="C13093" s="12">
        <v>0</v>
      </c>
      <c r="D13093" s="13">
        <v>0</v>
      </c>
      <c r="E13093" s="12">
        <v>0</v>
      </c>
      <c r="F13093" s="14">
        <v>0</v>
      </c>
      <c r="G13093" s="13">
        <v>910000000</v>
      </c>
      <c r="H13093" s="14">
        <v>884101673000</v>
      </c>
      <c r="I13093" s="14" t="e">
        <f>=Round(26561816.70220000,0)</f>
        <v>#VALUE!</v>
      </c>
      <c r="J13093" s="14" t="e">
        <f>=Round(0.00000000,0)</f>
        <v>#VALUE!</v>
      </c>
    </row>
    <row r="13094">
      <c r="A13094" s="11" t="s">
        <v>53</v>
      </c>
      <c r="B13094" s="12">
        <v>970.9293</v>
      </c>
      <c r="C13094" s="12">
        <v>0</v>
      </c>
      <c r="D13094" s="13">
        <v>0</v>
      </c>
      <c r="E13094" s="12">
        <v>0</v>
      </c>
      <c r="F13094" s="14">
        <v>0</v>
      </c>
      <c r="G13094" s="13">
        <v>910000000</v>
      </c>
      <c r="H13094" s="14">
        <v>883545663000</v>
      </c>
      <c r="I13094" s="14" t="e">
        <f>=Round(26571361.75680000,0)</f>
        <v>#VALUE!</v>
      </c>
      <c r="J13094" s="14" t="e">
        <f>=Round(0.00000000,0)</f>
        <v>#VALUE!</v>
      </c>
    </row>
    <row r="13095">
      <c r="A13095" s="11" t="s">
        <v>54</v>
      </c>
      <c r="B13095" s="12">
        <v>969.2063</v>
      </c>
      <c r="C13095" s="12">
        <v>0</v>
      </c>
      <c r="D13095" s="13">
        <v>0</v>
      </c>
      <c r="E13095" s="12">
        <v>0</v>
      </c>
      <c r="F13095" s="14">
        <v>0</v>
      </c>
      <c r="G13095" s="13">
        <v>910000000</v>
      </c>
      <c r="H13095" s="14">
        <v>881977733000</v>
      </c>
      <c r="I13095" s="14" t="e">
        <f>=Round(26554651.07380000,0)</f>
        <v>#VALUE!</v>
      </c>
      <c r="J13095" s="14" t="e">
        <f>=Round(0.00000000,0)</f>
        <v>#VALUE!</v>
      </c>
    </row>
    <row r="13096">
      <c r="A13096" s="11" t="s">
        <v>55</v>
      </c>
      <c r="B13096" s="12">
        <v>966.9284</v>
      </c>
      <c r="C13096" s="12">
        <v>0</v>
      </c>
      <c r="D13096" s="13">
        <v>0</v>
      </c>
      <c r="E13096" s="12">
        <v>0</v>
      </c>
      <c r="F13096" s="14">
        <v>0</v>
      </c>
      <c r="G13096" s="13">
        <v>910000000</v>
      </c>
      <c r="H13096" s="14">
        <v>879904844000</v>
      </c>
      <c r="I13096" s="14" t="e">
        <f>=Round(26507527.49450000,0)</f>
        <v>#VALUE!</v>
      </c>
      <c r="J13096" s="14" t="e">
        <f>=Round(0.00000000,0)</f>
        <v>#VALUE!</v>
      </c>
    </row>
    <row r="13097" ht="-1">
      <c r="A13097" s="15"/>
      <c r="B13097" s="16" t="s">
        <v>56</v>
      </c>
      <c r="C13097" s="15"/>
      <c r="D13097" s="15"/>
      <c r="E13097" s="15"/>
      <c r="F13097" s="15"/>
      <c r="G13097" s="15"/>
      <c r="H13097" s="15"/>
      <c r="I13097" s="17" t="e">
        <f>=Round(SUM(I13071:I13096),0)</f>
        <v>#VALUE!</v>
      </c>
      <c r="J13097" s="17" t="e">
        <f>=Round(SUM(J13071:J13096),0)</f>
        <v>#VALUE!</v>
      </c>
    </row>
    <row r="13098">
      <c r="A13098" s="1" t="s">
        <v>0</v>
      </c>
      <c r="B13098" s="1"/>
      <c r="C13098" s="1"/>
      <c r="D13098" s="1"/>
    </row>
    <row r="13099">
      <c r="A13099" s="0" t="s">
        <v>1</v>
      </c>
      <c r="C13099" s="0" t="s">
        <v>442</v>
      </c>
      <c r="H13099" s="2" t="s">
        <v>3</v>
      </c>
    </row>
    <row r="13100">
      <c r="A13100" s="0" t="s">
        <v>4</v>
      </c>
      <c r="C13100" s="0" t="s">
        <v>126</v>
      </c>
      <c r="H13100" s="3" t="s">
        <v>6</v>
      </c>
    </row>
    <row r="13101">
      <c r="A13101" s="0" t="s">
        <v>7</v>
      </c>
      <c r="C13101" s="4" t="s">
        <v>335</v>
      </c>
      <c r="H13101" s="2" t="s">
        <v>9</v>
      </c>
    </row>
    <row r="13102">
      <c r="A13102" s="0" t="s">
        <v>10</v>
      </c>
      <c r="C13102" s="4" t="s">
        <v>11</v>
      </c>
      <c r="H13102" s="2" t="s">
        <v>12</v>
      </c>
    </row>
    <row r="13103">
      <c r="A13103" s="0" t="s">
        <v>13</v>
      </c>
      <c r="C13103" s="0" t="s">
        <v>14</v>
      </c>
    </row>
    <row r="13104">
      <c r="A13104" s="0" t="s">
        <v>15</v>
      </c>
      <c r="C13104" s="0" t="s">
        <v>16</v>
      </c>
    </row>
    <row r="13105">
      <c r="A13105" s="0" t="s">
        <v>17</v>
      </c>
      <c r="C13105" s="0" t="s">
        <v>18</v>
      </c>
    </row>
    <row r="13108">
      <c r="A13108" s="5" t="s">
        <v>19</v>
      </c>
      <c r="B13108" s="5" t="s">
        <v>20</v>
      </c>
      <c r="C13108" s="7" t="s">
        <v>21</v>
      </c>
      <c r="D13108" s="9"/>
      <c r="E13108" s="7" t="s">
        <v>22</v>
      </c>
      <c r="F13108" s="9"/>
      <c r="G13108" s="5" t="s">
        <v>23</v>
      </c>
      <c r="H13108" s="5" t="s">
        <v>24</v>
      </c>
      <c r="I13108" s="5" t="s">
        <v>336</v>
      </c>
      <c r="J13108" s="5" t="s">
        <v>26</v>
      </c>
    </row>
    <row r="13109">
      <c r="A13109" s="6"/>
      <c r="B13109" s="6"/>
      <c r="C13109" s="8" t="s">
        <v>27</v>
      </c>
      <c r="D13109" s="8" t="s">
        <v>28</v>
      </c>
      <c r="E13109" s="8" t="s">
        <v>27</v>
      </c>
      <c r="F13109" s="8" t="s">
        <v>28</v>
      </c>
      <c r="G13109" s="6"/>
      <c r="H13109" s="6"/>
      <c r="I13109" s="10" t="s">
        <v>29</v>
      </c>
      <c r="J13109" s="6"/>
    </row>
    <row r="13110">
      <c r="A13110" s="11" t="s">
        <v>30</v>
      </c>
      <c r="B13110" s="12">
        <v>993.504</v>
      </c>
      <c r="C13110" s="12">
        <v>0</v>
      </c>
      <c r="D13110" s="13">
        <v>0</v>
      </c>
      <c r="E13110" s="12">
        <v>0</v>
      </c>
      <c r="F13110" s="14">
        <v>0</v>
      </c>
      <c r="G13110" s="13">
        <v>154000000</v>
      </c>
      <c r="H13110" s="14">
        <v>152999616000</v>
      </c>
      <c r="I13110" s="14" t="e">
        <f>=Round(1148796.97680000,0)</f>
        <v>#VALUE!</v>
      </c>
      <c r="J13110" s="14" t="e">
        <f>=Round(0.00000000,0)</f>
        <v>#VALUE!</v>
      </c>
    </row>
    <row r="13111">
      <c r="A13111" s="11" t="s">
        <v>31</v>
      </c>
      <c r="B13111" s="12">
        <v>993.725</v>
      </c>
      <c r="C13111" s="12">
        <v>0</v>
      </c>
      <c r="D13111" s="13">
        <v>0</v>
      </c>
      <c r="E13111" s="12">
        <v>0</v>
      </c>
      <c r="F13111" s="14">
        <v>0</v>
      </c>
      <c r="G13111" s="13">
        <v>154000000</v>
      </c>
      <c r="H13111" s="14">
        <v>153033650000</v>
      </c>
      <c r="I13111" s="14" t="e">
        <f>=Round(1149587.27870000,0)</f>
        <v>#VALUE!</v>
      </c>
      <c r="J13111" s="14" t="e">
        <f>=Round(0.00000000,0)</f>
        <v>#VALUE!</v>
      </c>
    </row>
    <row r="13112">
      <c r="A13112" s="11" t="s">
        <v>32</v>
      </c>
      <c r="B13112" s="12">
        <v>993.947</v>
      </c>
      <c r="C13112" s="12">
        <v>0</v>
      </c>
      <c r="D13112" s="13">
        <v>0</v>
      </c>
      <c r="E13112" s="12">
        <v>0</v>
      </c>
      <c r="F13112" s="14">
        <v>0</v>
      </c>
      <c r="G13112" s="13">
        <v>154000000</v>
      </c>
      <c r="H13112" s="14">
        <v>153067838000</v>
      </c>
      <c r="I13112" s="14" t="e">
        <f>=Round(1149842.99860000,0)</f>
        <v>#VALUE!</v>
      </c>
      <c r="J13112" s="14" t="e">
        <f>=Round(0.00000000,0)</f>
        <v>#VALUE!</v>
      </c>
    </row>
    <row r="13113">
      <c r="A13113" s="11" t="s">
        <v>33</v>
      </c>
      <c r="B13113" s="12">
        <v>994.169</v>
      </c>
      <c r="C13113" s="12">
        <v>0</v>
      </c>
      <c r="D13113" s="13">
        <v>0</v>
      </c>
      <c r="E13113" s="12">
        <v>0</v>
      </c>
      <c r="F13113" s="14">
        <v>0</v>
      </c>
      <c r="G13113" s="13">
        <v>154000000</v>
      </c>
      <c r="H13113" s="14">
        <v>153102026000</v>
      </c>
      <c r="I13113" s="14" t="e">
        <f>=Round(1150099.87570000,0)</f>
        <v>#VALUE!</v>
      </c>
      <c r="J13113" s="14" t="e">
        <f>=Round(0.00000000,0)</f>
        <v>#VALUE!</v>
      </c>
    </row>
    <row r="13114">
      <c r="A13114" s="11" t="s">
        <v>34</v>
      </c>
      <c r="B13114" s="12">
        <v>994.391</v>
      </c>
      <c r="C13114" s="12">
        <v>0</v>
      </c>
      <c r="D13114" s="13">
        <v>0</v>
      </c>
      <c r="E13114" s="12">
        <v>0</v>
      </c>
      <c r="F13114" s="14">
        <v>0</v>
      </c>
      <c r="G13114" s="13">
        <v>154000000</v>
      </c>
      <c r="H13114" s="14">
        <v>153136214000</v>
      </c>
      <c r="I13114" s="14" t="e">
        <f>=Round(1150356.75270000,0)</f>
        <v>#VALUE!</v>
      </c>
      <c r="J13114" s="14" t="e">
        <f>=Round(0.00000000,0)</f>
        <v>#VALUE!</v>
      </c>
    </row>
    <row r="13115">
      <c r="A13115" s="11" t="s">
        <v>35</v>
      </c>
      <c r="B13115" s="12">
        <v>994.391</v>
      </c>
      <c r="C13115" s="12">
        <v>0</v>
      </c>
      <c r="D13115" s="13">
        <v>0</v>
      </c>
      <c r="E13115" s="12">
        <v>0</v>
      </c>
      <c r="F13115" s="14">
        <v>0</v>
      </c>
      <c r="G13115" s="13">
        <v>154000000</v>
      </c>
      <c r="H13115" s="14">
        <v>153136214000</v>
      </c>
      <c r="I13115" s="14" t="e">
        <f>=Round(1150613.62980000,0)</f>
        <v>#VALUE!</v>
      </c>
      <c r="J13115" s="14" t="e">
        <f>=Round(0.00000000,0)</f>
        <v>#VALUE!</v>
      </c>
    </row>
    <row r="13116">
      <c r="A13116" s="11" t="s">
        <v>36</v>
      </c>
      <c r="B13116" s="12">
        <v>994.391</v>
      </c>
      <c r="C13116" s="12">
        <v>0</v>
      </c>
      <c r="D13116" s="13">
        <v>0</v>
      </c>
      <c r="E13116" s="12">
        <v>0</v>
      </c>
      <c r="F13116" s="14">
        <v>0</v>
      </c>
      <c r="G13116" s="13">
        <v>154000000</v>
      </c>
      <c r="H13116" s="14">
        <v>153136214000</v>
      </c>
      <c r="I13116" s="14" t="e">
        <f>=Round(1150613.62980000,0)</f>
        <v>#VALUE!</v>
      </c>
      <c r="J13116" s="14" t="e">
        <f>=Round(0.00000000,0)</f>
        <v>#VALUE!</v>
      </c>
    </row>
    <row r="13117">
      <c r="A13117" s="11" t="s">
        <v>37</v>
      </c>
      <c r="B13117" s="12">
        <v>995.056</v>
      </c>
      <c r="C13117" s="12">
        <v>0</v>
      </c>
      <c r="D13117" s="13">
        <v>0</v>
      </c>
      <c r="E13117" s="12">
        <v>0</v>
      </c>
      <c r="F13117" s="14">
        <v>0</v>
      </c>
      <c r="G13117" s="13">
        <v>154000000</v>
      </c>
      <c r="H13117" s="14">
        <v>153238624000</v>
      </c>
      <c r="I13117" s="14" t="e">
        <f>=Round(1150613.62980000,0)</f>
        <v>#VALUE!</v>
      </c>
      <c r="J13117" s="14" t="e">
        <f>=Round(0.00000000,0)</f>
        <v>#VALUE!</v>
      </c>
    </row>
    <row r="13118">
      <c r="A13118" s="11" t="s">
        <v>38</v>
      </c>
      <c r="B13118" s="12">
        <v>995.278</v>
      </c>
      <c r="C13118" s="12">
        <v>0</v>
      </c>
      <c r="D13118" s="13">
        <v>0</v>
      </c>
      <c r="E13118" s="12">
        <v>0</v>
      </c>
      <c r="F13118" s="14">
        <v>0</v>
      </c>
      <c r="G13118" s="13">
        <v>154000000</v>
      </c>
      <c r="H13118" s="14">
        <v>153272812000</v>
      </c>
      <c r="I13118" s="14" t="e">
        <f>=Round(1151383.10380000,0)</f>
        <v>#VALUE!</v>
      </c>
      <c r="J13118" s="14" t="e">
        <f>=Round(0.00000000,0)</f>
        <v>#VALUE!</v>
      </c>
    </row>
    <row r="13119">
      <c r="A13119" s="11" t="s">
        <v>39</v>
      </c>
      <c r="B13119" s="12">
        <v>995.499</v>
      </c>
      <c r="C13119" s="12">
        <v>0</v>
      </c>
      <c r="D13119" s="13">
        <v>0</v>
      </c>
      <c r="E13119" s="12">
        <v>0</v>
      </c>
      <c r="F13119" s="14">
        <v>0</v>
      </c>
      <c r="G13119" s="13">
        <v>154000000</v>
      </c>
      <c r="H13119" s="14">
        <v>153306846000</v>
      </c>
      <c r="I13119" s="14" t="e">
        <f>=Round(1151639.98090000,0)</f>
        <v>#VALUE!</v>
      </c>
      <c r="J13119" s="14" t="e">
        <f>=Round(0.00000000,0)</f>
        <v>#VALUE!</v>
      </c>
    </row>
    <row r="13120">
      <c r="A13120" s="11" t="s">
        <v>40</v>
      </c>
      <c r="B13120" s="12">
        <v>995.721</v>
      </c>
      <c r="C13120" s="12">
        <v>0</v>
      </c>
      <c r="D13120" s="13">
        <v>0</v>
      </c>
      <c r="E13120" s="12">
        <v>0</v>
      </c>
      <c r="F13120" s="14">
        <v>0</v>
      </c>
      <c r="G13120" s="13">
        <v>154000000</v>
      </c>
      <c r="H13120" s="14">
        <v>153341034000</v>
      </c>
      <c r="I13120" s="14" t="e">
        <f>=Round(1151895.70080000,0)</f>
        <v>#VALUE!</v>
      </c>
      <c r="J13120" s="14" t="e">
        <f>=Round(0.00000000,0)</f>
        <v>#VALUE!</v>
      </c>
    </row>
    <row r="13121">
      <c r="A13121" s="11" t="s">
        <v>41</v>
      </c>
      <c r="B13121" s="12">
        <v>995.943</v>
      </c>
      <c r="C13121" s="12">
        <v>0</v>
      </c>
      <c r="D13121" s="13">
        <v>0</v>
      </c>
      <c r="E13121" s="12">
        <v>0</v>
      </c>
      <c r="F13121" s="14">
        <v>0</v>
      </c>
      <c r="G13121" s="13">
        <v>154000000</v>
      </c>
      <c r="H13121" s="14">
        <v>153375222000</v>
      </c>
      <c r="I13121" s="14" t="e">
        <f>=Round(1152152.57790000,0)</f>
        <v>#VALUE!</v>
      </c>
      <c r="J13121" s="14" t="e">
        <f>=Round(0.00000000,0)</f>
        <v>#VALUE!</v>
      </c>
    </row>
    <row r="13122">
      <c r="A13122" s="11" t="s">
        <v>42</v>
      </c>
      <c r="B13122" s="12">
        <v>995.943</v>
      </c>
      <c r="C13122" s="12">
        <v>0</v>
      </c>
      <c r="D13122" s="13">
        <v>0</v>
      </c>
      <c r="E13122" s="12">
        <v>0</v>
      </c>
      <c r="F13122" s="14">
        <v>0</v>
      </c>
      <c r="G13122" s="13">
        <v>154000000</v>
      </c>
      <c r="H13122" s="14">
        <v>153375222000</v>
      </c>
      <c r="I13122" s="14" t="e">
        <f>=Round(1152409.45490000,0)</f>
        <v>#VALUE!</v>
      </c>
      <c r="J13122" s="14" t="e">
        <f>=Round(0.00000000,0)</f>
        <v>#VALUE!</v>
      </c>
    </row>
    <row r="13123">
      <c r="A13123" s="11" t="s">
        <v>43</v>
      </c>
      <c r="B13123" s="12">
        <v>995.943</v>
      </c>
      <c r="C13123" s="12">
        <v>0</v>
      </c>
      <c r="D13123" s="13">
        <v>0</v>
      </c>
      <c r="E13123" s="12">
        <v>0</v>
      </c>
      <c r="F13123" s="14">
        <v>0</v>
      </c>
      <c r="G13123" s="13">
        <v>154000000</v>
      </c>
      <c r="H13123" s="14">
        <v>153375222000</v>
      </c>
      <c r="I13123" s="14" t="e">
        <f>=Round(1152409.45490000,0)</f>
        <v>#VALUE!</v>
      </c>
      <c r="J13123" s="14" t="e">
        <f>=Round(0.00000000,0)</f>
        <v>#VALUE!</v>
      </c>
    </row>
    <row r="13124">
      <c r="A13124" s="11" t="s">
        <v>44</v>
      </c>
      <c r="B13124" s="12">
        <v>996.585</v>
      </c>
      <c r="C13124" s="12">
        <v>0</v>
      </c>
      <c r="D13124" s="13">
        <v>0</v>
      </c>
      <c r="E13124" s="12">
        <v>0</v>
      </c>
      <c r="F13124" s="14">
        <v>0</v>
      </c>
      <c r="G13124" s="13">
        <v>154000000</v>
      </c>
      <c r="H13124" s="14">
        <v>153474090000</v>
      </c>
      <c r="I13124" s="14" t="e">
        <f>=Round(1152409.45490000,0)</f>
        <v>#VALUE!</v>
      </c>
      <c r="J13124" s="14" t="e">
        <f>=Round(0.00000000,0)</f>
        <v>#VALUE!</v>
      </c>
    </row>
    <row r="13125">
      <c r="A13125" s="11" t="s">
        <v>45</v>
      </c>
      <c r="B13125" s="12">
        <v>996.806</v>
      </c>
      <c r="C13125" s="12">
        <v>0</v>
      </c>
      <c r="D13125" s="13">
        <v>0</v>
      </c>
      <c r="E13125" s="12">
        <v>0</v>
      </c>
      <c r="F13125" s="14">
        <v>0</v>
      </c>
      <c r="G13125" s="13">
        <v>154000000</v>
      </c>
      <c r="H13125" s="14">
        <v>153508124000</v>
      </c>
      <c r="I13125" s="14" t="e">
        <f>=Round(1153152.31560000,0)</f>
        <v>#VALUE!</v>
      </c>
      <c r="J13125" s="14" t="e">
        <f>=Round(0.00000000,0)</f>
        <v>#VALUE!</v>
      </c>
    </row>
    <row r="13126">
      <c r="A13126" s="11" t="s">
        <v>46</v>
      </c>
      <c r="B13126" s="12">
        <v>997.002</v>
      </c>
      <c r="C13126" s="12">
        <v>0</v>
      </c>
      <c r="D13126" s="13">
        <v>0</v>
      </c>
      <c r="E13126" s="12">
        <v>0</v>
      </c>
      <c r="F13126" s="14">
        <v>0</v>
      </c>
      <c r="G13126" s="13">
        <v>154000000</v>
      </c>
      <c r="H13126" s="14">
        <v>153538308000</v>
      </c>
      <c r="I13126" s="14" t="e">
        <f>=Round(1153408.03550000,0)</f>
        <v>#VALUE!</v>
      </c>
      <c r="J13126" s="14" t="e">
        <f>=Round(0.00000000,0)</f>
        <v>#VALUE!</v>
      </c>
    </row>
    <row r="13127">
      <c r="A13127" s="11" t="s">
        <v>47</v>
      </c>
      <c r="B13127" s="12">
        <v>997.237</v>
      </c>
      <c r="C13127" s="12">
        <v>0</v>
      </c>
      <c r="D13127" s="13">
        <v>0</v>
      </c>
      <c r="E13127" s="12">
        <v>0</v>
      </c>
      <c r="F13127" s="14">
        <v>0</v>
      </c>
      <c r="G13127" s="13">
        <v>154000000</v>
      </c>
      <c r="H13127" s="14">
        <v>153574498000</v>
      </c>
      <c r="I13127" s="14" t="e">
        <f>=Round(1153634.82790000,0)</f>
        <v>#VALUE!</v>
      </c>
      <c r="J13127" s="14" t="e">
        <f>=Round(0.00000000,0)</f>
        <v>#VALUE!</v>
      </c>
    </row>
    <row r="13128">
      <c r="A13128" s="11" t="s">
        <v>48</v>
      </c>
      <c r="B13128" s="12">
        <v>997.553</v>
      </c>
      <c r="C13128" s="12">
        <v>0</v>
      </c>
      <c r="D13128" s="13">
        <v>0</v>
      </c>
      <c r="E13128" s="12">
        <v>0</v>
      </c>
      <c r="F13128" s="14">
        <v>0</v>
      </c>
      <c r="G13128" s="13">
        <v>154000000</v>
      </c>
      <c r="H13128" s="14">
        <v>153623162000</v>
      </c>
      <c r="I13128" s="14" t="e">
        <f>=Round(1153906.74730000,0)</f>
        <v>#VALUE!</v>
      </c>
      <c r="J13128" s="14" t="e">
        <f>=Round(0.00000000,0)</f>
        <v>#VALUE!</v>
      </c>
    </row>
    <row r="13129">
      <c r="A13129" s="11" t="s">
        <v>49</v>
      </c>
      <c r="B13129" s="12">
        <v>997.553</v>
      </c>
      <c r="C13129" s="12">
        <v>0</v>
      </c>
      <c r="D13129" s="13">
        <v>0</v>
      </c>
      <c r="E13129" s="12">
        <v>0</v>
      </c>
      <c r="F13129" s="14">
        <v>0</v>
      </c>
      <c r="G13129" s="13">
        <v>154000000</v>
      </c>
      <c r="H13129" s="14">
        <v>153623162000</v>
      </c>
      <c r="I13129" s="14" t="e">
        <f>=Round(1154272.39210000,0)</f>
        <v>#VALUE!</v>
      </c>
      <c r="J13129" s="14" t="e">
        <f>=Round(0.00000000,0)</f>
        <v>#VALUE!</v>
      </c>
    </row>
    <row r="13130">
      <c r="A13130" s="11" t="s">
        <v>50</v>
      </c>
      <c r="B13130" s="12">
        <v>997.553</v>
      </c>
      <c r="C13130" s="12">
        <v>0</v>
      </c>
      <c r="D13130" s="13">
        <v>0</v>
      </c>
      <c r="E13130" s="12">
        <v>0</v>
      </c>
      <c r="F13130" s="14">
        <v>0</v>
      </c>
      <c r="G13130" s="13">
        <v>154000000</v>
      </c>
      <c r="H13130" s="14">
        <v>153623162000</v>
      </c>
      <c r="I13130" s="14" t="e">
        <f>=Round(1154272.39210000,0)</f>
        <v>#VALUE!</v>
      </c>
      <c r="J13130" s="14" t="e">
        <f>=Round(0.00000000,0)</f>
        <v>#VALUE!</v>
      </c>
    </row>
    <row r="13131">
      <c r="A13131" s="11" t="s">
        <v>51</v>
      </c>
      <c r="B13131" s="12">
        <v>998.218</v>
      </c>
      <c r="C13131" s="12">
        <v>0</v>
      </c>
      <c r="D13131" s="13">
        <v>0</v>
      </c>
      <c r="E13131" s="12">
        <v>0</v>
      </c>
      <c r="F13131" s="14">
        <v>0</v>
      </c>
      <c r="G13131" s="13">
        <v>154000000</v>
      </c>
      <c r="H13131" s="14">
        <v>153725572000</v>
      </c>
      <c r="I13131" s="14" t="e">
        <f>=Round(1154272.39210000,0)</f>
        <v>#VALUE!</v>
      </c>
      <c r="J13131" s="14" t="e">
        <f>=Round(0.00000000,0)</f>
        <v>#VALUE!</v>
      </c>
    </row>
    <row r="13132">
      <c r="A13132" s="11" t="s">
        <v>52</v>
      </c>
      <c r="B13132" s="12">
        <v>998.439</v>
      </c>
      <c r="C13132" s="12">
        <v>0</v>
      </c>
      <c r="D13132" s="13">
        <v>0</v>
      </c>
      <c r="E13132" s="12">
        <v>0</v>
      </c>
      <c r="F13132" s="14">
        <v>0</v>
      </c>
      <c r="G13132" s="13">
        <v>154000000</v>
      </c>
      <c r="H13132" s="14">
        <v>153759606000</v>
      </c>
      <c r="I13132" s="14" t="e">
        <f>=Round(1155041.86610000,0)</f>
        <v>#VALUE!</v>
      </c>
      <c r="J13132" s="14" t="e">
        <f>=Round(0.00000000,0)</f>
        <v>#VALUE!</v>
      </c>
    </row>
    <row r="13133">
      <c r="A13133" s="11" t="s">
        <v>53</v>
      </c>
      <c r="B13133" s="12">
        <v>998.661</v>
      </c>
      <c r="C13133" s="12">
        <v>0</v>
      </c>
      <c r="D13133" s="13">
        <v>0</v>
      </c>
      <c r="E13133" s="12">
        <v>0</v>
      </c>
      <c r="F13133" s="14">
        <v>0</v>
      </c>
      <c r="G13133" s="13">
        <v>154000000</v>
      </c>
      <c r="H13133" s="14">
        <v>153793794000</v>
      </c>
      <c r="I13133" s="14" t="e">
        <f>=Round(1155297.58610000,0)</f>
        <v>#VALUE!</v>
      </c>
      <c r="J13133" s="14" t="e">
        <f>=Round(0.00000000,0)</f>
        <v>#VALUE!</v>
      </c>
    </row>
    <row r="13134">
      <c r="A13134" s="11" t="s">
        <v>54</v>
      </c>
      <c r="B13134" s="12">
        <v>998.883</v>
      </c>
      <c r="C13134" s="12">
        <v>0</v>
      </c>
      <c r="D13134" s="13">
        <v>0</v>
      </c>
      <c r="E13134" s="12">
        <v>0</v>
      </c>
      <c r="F13134" s="14">
        <v>0</v>
      </c>
      <c r="G13134" s="13">
        <v>154000000</v>
      </c>
      <c r="H13134" s="14">
        <v>153827982000</v>
      </c>
      <c r="I13134" s="14" t="e">
        <f>=Round(1155554.46310000,0)</f>
        <v>#VALUE!</v>
      </c>
      <c r="J13134" s="14" t="e">
        <f>=Round(0.00000000,0)</f>
        <v>#VALUE!</v>
      </c>
    </row>
    <row r="13135">
      <c r="A13135" s="11" t="s">
        <v>55</v>
      </c>
      <c r="B13135" s="12">
        <v>999.665</v>
      </c>
      <c r="C13135" s="12">
        <v>0</v>
      </c>
      <c r="D13135" s="13">
        <v>0</v>
      </c>
      <c r="E13135" s="12">
        <v>0</v>
      </c>
      <c r="F13135" s="14">
        <v>0</v>
      </c>
      <c r="G13135" s="13">
        <v>154000000</v>
      </c>
      <c r="H13135" s="14">
        <v>153948410000</v>
      </c>
      <c r="I13135" s="14" t="e">
        <f>=Round(1155811.34020000,0)</f>
        <v>#VALUE!</v>
      </c>
      <c r="J13135" s="14" t="e">
        <f>=Round(0.00000000,0)</f>
        <v>#VALUE!</v>
      </c>
    </row>
    <row r="13136" ht="-1">
      <c r="A13136" s="15"/>
      <c r="B13136" s="16" t="s">
        <v>56</v>
      </c>
      <c r="C13136" s="15"/>
      <c r="D13136" s="15"/>
      <c r="E13136" s="15"/>
      <c r="F13136" s="15"/>
      <c r="G13136" s="15"/>
      <c r="H13136" s="15"/>
      <c r="I13136" s="17" t="e">
        <f>=Round(SUM(I13110:I13135),0)</f>
        <v>#VALUE!</v>
      </c>
      <c r="J13136" s="17" t="e">
        <f>=Round(SUM(J13110:J13135),0)</f>
        <v>#VALUE!</v>
      </c>
    </row>
    <row r="13137">
      <c r="A13137" s="1" t="s">
        <v>0</v>
      </c>
      <c r="B13137" s="1"/>
      <c r="C13137" s="1"/>
      <c r="D13137" s="1"/>
    </row>
    <row r="13138">
      <c r="A13138" s="0" t="s">
        <v>1</v>
      </c>
      <c r="C13138" s="0" t="s">
        <v>443</v>
      </c>
      <c r="H13138" s="2" t="s">
        <v>3</v>
      </c>
    </row>
    <row r="13139">
      <c r="A13139" s="0" t="s">
        <v>4</v>
      </c>
      <c r="C13139" s="0" t="s">
        <v>127</v>
      </c>
      <c r="H13139" s="3" t="s">
        <v>6</v>
      </c>
    </row>
    <row r="13140">
      <c r="A13140" s="0" t="s">
        <v>7</v>
      </c>
      <c r="C13140" s="4" t="s">
        <v>185</v>
      </c>
      <c r="H13140" s="2" t="s">
        <v>9</v>
      </c>
    </row>
    <row r="13141">
      <c r="A13141" s="0" t="s">
        <v>10</v>
      </c>
      <c r="C13141" s="4" t="s">
        <v>11</v>
      </c>
      <c r="H13141" s="2" t="s">
        <v>12</v>
      </c>
    </row>
    <row r="13142">
      <c r="A13142" s="0" t="s">
        <v>13</v>
      </c>
      <c r="C13142" s="0" t="s">
        <v>14</v>
      </c>
    </row>
    <row r="13143">
      <c r="A13143" s="0" t="s">
        <v>15</v>
      </c>
      <c r="C13143" s="0" t="s">
        <v>16</v>
      </c>
    </row>
    <row r="13144">
      <c r="A13144" s="0" t="s">
        <v>17</v>
      </c>
      <c r="C13144" s="0" t="s">
        <v>18</v>
      </c>
    </row>
    <row r="13147">
      <c r="A13147" s="5" t="s">
        <v>19</v>
      </c>
      <c r="B13147" s="5" t="s">
        <v>20</v>
      </c>
      <c r="C13147" s="7" t="s">
        <v>21</v>
      </c>
      <c r="D13147" s="9"/>
      <c r="E13147" s="7" t="s">
        <v>22</v>
      </c>
      <c r="F13147" s="9"/>
      <c r="G13147" s="5" t="s">
        <v>23</v>
      </c>
      <c r="H13147" s="5" t="s">
        <v>24</v>
      </c>
      <c r="I13147" s="5" t="s">
        <v>186</v>
      </c>
      <c r="J13147" s="5" t="s">
        <v>26</v>
      </c>
    </row>
    <row r="13148">
      <c r="A13148" s="6"/>
      <c r="B13148" s="6"/>
      <c r="C13148" s="8" t="s">
        <v>27</v>
      </c>
      <c r="D13148" s="8" t="s">
        <v>28</v>
      </c>
      <c r="E13148" s="8" t="s">
        <v>27</v>
      </c>
      <c r="F13148" s="8" t="s">
        <v>28</v>
      </c>
      <c r="G13148" s="6"/>
      <c r="H13148" s="6"/>
      <c r="I13148" s="10" t="s">
        <v>29</v>
      </c>
      <c r="J13148" s="6"/>
    </row>
    <row r="13149">
      <c r="A13149" s="11" t="s">
        <v>30</v>
      </c>
      <c r="B13149" s="12">
        <v>1004.588</v>
      </c>
      <c r="C13149" s="12">
        <v>0</v>
      </c>
      <c r="D13149" s="13">
        <v>0</v>
      </c>
      <c r="E13149" s="12">
        <v>0</v>
      </c>
      <c r="F13149" s="14">
        <v>0</v>
      </c>
      <c r="G13149" s="13">
        <v>18700</v>
      </c>
      <c r="H13149" s="14">
        <v>18785795.6</v>
      </c>
      <c r="I13149" s="14" t="e">
        <f>=Round(98.73050000,0)</f>
        <v>#VALUE!</v>
      </c>
      <c r="J13149" s="14" t="e">
        <f>=Round(0.00000000,0)</f>
        <v>#VALUE!</v>
      </c>
    </row>
    <row r="13150">
      <c r="A13150" s="11" t="s">
        <v>31</v>
      </c>
      <c r="B13150" s="12">
        <v>1004.8406</v>
      </c>
      <c r="C13150" s="12">
        <v>0</v>
      </c>
      <c r="D13150" s="13">
        <v>0</v>
      </c>
      <c r="E13150" s="12">
        <v>0</v>
      </c>
      <c r="F13150" s="14">
        <v>0</v>
      </c>
      <c r="G13150" s="13">
        <v>18700</v>
      </c>
      <c r="H13150" s="14">
        <v>18790519.22</v>
      </c>
      <c r="I13150" s="14" t="e">
        <f>=Round(98.80510000,0)</f>
        <v>#VALUE!</v>
      </c>
      <c r="J13150" s="14" t="e">
        <f>=Round(0.00000000,0)</f>
        <v>#VALUE!</v>
      </c>
    </row>
    <row r="13151">
      <c r="A13151" s="11" t="s">
        <v>32</v>
      </c>
      <c r="B13151" s="12">
        <v>1005.021</v>
      </c>
      <c r="C13151" s="12">
        <v>0</v>
      </c>
      <c r="D13151" s="13">
        <v>0</v>
      </c>
      <c r="E13151" s="12">
        <v>0</v>
      </c>
      <c r="F13151" s="14">
        <v>0</v>
      </c>
      <c r="G13151" s="13">
        <v>18700</v>
      </c>
      <c r="H13151" s="14">
        <v>18793892.7</v>
      </c>
      <c r="I13151" s="14" t="e">
        <f>=Round(98.82990000,0)</f>
        <v>#VALUE!</v>
      </c>
      <c r="J13151" s="14" t="e">
        <f>=Round(0.00000000,0)</f>
        <v>#VALUE!</v>
      </c>
    </row>
    <row r="13152">
      <c r="A13152" s="11" t="s">
        <v>33</v>
      </c>
      <c r="B13152" s="12">
        <v>1005.4923</v>
      </c>
      <c r="C13152" s="12">
        <v>0</v>
      </c>
      <c r="D13152" s="13">
        <v>0</v>
      </c>
      <c r="E13152" s="12">
        <v>0</v>
      </c>
      <c r="F13152" s="14">
        <v>0</v>
      </c>
      <c r="G13152" s="13">
        <v>18700</v>
      </c>
      <c r="H13152" s="14">
        <v>18802706.01</v>
      </c>
      <c r="I13152" s="14" t="e">
        <f>=Round(98.84770000,0)</f>
        <v>#VALUE!</v>
      </c>
      <c r="J13152" s="14" t="e">
        <f>=Round(0.00000000,0)</f>
        <v>#VALUE!</v>
      </c>
    </row>
    <row r="13153">
      <c r="A13153" s="11" t="s">
        <v>34</v>
      </c>
      <c r="B13153" s="12">
        <v>1005.7449</v>
      </c>
      <c r="C13153" s="12">
        <v>0</v>
      </c>
      <c r="D13153" s="13">
        <v>0</v>
      </c>
      <c r="E13153" s="12">
        <v>0</v>
      </c>
      <c r="F13153" s="14">
        <v>0</v>
      </c>
      <c r="G13153" s="13">
        <v>18700</v>
      </c>
      <c r="H13153" s="14">
        <v>18807429.63</v>
      </c>
      <c r="I13153" s="14" t="e">
        <f>=Round(98.89400000,0)</f>
        <v>#VALUE!</v>
      </c>
      <c r="J13153" s="14" t="e">
        <f>=Round(0.00000000,0)</f>
        <v>#VALUE!</v>
      </c>
    </row>
    <row r="13154">
      <c r="A13154" s="11" t="s">
        <v>35</v>
      </c>
      <c r="B13154" s="12">
        <v>1005.7449</v>
      </c>
      <c r="C13154" s="12">
        <v>0</v>
      </c>
      <c r="D13154" s="13">
        <v>0</v>
      </c>
      <c r="E13154" s="12">
        <v>0</v>
      </c>
      <c r="F13154" s="14">
        <v>0</v>
      </c>
      <c r="G13154" s="13">
        <v>18700</v>
      </c>
      <c r="H13154" s="14">
        <v>18807429.63</v>
      </c>
      <c r="I13154" s="14" t="e">
        <f>=Round(98.91890000,0)</f>
        <v>#VALUE!</v>
      </c>
      <c r="J13154" s="14" t="e">
        <f>=Round(0.00000000,0)</f>
        <v>#VALUE!</v>
      </c>
    </row>
    <row r="13155">
      <c r="A13155" s="11" t="s">
        <v>36</v>
      </c>
      <c r="B13155" s="12">
        <v>1005.7449</v>
      </c>
      <c r="C13155" s="12">
        <v>0</v>
      </c>
      <c r="D13155" s="13">
        <v>0</v>
      </c>
      <c r="E13155" s="12">
        <v>0</v>
      </c>
      <c r="F13155" s="14">
        <v>0</v>
      </c>
      <c r="G13155" s="13">
        <v>18700</v>
      </c>
      <c r="H13155" s="14">
        <v>18807429.63</v>
      </c>
      <c r="I13155" s="14" t="e">
        <f>=Round(98.91890000,0)</f>
        <v>#VALUE!</v>
      </c>
      <c r="J13155" s="14" t="e">
        <f>=Round(0.00000000,0)</f>
        <v>#VALUE!</v>
      </c>
    </row>
    <row r="13156">
      <c r="A13156" s="11" t="s">
        <v>37</v>
      </c>
      <c r="B13156" s="12">
        <v>1006.5026</v>
      </c>
      <c r="C13156" s="12">
        <v>0</v>
      </c>
      <c r="D13156" s="13">
        <v>0</v>
      </c>
      <c r="E13156" s="12">
        <v>0</v>
      </c>
      <c r="F13156" s="14">
        <v>0</v>
      </c>
      <c r="G13156" s="13">
        <v>18700</v>
      </c>
      <c r="H13156" s="14">
        <v>18821598.62</v>
      </c>
      <c r="I13156" s="14" t="e">
        <f>=Round(98.91890000,0)</f>
        <v>#VALUE!</v>
      </c>
      <c r="J13156" s="14" t="e">
        <f>=Round(0.00000000,0)</f>
        <v>#VALUE!</v>
      </c>
    </row>
    <row r="13157">
      <c r="A13157" s="11" t="s">
        <v>38</v>
      </c>
      <c r="B13157" s="12">
        <v>1006.7552</v>
      </c>
      <c r="C13157" s="12">
        <v>0</v>
      </c>
      <c r="D13157" s="13">
        <v>0</v>
      </c>
      <c r="E13157" s="12">
        <v>0</v>
      </c>
      <c r="F13157" s="14">
        <v>0</v>
      </c>
      <c r="G13157" s="13">
        <v>18700</v>
      </c>
      <c r="H13157" s="14">
        <v>18826322.24</v>
      </c>
      <c r="I13157" s="14" t="e">
        <f>=Round(98.99340000,0)</f>
        <v>#VALUE!</v>
      </c>
      <c r="J13157" s="14" t="e">
        <f>=Round(0.00000000,0)</f>
        <v>#VALUE!</v>
      </c>
    </row>
    <row r="13158">
      <c r="A13158" s="11" t="s">
        <v>39</v>
      </c>
      <c r="B13158" s="12">
        <v>1008.0125</v>
      </c>
      <c r="C13158" s="12">
        <v>0</v>
      </c>
      <c r="D13158" s="13">
        <v>0</v>
      </c>
      <c r="E13158" s="12">
        <v>0</v>
      </c>
      <c r="F13158" s="14">
        <v>0</v>
      </c>
      <c r="G13158" s="13">
        <v>18700</v>
      </c>
      <c r="H13158" s="14">
        <v>18849833.75</v>
      </c>
      <c r="I13158" s="14" t="e">
        <f>=Round(99.01820000,0)</f>
        <v>#VALUE!</v>
      </c>
      <c r="J13158" s="14" t="e">
        <f>=Round(0.00000000,0)</f>
        <v>#VALUE!</v>
      </c>
    </row>
    <row r="13159">
      <c r="A13159" s="11" t="s">
        <v>40</v>
      </c>
      <c r="B13159" s="12">
        <v>1008.5728</v>
      </c>
      <c r="C13159" s="12">
        <v>0</v>
      </c>
      <c r="D13159" s="13">
        <v>0</v>
      </c>
      <c r="E13159" s="12">
        <v>0</v>
      </c>
      <c r="F13159" s="14">
        <v>0</v>
      </c>
      <c r="G13159" s="13">
        <v>18700</v>
      </c>
      <c r="H13159" s="14">
        <v>18860311.36</v>
      </c>
      <c r="I13159" s="14" t="e">
        <f>=Round(99.14190000,0)</f>
        <v>#VALUE!</v>
      </c>
      <c r="J13159" s="14" t="e">
        <f>=Round(0.00000000,0)</f>
        <v>#VALUE!</v>
      </c>
    </row>
    <row r="13160">
      <c r="A13160" s="11" t="s">
        <v>41</v>
      </c>
      <c r="B13160" s="12">
        <v>1009.1667</v>
      </c>
      <c r="C13160" s="12">
        <v>0</v>
      </c>
      <c r="D13160" s="13">
        <v>0</v>
      </c>
      <c r="E13160" s="12">
        <v>0</v>
      </c>
      <c r="F13160" s="14">
        <v>0</v>
      </c>
      <c r="G13160" s="13">
        <v>18700</v>
      </c>
      <c r="H13160" s="14">
        <v>18871417.29</v>
      </c>
      <c r="I13160" s="14" t="e">
        <f>=Round(99.19700000,0)</f>
        <v>#VALUE!</v>
      </c>
      <c r="J13160" s="14" t="e">
        <f>=Round(0.00000000,0)</f>
        <v>#VALUE!</v>
      </c>
    </row>
    <row r="13161">
      <c r="A13161" s="11" t="s">
        <v>42</v>
      </c>
      <c r="B13161" s="12">
        <v>1009.1667</v>
      </c>
      <c r="C13161" s="12">
        <v>0</v>
      </c>
      <c r="D13161" s="13">
        <v>0</v>
      </c>
      <c r="E13161" s="12">
        <v>0</v>
      </c>
      <c r="F13161" s="14">
        <v>0</v>
      </c>
      <c r="G13161" s="13">
        <v>18700</v>
      </c>
      <c r="H13161" s="14">
        <v>18871417.29</v>
      </c>
      <c r="I13161" s="14" t="e">
        <f>=Round(99.25540000,0)</f>
        <v>#VALUE!</v>
      </c>
      <c r="J13161" s="14" t="e">
        <f>=Round(0.00000000,0)</f>
        <v>#VALUE!</v>
      </c>
    </row>
    <row r="13162">
      <c r="A13162" s="11" t="s">
        <v>43</v>
      </c>
      <c r="B13162" s="12">
        <v>1009.1667</v>
      </c>
      <c r="C13162" s="12">
        <v>0</v>
      </c>
      <c r="D13162" s="13">
        <v>0</v>
      </c>
      <c r="E13162" s="12">
        <v>0</v>
      </c>
      <c r="F13162" s="14">
        <v>0</v>
      </c>
      <c r="G13162" s="13">
        <v>18700</v>
      </c>
      <c r="H13162" s="14">
        <v>18871417.29</v>
      </c>
      <c r="I13162" s="14" t="e">
        <f>=Round(99.25540000,0)</f>
        <v>#VALUE!</v>
      </c>
      <c r="J13162" s="14" t="e">
        <f>=Round(0.00000000,0)</f>
        <v>#VALUE!</v>
      </c>
    </row>
    <row r="13163">
      <c r="A13163" s="11" t="s">
        <v>44</v>
      </c>
      <c r="B13163" s="12">
        <v>1010.6229</v>
      </c>
      <c r="C13163" s="12">
        <v>0</v>
      </c>
      <c r="D13163" s="13">
        <v>0</v>
      </c>
      <c r="E13163" s="12">
        <v>0</v>
      </c>
      <c r="F13163" s="14">
        <v>0</v>
      </c>
      <c r="G13163" s="13">
        <v>18700</v>
      </c>
      <c r="H13163" s="14">
        <v>18898648.23</v>
      </c>
      <c r="I13163" s="14" t="e">
        <f>=Round(99.25540000,0)</f>
        <v>#VALUE!</v>
      </c>
      <c r="J13163" s="14" t="e">
        <f>=Round(0.00000000,0)</f>
        <v>#VALUE!</v>
      </c>
    </row>
    <row r="13164">
      <c r="A13164" s="11" t="s">
        <v>45</v>
      </c>
      <c r="B13164" s="12">
        <v>1010.8755</v>
      </c>
      <c r="C13164" s="12">
        <v>0</v>
      </c>
      <c r="D13164" s="13">
        <v>0</v>
      </c>
      <c r="E13164" s="12">
        <v>0</v>
      </c>
      <c r="F13164" s="14">
        <v>0</v>
      </c>
      <c r="G13164" s="13">
        <v>18700</v>
      </c>
      <c r="H13164" s="14">
        <v>18903371.85</v>
      </c>
      <c r="I13164" s="14" t="e">
        <f>=Round(99.39860000,0)</f>
        <v>#VALUE!</v>
      </c>
      <c r="J13164" s="14" t="e">
        <f>=Round(0.00000000,0)</f>
        <v>#VALUE!</v>
      </c>
    </row>
    <row r="13165">
      <c r="A13165" s="11" t="s">
        <v>46</v>
      </c>
      <c r="B13165" s="12">
        <v>1011.3053</v>
      </c>
      <c r="C13165" s="12">
        <v>0</v>
      </c>
      <c r="D13165" s="13">
        <v>0</v>
      </c>
      <c r="E13165" s="12">
        <v>0</v>
      </c>
      <c r="F13165" s="14">
        <v>0</v>
      </c>
      <c r="G13165" s="13">
        <v>18700</v>
      </c>
      <c r="H13165" s="14">
        <v>18911409.11</v>
      </c>
      <c r="I13165" s="14" t="e">
        <f>=Round(99.42350000,0)</f>
        <v>#VALUE!</v>
      </c>
      <c r="J13165" s="14" t="e">
        <f>=Round(0.00000000,0)</f>
        <v>#VALUE!</v>
      </c>
    </row>
    <row r="13166">
      <c r="A13166" s="11" t="s">
        <v>47</v>
      </c>
      <c r="B13166" s="12">
        <v>1011.8249</v>
      </c>
      <c r="C13166" s="12">
        <v>0</v>
      </c>
      <c r="D13166" s="13">
        <v>0</v>
      </c>
      <c r="E13166" s="12">
        <v>0</v>
      </c>
      <c r="F13166" s="14">
        <v>0</v>
      </c>
      <c r="G13166" s="13">
        <v>18700</v>
      </c>
      <c r="H13166" s="14">
        <v>18921125.63</v>
      </c>
      <c r="I13166" s="14" t="e">
        <f>=Round(99.46570000,0)</f>
        <v>#VALUE!</v>
      </c>
      <c r="J13166" s="14" t="e">
        <f>=Round(0.00000000,0)</f>
        <v>#VALUE!</v>
      </c>
    </row>
    <row r="13167">
      <c r="A13167" s="11" t="s">
        <v>48</v>
      </c>
      <c r="B13167" s="12">
        <v>1012.629</v>
      </c>
      <c r="C13167" s="12">
        <v>0</v>
      </c>
      <c r="D13167" s="13">
        <v>0</v>
      </c>
      <c r="E13167" s="12">
        <v>0</v>
      </c>
      <c r="F13167" s="14">
        <v>0</v>
      </c>
      <c r="G13167" s="13">
        <v>18700</v>
      </c>
      <c r="H13167" s="14">
        <v>18936162.3</v>
      </c>
      <c r="I13167" s="14" t="e">
        <f>=Round(99.51680000,0)</f>
        <v>#VALUE!</v>
      </c>
      <c r="J13167" s="14" t="e">
        <f>=Round(0.00000000,0)</f>
        <v>#VALUE!</v>
      </c>
    </row>
    <row r="13168">
      <c r="A13168" s="11" t="s">
        <v>49</v>
      </c>
      <c r="B13168" s="12">
        <v>1012.629</v>
      </c>
      <c r="C13168" s="12">
        <v>0</v>
      </c>
      <c r="D13168" s="13">
        <v>0</v>
      </c>
      <c r="E13168" s="12">
        <v>0</v>
      </c>
      <c r="F13168" s="14">
        <v>0</v>
      </c>
      <c r="G13168" s="13">
        <v>18700</v>
      </c>
      <c r="H13168" s="14">
        <v>18936162.3</v>
      </c>
      <c r="I13168" s="14" t="e">
        <f>=Round(99.59590000,0)</f>
        <v>#VALUE!</v>
      </c>
      <c r="J13168" s="14" t="e">
        <f>=Round(0.00000000,0)</f>
        <v>#VALUE!</v>
      </c>
    </row>
    <row r="13169">
      <c r="A13169" s="11" t="s">
        <v>50</v>
      </c>
      <c r="B13169" s="12">
        <v>1012.629</v>
      </c>
      <c r="C13169" s="12">
        <v>0</v>
      </c>
      <c r="D13169" s="13">
        <v>0</v>
      </c>
      <c r="E13169" s="12">
        <v>0</v>
      </c>
      <c r="F13169" s="14">
        <v>0</v>
      </c>
      <c r="G13169" s="13">
        <v>18700</v>
      </c>
      <c r="H13169" s="14">
        <v>18936162.3</v>
      </c>
      <c r="I13169" s="14" t="e">
        <f>=Round(99.59590000,0)</f>
        <v>#VALUE!</v>
      </c>
      <c r="J13169" s="14" t="e">
        <f>=Round(0.00000000,0)</f>
        <v>#VALUE!</v>
      </c>
    </row>
    <row r="13170">
      <c r="A13170" s="11" t="s">
        <v>51</v>
      </c>
      <c r="B13170" s="12">
        <v>1013.3866</v>
      </c>
      <c r="C13170" s="12">
        <v>0</v>
      </c>
      <c r="D13170" s="13">
        <v>0</v>
      </c>
      <c r="E13170" s="12">
        <v>0</v>
      </c>
      <c r="F13170" s="14">
        <v>0</v>
      </c>
      <c r="G13170" s="13">
        <v>18700</v>
      </c>
      <c r="H13170" s="14">
        <v>18950329.42</v>
      </c>
      <c r="I13170" s="14" t="e">
        <f>=Round(99.59590000,0)</f>
        <v>#VALUE!</v>
      </c>
      <c r="J13170" s="14" t="e">
        <f>=Round(0.00000000,0)</f>
        <v>#VALUE!</v>
      </c>
    </row>
    <row r="13171">
      <c r="A13171" s="11" t="s">
        <v>52</v>
      </c>
      <c r="B13171" s="12">
        <v>1013.6179</v>
      </c>
      <c r="C13171" s="12">
        <v>0</v>
      </c>
      <c r="D13171" s="13">
        <v>0</v>
      </c>
      <c r="E13171" s="12">
        <v>0</v>
      </c>
      <c r="F13171" s="14">
        <v>0</v>
      </c>
      <c r="G13171" s="13">
        <v>18700</v>
      </c>
      <c r="H13171" s="14">
        <v>18954654.73</v>
      </c>
      <c r="I13171" s="14" t="e">
        <f>=Round(99.67040000,0)</f>
        <v>#VALUE!</v>
      </c>
      <c r="J13171" s="14" t="e">
        <f>=Round(0.00000000,0)</f>
        <v>#VALUE!</v>
      </c>
    </row>
    <row r="13172">
      <c r="A13172" s="11" t="s">
        <v>53</v>
      </c>
      <c r="B13172" s="12">
        <v>1019.418</v>
      </c>
      <c r="C13172" s="12">
        <v>0</v>
      </c>
      <c r="D13172" s="13">
        <v>0</v>
      </c>
      <c r="E13172" s="12">
        <v>0</v>
      </c>
      <c r="F13172" s="14">
        <v>0</v>
      </c>
      <c r="G13172" s="13">
        <v>18700</v>
      </c>
      <c r="H13172" s="14">
        <v>19063116.6</v>
      </c>
      <c r="I13172" s="14" t="e">
        <f>=Round(99.69320000,0)</f>
        <v>#VALUE!</v>
      </c>
      <c r="J13172" s="14" t="e">
        <f>=Round(0.00000000,0)</f>
        <v>#VALUE!</v>
      </c>
    </row>
    <row r="13173">
      <c r="A13173" s="11" t="s">
        <v>54</v>
      </c>
      <c r="B13173" s="12">
        <v>1019.6705</v>
      </c>
      <c r="C13173" s="12">
        <v>0</v>
      </c>
      <c r="D13173" s="13">
        <v>0</v>
      </c>
      <c r="E13173" s="12">
        <v>0</v>
      </c>
      <c r="F13173" s="14">
        <v>0</v>
      </c>
      <c r="G13173" s="13">
        <v>18700</v>
      </c>
      <c r="H13173" s="14">
        <v>19067838.35</v>
      </c>
      <c r="I13173" s="14" t="e">
        <f>=Round(100.26370000,0)</f>
        <v>#VALUE!</v>
      </c>
      <c r="J13173" s="14" t="e">
        <f>=Round(0.00000000,0)</f>
        <v>#VALUE!</v>
      </c>
    </row>
    <row r="13174">
      <c r="A13174" s="11" t="s">
        <v>55</v>
      </c>
      <c r="B13174" s="12">
        <v>1019.911</v>
      </c>
      <c r="C13174" s="12">
        <v>0</v>
      </c>
      <c r="D13174" s="13">
        <v>0</v>
      </c>
      <c r="E13174" s="12">
        <v>0</v>
      </c>
      <c r="F13174" s="14">
        <v>0</v>
      </c>
      <c r="G13174" s="13">
        <v>18700</v>
      </c>
      <c r="H13174" s="14">
        <v>19072335.7</v>
      </c>
      <c r="I13174" s="14" t="e">
        <f>=Round(100.28850000,0)</f>
        <v>#VALUE!</v>
      </c>
      <c r="J13174" s="14" t="e">
        <f>=Round(0.00000000,0)</f>
        <v>#VALUE!</v>
      </c>
    </row>
    <row r="13175" ht="-1">
      <c r="A13175" s="15"/>
      <c r="B13175" s="16" t="s">
        <v>56</v>
      </c>
      <c r="C13175" s="15"/>
      <c r="D13175" s="15"/>
      <c r="E13175" s="15"/>
      <c r="F13175" s="15"/>
      <c r="G13175" s="15"/>
      <c r="H13175" s="15"/>
      <c r="I13175" s="17" t="e">
        <f>=Round(SUM(I13149:I13174),0)</f>
        <v>#VALUE!</v>
      </c>
      <c r="J13175" s="17" t="e">
        <f>=Round(SUM(J13149:J13174),0)</f>
        <v>#VALUE!</v>
      </c>
    </row>
    <row r="13176">
      <c r="A13176" s="1" t="s">
        <v>0</v>
      </c>
      <c r="B13176" s="1"/>
      <c r="C13176" s="1"/>
      <c r="D13176" s="1"/>
    </row>
    <row r="13177">
      <c r="A13177" s="0" t="s">
        <v>1</v>
      </c>
      <c r="C13177" s="0" t="s">
        <v>443</v>
      </c>
      <c r="H13177" s="2" t="s">
        <v>3</v>
      </c>
    </row>
    <row r="13178">
      <c r="A13178" s="0" t="s">
        <v>4</v>
      </c>
      <c r="C13178" s="0" t="s">
        <v>413</v>
      </c>
      <c r="H13178" s="3" t="s">
        <v>6</v>
      </c>
    </row>
    <row r="13179">
      <c r="A13179" s="0" t="s">
        <v>7</v>
      </c>
      <c r="C13179" s="4" t="s">
        <v>185</v>
      </c>
      <c r="H13179" s="2" t="s">
        <v>9</v>
      </c>
    </row>
    <row r="13180">
      <c r="A13180" s="0" t="s">
        <v>10</v>
      </c>
      <c r="C13180" s="4" t="s">
        <v>11</v>
      </c>
      <c r="H13180" s="2" t="s">
        <v>12</v>
      </c>
    </row>
    <row r="13181">
      <c r="A13181" s="0" t="s">
        <v>13</v>
      </c>
      <c r="C13181" s="0" t="s">
        <v>14</v>
      </c>
    </row>
    <row r="13182">
      <c r="A13182" s="0" t="s">
        <v>15</v>
      </c>
      <c r="C13182" s="0" t="s">
        <v>16</v>
      </c>
    </row>
    <row r="13183">
      <c r="A13183" s="0" t="s">
        <v>17</v>
      </c>
      <c r="C13183" s="0" t="s">
        <v>18</v>
      </c>
    </row>
    <row r="13186">
      <c r="A13186" s="5" t="s">
        <v>19</v>
      </c>
      <c r="B13186" s="5" t="s">
        <v>20</v>
      </c>
      <c r="C13186" s="7" t="s">
        <v>21</v>
      </c>
      <c r="D13186" s="9"/>
      <c r="E13186" s="7" t="s">
        <v>22</v>
      </c>
      <c r="F13186" s="9"/>
      <c r="G13186" s="5" t="s">
        <v>23</v>
      </c>
      <c r="H13186" s="5" t="s">
        <v>24</v>
      </c>
      <c r="I13186" s="5" t="s">
        <v>186</v>
      </c>
      <c r="J13186" s="5" t="s">
        <v>26</v>
      </c>
    </row>
    <row r="13187">
      <c r="A13187" s="6"/>
      <c r="B13187" s="6"/>
      <c r="C13187" s="8" t="s">
        <v>27</v>
      </c>
      <c r="D13187" s="8" t="s">
        <v>28</v>
      </c>
      <c r="E13187" s="8" t="s">
        <v>27</v>
      </c>
      <c r="F13187" s="8" t="s">
        <v>28</v>
      </c>
      <c r="G13187" s="6"/>
      <c r="H13187" s="6"/>
      <c r="I13187" s="10" t="s">
        <v>29</v>
      </c>
      <c r="J13187" s="6"/>
    </row>
    <row r="13188">
      <c r="A13188" s="11" t="s">
        <v>30</v>
      </c>
      <c r="B13188" s="12">
        <v>1004.588</v>
      </c>
      <c r="C13188" s="12">
        <v>0</v>
      </c>
      <c r="D13188" s="13">
        <v>0</v>
      </c>
      <c r="E13188" s="12">
        <v>0</v>
      </c>
      <c r="F13188" s="14">
        <v>0</v>
      </c>
      <c r="G13188" s="13">
        <v>59311000</v>
      </c>
      <c r="H13188" s="14">
        <v>59583118868</v>
      </c>
      <c r="I13188" s="14" t="e">
        <f>=Round(313144.76230000,0)</f>
        <v>#VALUE!</v>
      </c>
      <c r="J13188" s="14" t="e">
        <f>=Round(0.00000000,0)</f>
        <v>#VALUE!</v>
      </c>
    </row>
    <row r="13189">
      <c r="A13189" s="11" t="s">
        <v>31</v>
      </c>
      <c r="B13189" s="12">
        <v>1004.8406</v>
      </c>
      <c r="C13189" s="12">
        <v>0</v>
      </c>
      <c r="D13189" s="13">
        <v>0</v>
      </c>
      <c r="E13189" s="12">
        <v>0</v>
      </c>
      <c r="F13189" s="14">
        <v>0</v>
      </c>
      <c r="G13189" s="13">
        <v>59311000</v>
      </c>
      <c r="H13189" s="14">
        <v>59598100826.6</v>
      </c>
      <c r="I13189" s="14" t="e">
        <f>=Round(313381.15800000,0)</f>
        <v>#VALUE!</v>
      </c>
      <c r="J13189" s="14" t="e">
        <f>=Round(0.00000000,0)</f>
        <v>#VALUE!</v>
      </c>
    </row>
    <row r="13190">
      <c r="A13190" s="11" t="s">
        <v>32</v>
      </c>
      <c r="B13190" s="12">
        <v>1005.021</v>
      </c>
      <c r="C13190" s="12">
        <v>0</v>
      </c>
      <c r="D13190" s="13">
        <v>0</v>
      </c>
      <c r="E13190" s="12">
        <v>0</v>
      </c>
      <c r="F13190" s="14">
        <v>0</v>
      </c>
      <c r="G13190" s="13">
        <v>59311000</v>
      </c>
      <c r="H13190" s="14">
        <v>59608800531</v>
      </c>
      <c r="I13190" s="14" t="e">
        <f>=Round(313459.95650000,0)</f>
        <v>#VALUE!</v>
      </c>
      <c r="J13190" s="14" t="e">
        <f>=Round(0.00000000,0)</f>
        <v>#VALUE!</v>
      </c>
    </row>
    <row r="13191">
      <c r="A13191" s="11" t="s">
        <v>33</v>
      </c>
      <c r="B13191" s="12">
        <v>1005.4923</v>
      </c>
      <c r="C13191" s="12">
        <v>0</v>
      </c>
      <c r="D13191" s="13">
        <v>0</v>
      </c>
      <c r="E13191" s="12">
        <v>0</v>
      </c>
      <c r="F13191" s="14">
        <v>0</v>
      </c>
      <c r="G13191" s="13">
        <v>59311000</v>
      </c>
      <c r="H13191" s="14">
        <v>59636753805.3</v>
      </c>
      <c r="I13191" s="14" t="e">
        <f>=Round(313516.23230000,0)</f>
        <v>#VALUE!</v>
      </c>
      <c r="J13191" s="14" t="e">
        <f>=Round(0.00000000,0)</f>
        <v>#VALUE!</v>
      </c>
    </row>
    <row r="13192">
      <c r="A13192" s="11" t="s">
        <v>34</v>
      </c>
      <c r="B13192" s="12">
        <v>1005.7449</v>
      </c>
      <c r="C13192" s="12">
        <v>0</v>
      </c>
      <c r="D13192" s="13">
        <v>0</v>
      </c>
      <c r="E13192" s="12">
        <v>0</v>
      </c>
      <c r="F13192" s="14">
        <v>0</v>
      </c>
      <c r="G13192" s="13">
        <v>59311000</v>
      </c>
      <c r="H13192" s="14">
        <v>59651735763.9</v>
      </c>
      <c r="I13192" s="14" t="e">
        <f>=Round(313663.25430000,0)</f>
        <v>#VALUE!</v>
      </c>
      <c r="J13192" s="14" t="e">
        <f>=Round(0.00000000,0)</f>
        <v>#VALUE!</v>
      </c>
    </row>
    <row r="13193">
      <c r="A13193" s="11" t="s">
        <v>35</v>
      </c>
      <c r="B13193" s="12">
        <v>1005.7449</v>
      </c>
      <c r="C13193" s="12">
        <v>0</v>
      </c>
      <c r="D13193" s="13">
        <v>0</v>
      </c>
      <c r="E13193" s="12">
        <v>0</v>
      </c>
      <c r="F13193" s="14">
        <v>0</v>
      </c>
      <c r="G13193" s="13">
        <v>59311000</v>
      </c>
      <c r="H13193" s="14">
        <v>59651735763.9</v>
      </c>
      <c r="I13193" s="14" t="e">
        <f>=Round(313742.05290000,0)</f>
        <v>#VALUE!</v>
      </c>
      <c r="J13193" s="14" t="e">
        <f>=Round(0.00000000,0)</f>
        <v>#VALUE!</v>
      </c>
    </row>
    <row r="13194">
      <c r="A13194" s="11" t="s">
        <v>36</v>
      </c>
      <c r="B13194" s="12">
        <v>1005.7449</v>
      </c>
      <c r="C13194" s="12">
        <v>0</v>
      </c>
      <c r="D13194" s="13">
        <v>0</v>
      </c>
      <c r="E13194" s="12">
        <v>0</v>
      </c>
      <c r="F13194" s="14">
        <v>0</v>
      </c>
      <c r="G13194" s="13">
        <v>59311000</v>
      </c>
      <c r="H13194" s="14">
        <v>59651735763.9</v>
      </c>
      <c r="I13194" s="14" t="e">
        <f>=Round(313742.05290000,0)</f>
        <v>#VALUE!</v>
      </c>
      <c r="J13194" s="14" t="e">
        <f>=Round(0.00000000,0)</f>
        <v>#VALUE!</v>
      </c>
    </row>
    <row r="13195">
      <c r="A13195" s="11" t="s">
        <v>37</v>
      </c>
      <c r="B13195" s="12">
        <v>1006.5026</v>
      </c>
      <c r="C13195" s="12">
        <v>0</v>
      </c>
      <c r="D13195" s="13">
        <v>0</v>
      </c>
      <c r="E13195" s="12">
        <v>0</v>
      </c>
      <c r="F13195" s="14">
        <v>0</v>
      </c>
      <c r="G13195" s="13">
        <v>59311000</v>
      </c>
      <c r="H13195" s="14">
        <v>59696675708.6</v>
      </c>
      <c r="I13195" s="14" t="e">
        <f>=Round(313742.05290000,0)</f>
        <v>#VALUE!</v>
      </c>
      <c r="J13195" s="14" t="e">
        <f>=Round(0.00000000,0)</f>
        <v>#VALUE!</v>
      </c>
    </row>
    <row r="13196">
      <c r="A13196" s="11" t="s">
        <v>38</v>
      </c>
      <c r="B13196" s="12">
        <v>1006.7552</v>
      </c>
      <c r="C13196" s="12">
        <v>0</v>
      </c>
      <c r="D13196" s="13">
        <v>0</v>
      </c>
      <c r="E13196" s="12">
        <v>0</v>
      </c>
      <c r="F13196" s="14">
        <v>0</v>
      </c>
      <c r="G13196" s="13">
        <v>59311000</v>
      </c>
      <c r="H13196" s="14">
        <v>59711657667.2</v>
      </c>
      <c r="I13196" s="14" t="e">
        <f>=Round(313978.41730000,0)</f>
        <v>#VALUE!</v>
      </c>
      <c r="J13196" s="14" t="e">
        <f>=Round(0.00000000,0)</f>
        <v>#VALUE!</v>
      </c>
    </row>
    <row r="13197">
      <c r="A13197" s="11" t="s">
        <v>39</v>
      </c>
      <c r="B13197" s="12">
        <v>1008.0125</v>
      </c>
      <c r="C13197" s="12">
        <v>0</v>
      </c>
      <c r="D13197" s="13">
        <v>0</v>
      </c>
      <c r="E13197" s="12">
        <v>0</v>
      </c>
      <c r="F13197" s="14">
        <v>0</v>
      </c>
      <c r="G13197" s="13">
        <v>59311000</v>
      </c>
      <c r="H13197" s="14">
        <v>59786229387.5</v>
      </c>
      <c r="I13197" s="14" t="e">
        <f>=Round(314057.21590000,0)</f>
        <v>#VALUE!</v>
      </c>
      <c r="J13197" s="14" t="e">
        <f>=Round(0.00000000,0)</f>
        <v>#VALUE!</v>
      </c>
    </row>
    <row r="13198">
      <c r="A13198" s="11" t="s">
        <v>40</v>
      </c>
      <c r="B13198" s="12">
        <v>1008.5728</v>
      </c>
      <c r="C13198" s="12">
        <v>0</v>
      </c>
      <c r="D13198" s="13">
        <v>0</v>
      </c>
      <c r="E13198" s="12">
        <v>0</v>
      </c>
      <c r="F13198" s="14">
        <v>0</v>
      </c>
      <c r="G13198" s="13">
        <v>59311000</v>
      </c>
      <c r="H13198" s="14">
        <v>59819461340.8</v>
      </c>
      <c r="I13198" s="14" t="e">
        <f>=Round(314449.43050000,0)</f>
        <v>#VALUE!</v>
      </c>
      <c r="J13198" s="14" t="e">
        <f>=Round(0.00000000,0)</f>
        <v>#VALUE!</v>
      </c>
    </row>
    <row r="13199">
      <c r="A13199" s="11" t="s">
        <v>41</v>
      </c>
      <c r="B13199" s="12">
        <v>1009.1667</v>
      </c>
      <c r="C13199" s="12">
        <v>0</v>
      </c>
      <c r="D13199" s="13">
        <v>0</v>
      </c>
      <c r="E13199" s="12">
        <v>0</v>
      </c>
      <c r="F13199" s="14">
        <v>0</v>
      </c>
      <c r="G13199" s="13">
        <v>59311000</v>
      </c>
      <c r="H13199" s="14">
        <v>59854686143.7</v>
      </c>
      <c r="I13199" s="14" t="e">
        <f>=Round(314624.21610000,0)</f>
        <v>#VALUE!</v>
      </c>
      <c r="J13199" s="14" t="e">
        <f>=Round(0.00000000,0)</f>
        <v>#VALUE!</v>
      </c>
    </row>
    <row r="13200">
      <c r="A13200" s="11" t="s">
        <v>42</v>
      </c>
      <c r="B13200" s="12">
        <v>1009.1667</v>
      </c>
      <c r="C13200" s="12">
        <v>0</v>
      </c>
      <c r="D13200" s="13">
        <v>0</v>
      </c>
      <c r="E13200" s="12">
        <v>0</v>
      </c>
      <c r="F13200" s="14">
        <v>0</v>
      </c>
      <c r="G13200" s="13">
        <v>59311000</v>
      </c>
      <c r="H13200" s="14">
        <v>59854686143.7</v>
      </c>
      <c r="I13200" s="14" t="e">
        <f>=Round(314809.48310000,0)</f>
        <v>#VALUE!</v>
      </c>
      <c r="J13200" s="14" t="e">
        <f>=Round(0.00000000,0)</f>
        <v>#VALUE!</v>
      </c>
    </row>
    <row r="13201">
      <c r="A13201" s="11" t="s">
        <v>43</v>
      </c>
      <c r="B13201" s="12">
        <v>1009.1667</v>
      </c>
      <c r="C13201" s="12">
        <v>0</v>
      </c>
      <c r="D13201" s="13">
        <v>0</v>
      </c>
      <c r="E13201" s="12">
        <v>0</v>
      </c>
      <c r="F13201" s="14">
        <v>0</v>
      </c>
      <c r="G13201" s="13">
        <v>59311000</v>
      </c>
      <c r="H13201" s="14">
        <v>59854686143.7</v>
      </c>
      <c r="I13201" s="14" t="e">
        <f>=Round(314809.48310000,0)</f>
        <v>#VALUE!</v>
      </c>
      <c r="J13201" s="14" t="e">
        <f>=Round(0.00000000,0)</f>
        <v>#VALUE!</v>
      </c>
    </row>
    <row r="13202">
      <c r="A13202" s="11" t="s">
        <v>44</v>
      </c>
      <c r="B13202" s="12">
        <v>1010.6229</v>
      </c>
      <c r="C13202" s="12">
        <v>0</v>
      </c>
      <c r="D13202" s="13">
        <v>0</v>
      </c>
      <c r="E13202" s="12">
        <v>0</v>
      </c>
      <c r="F13202" s="14">
        <v>0</v>
      </c>
      <c r="G13202" s="13">
        <v>59311000</v>
      </c>
      <c r="H13202" s="14">
        <v>59941054821.9</v>
      </c>
      <c r="I13202" s="14" t="e">
        <f>=Round(314809.48310000,0)</f>
        <v>#VALUE!</v>
      </c>
      <c r="J13202" s="14" t="e">
        <f>=Round(0.00000000,0)</f>
        <v>#VALUE!</v>
      </c>
    </row>
    <row r="13203">
      <c r="A13203" s="11" t="s">
        <v>45</v>
      </c>
      <c r="B13203" s="12">
        <v>1010.8755</v>
      </c>
      <c r="C13203" s="12">
        <v>0</v>
      </c>
      <c r="D13203" s="13">
        <v>0</v>
      </c>
      <c r="E13203" s="12">
        <v>0</v>
      </c>
      <c r="F13203" s="14">
        <v>0</v>
      </c>
      <c r="G13203" s="13">
        <v>59311000</v>
      </c>
      <c r="H13203" s="14">
        <v>59956036780.5</v>
      </c>
      <c r="I13203" s="14" t="e">
        <f>=Round(315263.74460000,0)</f>
        <v>#VALUE!</v>
      </c>
      <c r="J13203" s="14" t="e">
        <f>=Round(0.00000000,0)</f>
        <v>#VALUE!</v>
      </c>
    </row>
    <row r="13204">
      <c r="A13204" s="11" t="s">
        <v>46</v>
      </c>
      <c r="B13204" s="12">
        <v>1011.3053</v>
      </c>
      <c r="C13204" s="12">
        <v>0</v>
      </c>
      <c r="D13204" s="13">
        <v>0</v>
      </c>
      <c r="E13204" s="12">
        <v>0</v>
      </c>
      <c r="F13204" s="14">
        <v>0</v>
      </c>
      <c r="G13204" s="13">
        <v>59311000</v>
      </c>
      <c r="H13204" s="14">
        <v>59981528648.3</v>
      </c>
      <c r="I13204" s="14" t="e">
        <f>=Round(315342.54320000,0)</f>
        <v>#VALUE!</v>
      </c>
      <c r="J13204" s="14" t="e">
        <f>=Round(0.00000000,0)</f>
        <v>#VALUE!</v>
      </c>
    </row>
    <row r="13205">
      <c r="A13205" s="11" t="s">
        <v>47</v>
      </c>
      <c r="B13205" s="12">
        <v>1011.8249</v>
      </c>
      <c r="C13205" s="12">
        <v>0</v>
      </c>
      <c r="D13205" s="13">
        <v>0</v>
      </c>
      <c r="E13205" s="12">
        <v>0</v>
      </c>
      <c r="F13205" s="14">
        <v>0</v>
      </c>
      <c r="G13205" s="13">
        <v>59311000</v>
      </c>
      <c r="H13205" s="14">
        <v>60012346643.9</v>
      </c>
      <c r="I13205" s="14" t="e">
        <f>=Round(315476.61930000,0)</f>
        <v>#VALUE!</v>
      </c>
      <c r="J13205" s="14" t="e">
        <f>=Round(0.00000000,0)</f>
        <v>#VALUE!</v>
      </c>
    </row>
    <row r="13206">
      <c r="A13206" s="11" t="s">
        <v>48</v>
      </c>
      <c r="B13206" s="12">
        <v>1012.629</v>
      </c>
      <c r="C13206" s="12">
        <v>0</v>
      </c>
      <c r="D13206" s="13">
        <v>0</v>
      </c>
      <c r="E13206" s="12">
        <v>0</v>
      </c>
      <c r="F13206" s="14">
        <v>0</v>
      </c>
      <c r="G13206" s="13">
        <v>59311000</v>
      </c>
      <c r="H13206" s="14">
        <v>60060038619</v>
      </c>
      <c r="I13206" s="14" t="e">
        <f>=Round(315638.70840000,0)</f>
        <v>#VALUE!</v>
      </c>
      <c r="J13206" s="14" t="e">
        <f>=Round(0.00000000,0)</f>
        <v>#VALUE!</v>
      </c>
    </row>
    <row r="13207">
      <c r="A13207" s="11" t="s">
        <v>49</v>
      </c>
      <c r="B13207" s="12">
        <v>1012.629</v>
      </c>
      <c r="C13207" s="12">
        <v>0</v>
      </c>
      <c r="D13207" s="13">
        <v>0</v>
      </c>
      <c r="E13207" s="12">
        <v>0</v>
      </c>
      <c r="F13207" s="14">
        <v>0</v>
      </c>
      <c r="G13207" s="13">
        <v>59311000</v>
      </c>
      <c r="H13207" s="14">
        <v>60060038619</v>
      </c>
      <c r="I13207" s="14" t="e">
        <f>=Round(315889.54740000,0)</f>
        <v>#VALUE!</v>
      </c>
      <c r="J13207" s="14" t="e">
        <f>=Round(0.00000000,0)</f>
        <v>#VALUE!</v>
      </c>
    </row>
    <row r="13208">
      <c r="A13208" s="11" t="s">
        <v>50</v>
      </c>
      <c r="B13208" s="12">
        <v>1012.629</v>
      </c>
      <c r="C13208" s="12">
        <v>0</v>
      </c>
      <c r="D13208" s="13">
        <v>0</v>
      </c>
      <c r="E13208" s="12">
        <v>0</v>
      </c>
      <c r="F13208" s="14">
        <v>0</v>
      </c>
      <c r="G13208" s="13">
        <v>59311000</v>
      </c>
      <c r="H13208" s="14">
        <v>60060038619</v>
      </c>
      <c r="I13208" s="14" t="e">
        <f>=Round(315889.54740000,0)</f>
        <v>#VALUE!</v>
      </c>
      <c r="J13208" s="14" t="e">
        <f>=Round(0.00000000,0)</f>
        <v>#VALUE!</v>
      </c>
    </row>
    <row r="13209">
      <c r="A13209" s="11" t="s">
        <v>51</v>
      </c>
      <c r="B13209" s="12">
        <v>1013.3866</v>
      </c>
      <c r="C13209" s="12">
        <v>0</v>
      </c>
      <c r="D13209" s="13">
        <v>0</v>
      </c>
      <c r="E13209" s="12">
        <v>0</v>
      </c>
      <c r="F13209" s="14">
        <v>0</v>
      </c>
      <c r="G13209" s="13">
        <v>59311000</v>
      </c>
      <c r="H13209" s="14">
        <v>60104972632.6</v>
      </c>
      <c r="I13209" s="14" t="e">
        <f>=Round(315889.54740000,0)</f>
        <v>#VALUE!</v>
      </c>
      <c r="J13209" s="14" t="e">
        <f>=Round(0.00000000,0)</f>
        <v>#VALUE!</v>
      </c>
    </row>
    <row r="13210">
      <c r="A13210" s="11" t="s">
        <v>52</v>
      </c>
      <c r="B13210" s="12">
        <v>1013.6179</v>
      </c>
      <c r="C13210" s="12">
        <v>0</v>
      </c>
      <c r="D13210" s="13">
        <v>0</v>
      </c>
      <c r="E13210" s="12">
        <v>0</v>
      </c>
      <c r="F13210" s="14">
        <v>0</v>
      </c>
      <c r="G13210" s="13">
        <v>59311000</v>
      </c>
      <c r="H13210" s="14">
        <v>60118691266.9</v>
      </c>
      <c r="I13210" s="14" t="e">
        <f>=Round(316125.88060000,0)</f>
        <v>#VALUE!</v>
      </c>
      <c r="J13210" s="14" t="e">
        <f>=Round(0.00000000,0)</f>
        <v>#VALUE!</v>
      </c>
    </row>
    <row r="13211">
      <c r="A13211" s="11" t="s">
        <v>53</v>
      </c>
      <c r="B13211" s="12">
        <v>1019.418</v>
      </c>
      <c r="C13211" s="12">
        <v>0</v>
      </c>
      <c r="D13211" s="13">
        <v>0</v>
      </c>
      <c r="E13211" s="12">
        <v>0</v>
      </c>
      <c r="F13211" s="14">
        <v>0</v>
      </c>
      <c r="G13211" s="13">
        <v>59311000</v>
      </c>
      <c r="H13211" s="14">
        <v>60462700998</v>
      </c>
      <c r="I13211" s="14" t="e">
        <f>=Round(316198.03470000,0)</f>
        <v>#VALUE!</v>
      </c>
      <c r="J13211" s="14" t="e">
        <f>=Round(0.00000000,0)</f>
        <v>#VALUE!</v>
      </c>
    </row>
    <row r="13212">
      <c r="A13212" s="11" t="s">
        <v>54</v>
      </c>
      <c r="B13212" s="12">
        <v>1019.6705</v>
      </c>
      <c r="C13212" s="12">
        <v>0</v>
      </c>
      <c r="D13212" s="13">
        <v>0</v>
      </c>
      <c r="E13212" s="12">
        <v>0</v>
      </c>
      <c r="F13212" s="14">
        <v>0</v>
      </c>
      <c r="G13212" s="13">
        <v>59311000</v>
      </c>
      <c r="H13212" s="14">
        <v>60477677025.5</v>
      </c>
      <c r="I13212" s="14" t="e">
        <f>=Round(318007.37550000,0)</f>
        <v>#VALUE!</v>
      </c>
      <c r="J13212" s="14" t="e">
        <f>=Round(0.00000000,0)</f>
        <v>#VALUE!</v>
      </c>
    </row>
    <row r="13213">
      <c r="A13213" s="11" t="s">
        <v>55</v>
      </c>
      <c r="B13213" s="12">
        <v>1019.911</v>
      </c>
      <c r="C13213" s="12">
        <v>0</v>
      </c>
      <c r="D13213" s="13">
        <v>0</v>
      </c>
      <c r="E13213" s="12">
        <v>0</v>
      </c>
      <c r="F13213" s="14">
        <v>0</v>
      </c>
      <c r="G13213" s="13">
        <v>59311000</v>
      </c>
      <c r="H13213" s="14">
        <v>60491941321</v>
      </c>
      <c r="I13213" s="14" t="e">
        <f>=Round(318086.14280000,0)</f>
        <v>#VALUE!</v>
      </c>
      <c r="J13213" s="14" t="e">
        <f>=Round(0.00000000,0)</f>
        <v>#VALUE!</v>
      </c>
    </row>
    <row r="13214" ht="-1">
      <c r="A13214" s="15"/>
      <c r="B13214" s="16" t="s">
        <v>56</v>
      </c>
      <c r="C13214" s="15"/>
      <c r="D13214" s="15"/>
      <c r="E13214" s="15"/>
      <c r="F13214" s="15"/>
      <c r="G13214" s="15"/>
      <c r="H13214" s="15"/>
      <c r="I13214" s="17" t="e">
        <f>=Round(SUM(I13188:I13213),0)</f>
        <v>#VALUE!</v>
      </c>
      <c r="J13214" s="17" t="e">
        <f>=Round(SUM(J13188:J13213),0)</f>
        <v>#VALUE!</v>
      </c>
    </row>
    <row r="13215">
      <c r="A13215" s="1" t="s">
        <v>0</v>
      </c>
      <c r="B13215" s="1"/>
      <c r="C13215" s="1"/>
      <c r="D13215" s="1"/>
    </row>
    <row r="13216">
      <c r="A13216" s="0" t="s">
        <v>1</v>
      </c>
      <c r="C13216" s="0" t="s">
        <v>443</v>
      </c>
      <c r="H13216" s="2" t="s">
        <v>3</v>
      </c>
    </row>
    <row r="13217">
      <c r="A13217" s="0" t="s">
        <v>4</v>
      </c>
      <c r="C13217" s="0" t="s">
        <v>132</v>
      </c>
      <c r="H13217" s="3" t="s">
        <v>6</v>
      </c>
    </row>
    <row r="13218">
      <c r="A13218" s="0" t="s">
        <v>7</v>
      </c>
      <c r="C13218" s="4" t="s">
        <v>185</v>
      </c>
      <c r="H13218" s="2" t="s">
        <v>9</v>
      </c>
    </row>
    <row r="13219">
      <c r="A13219" s="0" t="s">
        <v>10</v>
      </c>
      <c r="C13219" s="4" t="s">
        <v>11</v>
      </c>
      <c r="H13219" s="2" t="s">
        <v>12</v>
      </c>
    </row>
    <row r="13220">
      <c r="A13220" s="0" t="s">
        <v>13</v>
      </c>
      <c r="C13220" s="0" t="s">
        <v>14</v>
      </c>
    </row>
    <row r="13221">
      <c r="A13221" s="0" t="s">
        <v>15</v>
      </c>
      <c r="C13221" s="0" t="s">
        <v>16</v>
      </c>
    </row>
    <row r="13222">
      <c r="A13222" s="0" t="s">
        <v>17</v>
      </c>
      <c r="C13222" s="0" t="s">
        <v>18</v>
      </c>
    </row>
    <row r="13225">
      <c r="A13225" s="5" t="s">
        <v>19</v>
      </c>
      <c r="B13225" s="5" t="s">
        <v>20</v>
      </c>
      <c r="C13225" s="7" t="s">
        <v>21</v>
      </c>
      <c r="D13225" s="9"/>
      <c r="E13225" s="7" t="s">
        <v>22</v>
      </c>
      <c r="F13225" s="9"/>
      <c r="G13225" s="5" t="s">
        <v>23</v>
      </c>
      <c r="H13225" s="5" t="s">
        <v>24</v>
      </c>
      <c r="I13225" s="5" t="s">
        <v>186</v>
      </c>
      <c r="J13225" s="5" t="s">
        <v>26</v>
      </c>
    </row>
    <row r="13226">
      <c r="A13226" s="6"/>
      <c r="B13226" s="6"/>
      <c r="C13226" s="8" t="s">
        <v>27</v>
      </c>
      <c r="D13226" s="8" t="s">
        <v>28</v>
      </c>
      <c r="E13226" s="8" t="s">
        <v>27</v>
      </c>
      <c r="F13226" s="8" t="s">
        <v>28</v>
      </c>
      <c r="G13226" s="6"/>
      <c r="H13226" s="6"/>
      <c r="I13226" s="10" t="s">
        <v>29</v>
      </c>
      <c r="J13226" s="6"/>
    </row>
    <row r="13227">
      <c r="A13227" s="11" t="s">
        <v>30</v>
      </c>
      <c r="B13227" s="12">
        <v>1004.588</v>
      </c>
      <c r="C13227" s="12">
        <v>0</v>
      </c>
      <c r="D13227" s="13">
        <v>0</v>
      </c>
      <c r="E13227" s="12">
        <v>0</v>
      </c>
      <c r="F13227" s="14">
        <v>0</v>
      </c>
      <c r="G13227" s="13">
        <v>966220</v>
      </c>
      <c r="H13227" s="14">
        <v>970653017.36</v>
      </c>
      <c r="I13227" s="14" t="e">
        <f>=Round(5101.35950000,0)</f>
        <v>#VALUE!</v>
      </c>
      <c r="J13227" s="14" t="e">
        <f>=Round(0.00000000,0)</f>
        <v>#VALUE!</v>
      </c>
    </row>
    <row r="13228">
      <c r="A13228" s="11" t="s">
        <v>31</v>
      </c>
      <c r="B13228" s="12">
        <v>1004.8406</v>
      </c>
      <c r="C13228" s="12">
        <v>0</v>
      </c>
      <c r="D13228" s="13">
        <v>0</v>
      </c>
      <c r="E13228" s="12">
        <v>0</v>
      </c>
      <c r="F13228" s="14">
        <v>0</v>
      </c>
      <c r="G13228" s="13">
        <v>966220</v>
      </c>
      <c r="H13228" s="14">
        <v>970897084.532</v>
      </c>
      <c r="I13228" s="14" t="e">
        <f>=Round(5105.21050000,0)</f>
        <v>#VALUE!</v>
      </c>
      <c r="J13228" s="14" t="e">
        <f>=Round(0.00000000,0)</f>
        <v>#VALUE!</v>
      </c>
    </row>
    <row r="13229">
      <c r="A13229" s="11" t="s">
        <v>32</v>
      </c>
      <c r="B13229" s="12">
        <v>1005.021</v>
      </c>
      <c r="C13229" s="12">
        <v>0</v>
      </c>
      <c r="D13229" s="13">
        <v>0</v>
      </c>
      <c r="E13229" s="12">
        <v>0</v>
      </c>
      <c r="F13229" s="14">
        <v>0</v>
      </c>
      <c r="G13229" s="13">
        <v>966220</v>
      </c>
      <c r="H13229" s="14">
        <v>971071390.62</v>
      </c>
      <c r="I13229" s="14" t="e">
        <f>=Round(5106.49420000,0)</f>
        <v>#VALUE!</v>
      </c>
      <c r="J13229" s="14" t="e">
        <f>=Round(0.00000000,0)</f>
        <v>#VALUE!</v>
      </c>
    </row>
    <row r="13230">
      <c r="A13230" s="11" t="s">
        <v>33</v>
      </c>
      <c r="B13230" s="12">
        <v>1005.4923</v>
      </c>
      <c r="C13230" s="12">
        <v>0</v>
      </c>
      <c r="D13230" s="13">
        <v>0</v>
      </c>
      <c r="E13230" s="12">
        <v>0</v>
      </c>
      <c r="F13230" s="14">
        <v>0</v>
      </c>
      <c r="G13230" s="13">
        <v>966220</v>
      </c>
      <c r="H13230" s="14">
        <v>971526770.106</v>
      </c>
      <c r="I13230" s="14" t="e">
        <f>=Round(5107.41100000,0)</f>
        <v>#VALUE!</v>
      </c>
      <c r="J13230" s="14" t="e">
        <f>=Round(0.00000000,0)</f>
        <v>#VALUE!</v>
      </c>
    </row>
    <row r="13231">
      <c r="A13231" s="11" t="s">
        <v>34</v>
      </c>
      <c r="B13231" s="12">
        <v>1005.7449</v>
      </c>
      <c r="C13231" s="12">
        <v>0</v>
      </c>
      <c r="D13231" s="13">
        <v>0</v>
      </c>
      <c r="E13231" s="12">
        <v>0</v>
      </c>
      <c r="F13231" s="14">
        <v>0</v>
      </c>
      <c r="G13231" s="13">
        <v>966220</v>
      </c>
      <c r="H13231" s="14">
        <v>971770837.278</v>
      </c>
      <c r="I13231" s="14" t="e">
        <f>=Round(5109.80610000,0)</f>
        <v>#VALUE!</v>
      </c>
      <c r="J13231" s="14" t="e">
        <f>=Round(0.00000000,0)</f>
        <v>#VALUE!</v>
      </c>
    </row>
    <row r="13232">
      <c r="A13232" s="11" t="s">
        <v>35</v>
      </c>
      <c r="B13232" s="12">
        <v>1005.7449</v>
      </c>
      <c r="C13232" s="12">
        <v>0</v>
      </c>
      <c r="D13232" s="13">
        <v>0</v>
      </c>
      <c r="E13232" s="12">
        <v>0</v>
      </c>
      <c r="F13232" s="14">
        <v>0</v>
      </c>
      <c r="G13232" s="13">
        <v>966220</v>
      </c>
      <c r="H13232" s="14">
        <v>971770837.278</v>
      </c>
      <c r="I13232" s="14" t="e">
        <f>=Round(5111.08980000,0)</f>
        <v>#VALUE!</v>
      </c>
      <c r="J13232" s="14" t="e">
        <f>=Round(0.00000000,0)</f>
        <v>#VALUE!</v>
      </c>
    </row>
    <row r="13233">
      <c r="A13233" s="11" t="s">
        <v>36</v>
      </c>
      <c r="B13233" s="12">
        <v>1005.7449</v>
      </c>
      <c r="C13233" s="12">
        <v>0</v>
      </c>
      <c r="D13233" s="13">
        <v>0</v>
      </c>
      <c r="E13233" s="12">
        <v>0</v>
      </c>
      <c r="F13233" s="14">
        <v>0</v>
      </c>
      <c r="G13233" s="13">
        <v>966220</v>
      </c>
      <c r="H13233" s="14">
        <v>971770837.278</v>
      </c>
      <c r="I13233" s="14" t="e">
        <f>=Round(5111.08980000,0)</f>
        <v>#VALUE!</v>
      </c>
      <c r="J13233" s="14" t="e">
        <f>=Round(0.00000000,0)</f>
        <v>#VALUE!</v>
      </c>
    </row>
    <row r="13234">
      <c r="A13234" s="11" t="s">
        <v>37</v>
      </c>
      <c r="B13234" s="12">
        <v>1006.5026</v>
      </c>
      <c r="C13234" s="12">
        <v>0</v>
      </c>
      <c r="D13234" s="13">
        <v>0</v>
      </c>
      <c r="E13234" s="12">
        <v>0</v>
      </c>
      <c r="F13234" s="14">
        <v>0</v>
      </c>
      <c r="G13234" s="13">
        <v>966220</v>
      </c>
      <c r="H13234" s="14">
        <v>972502942.172</v>
      </c>
      <c r="I13234" s="14" t="e">
        <f>=Round(5111.08980000,0)</f>
        <v>#VALUE!</v>
      </c>
      <c r="J13234" s="14" t="e">
        <f>=Round(0.00000000,0)</f>
        <v>#VALUE!</v>
      </c>
    </row>
    <row r="13235">
      <c r="A13235" s="11" t="s">
        <v>38</v>
      </c>
      <c r="B13235" s="12">
        <v>1006.7552</v>
      </c>
      <c r="C13235" s="12">
        <v>0</v>
      </c>
      <c r="D13235" s="13">
        <v>0</v>
      </c>
      <c r="E13235" s="12">
        <v>0</v>
      </c>
      <c r="F13235" s="14">
        <v>0</v>
      </c>
      <c r="G13235" s="13">
        <v>966220</v>
      </c>
      <c r="H13235" s="14">
        <v>972747009.344</v>
      </c>
      <c r="I13235" s="14" t="e">
        <f>=Round(5114.94030000,0)</f>
        <v>#VALUE!</v>
      </c>
      <c r="J13235" s="14" t="e">
        <f>=Round(0.00000000,0)</f>
        <v>#VALUE!</v>
      </c>
    </row>
    <row r="13236">
      <c r="A13236" s="11" t="s">
        <v>39</v>
      </c>
      <c r="B13236" s="12">
        <v>1008.0125</v>
      </c>
      <c r="C13236" s="12">
        <v>0</v>
      </c>
      <c r="D13236" s="13">
        <v>0</v>
      </c>
      <c r="E13236" s="12">
        <v>0</v>
      </c>
      <c r="F13236" s="14">
        <v>0</v>
      </c>
      <c r="G13236" s="13">
        <v>966220</v>
      </c>
      <c r="H13236" s="14">
        <v>973961837.75</v>
      </c>
      <c r="I13236" s="14" t="e">
        <f>=Round(5116.22400000,0)</f>
        <v>#VALUE!</v>
      </c>
      <c r="J13236" s="14" t="e">
        <f>=Round(0.00000000,0)</f>
        <v>#VALUE!</v>
      </c>
    </row>
    <row r="13237">
      <c r="A13237" s="11" t="s">
        <v>40</v>
      </c>
      <c r="B13237" s="12">
        <v>1008.5728</v>
      </c>
      <c r="C13237" s="12">
        <v>0</v>
      </c>
      <c r="D13237" s="13">
        <v>0</v>
      </c>
      <c r="E13237" s="12">
        <v>0</v>
      </c>
      <c r="F13237" s="14">
        <v>0</v>
      </c>
      <c r="G13237" s="13">
        <v>966220</v>
      </c>
      <c r="H13237" s="14">
        <v>974503210.816</v>
      </c>
      <c r="I13237" s="14" t="e">
        <f>=Round(5122.61350000,0)</f>
        <v>#VALUE!</v>
      </c>
      <c r="J13237" s="14" t="e">
        <f>=Round(0.00000000,0)</f>
        <v>#VALUE!</v>
      </c>
    </row>
    <row r="13238">
      <c r="A13238" s="11" t="s">
        <v>41</v>
      </c>
      <c r="B13238" s="12">
        <v>1009.1667</v>
      </c>
      <c r="C13238" s="12">
        <v>0</v>
      </c>
      <c r="D13238" s="13">
        <v>0</v>
      </c>
      <c r="E13238" s="12">
        <v>0</v>
      </c>
      <c r="F13238" s="14">
        <v>0</v>
      </c>
      <c r="G13238" s="13">
        <v>966220</v>
      </c>
      <c r="H13238" s="14">
        <v>975077048.874</v>
      </c>
      <c r="I13238" s="14" t="e">
        <f>=Round(5125.46090000,0)</f>
        <v>#VALUE!</v>
      </c>
      <c r="J13238" s="14" t="e">
        <f>=Round(0.00000000,0)</f>
        <v>#VALUE!</v>
      </c>
    </row>
    <row r="13239">
      <c r="A13239" s="11" t="s">
        <v>42</v>
      </c>
      <c r="B13239" s="12">
        <v>1009.1667</v>
      </c>
      <c r="C13239" s="12">
        <v>0</v>
      </c>
      <c r="D13239" s="13">
        <v>0</v>
      </c>
      <c r="E13239" s="12">
        <v>0</v>
      </c>
      <c r="F13239" s="14">
        <v>0</v>
      </c>
      <c r="G13239" s="13">
        <v>966220</v>
      </c>
      <c r="H13239" s="14">
        <v>975077048.874</v>
      </c>
      <c r="I13239" s="14" t="e">
        <f>=Round(5128.47900000,0)</f>
        <v>#VALUE!</v>
      </c>
      <c r="J13239" s="14" t="e">
        <f>=Round(0.00000000,0)</f>
        <v>#VALUE!</v>
      </c>
    </row>
    <row r="13240">
      <c r="A13240" s="11" t="s">
        <v>43</v>
      </c>
      <c r="B13240" s="12">
        <v>1009.1667</v>
      </c>
      <c r="C13240" s="12">
        <v>0</v>
      </c>
      <c r="D13240" s="13">
        <v>0</v>
      </c>
      <c r="E13240" s="12">
        <v>0</v>
      </c>
      <c r="F13240" s="14">
        <v>0</v>
      </c>
      <c r="G13240" s="13">
        <v>966220</v>
      </c>
      <c r="H13240" s="14">
        <v>975077048.874</v>
      </c>
      <c r="I13240" s="14" t="e">
        <f>=Round(5128.47900000,0)</f>
        <v>#VALUE!</v>
      </c>
      <c r="J13240" s="14" t="e">
        <f>=Round(0.00000000,0)</f>
        <v>#VALUE!</v>
      </c>
    </row>
    <row r="13241">
      <c r="A13241" s="11" t="s">
        <v>44</v>
      </c>
      <c r="B13241" s="12">
        <v>1010.6229</v>
      </c>
      <c r="C13241" s="12">
        <v>0</v>
      </c>
      <c r="D13241" s="13">
        <v>0</v>
      </c>
      <c r="E13241" s="12">
        <v>0</v>
      </c>
      <c r="F13241" s="14">
        <v>0</v>
      </c>
      <c r="G13241" s="13">
        <v>966220</v>
      </c>
      <c r="H13241" s="14">
        <v>976484058.438</v>
      </c>
      <c r="I13241" s="14" t="e">
        <f>=Round(5128.47900000,0)</f>
        <v>#VALUE!</v>
      </c>
      <c r="J13241" s="14" t="e">
        <f>=Round(0.00000000,0)</f>
        <v>#VALUE!</v>
      </c>
    </row>
    <row r="13242">
      <c r="A13242" s="11" t="s">
        <v>45</v>
      </c>
      <c r="B13242" s="12">
        <v>1010.8755</v>
      </c>
      <c r="C13242" s="12">
        <v>0</v>
      </c>
      <c r="D13242" s="13">
        <v>0</v>
      </c>
      <c r="E13242" s="12">
        <v>0</v>
      </c>
      <c r="F13242" s="14">
        <v>0</v>
      </c>
      <c r="G13242" s="13">
        <v>966220</v>
      </c>
      <c r="H13242" s="14">
        <v>976728125.61</v>
      </c>
      <c r="I13242" s="14" t="e">
        <f>=Round(5135.87930000,0)</f>
        <v>#VALUE!</v>
      </c>
      <c r="J13242" s="14" t="e">
        <f>=Round(0.00000000,0)</f>
        <v>#VALUE!</v>
      </c>
    </row>
    <row r="13243">
      <c r="A13243" s="11" t="s">
        <v>46</v>
      </c>
      <c r="B13243" s="12">
        <v>1011.3053</v>
      </c>
      <c r="C13243" s="12">
        <v>0</v>
      </c>
      <c r="D13243" s="13">
        <v>0</v>
      </c>
      <c r="E13243" s="12">
        <v>0</v>
      </c>
      <c r="F13243" s="14">
        <v>0</v>
      </c>
      <c r="G13243" s="13">
        <v>966220</v>
      </c>
      <c r="H13243" s="14">
        <v>977143406.966</v>
      </c>
      <c r="I13243" s="14" t="e">
        <f>=Round(5137.16300000,0)</f>
        <v>#VALUE!</v>
      </c>
      <c r="J13243" s="14" t="e">
        <f>=Round(0.00000000,0)</f>
        <v>#VALUE!</v>
      </c>
    </row>
    <row r="13244">
      <c r="A13244" s="11" t="s">
        <v>47</v>
      </c>
      <c r="B13244" s="12">
        <v>1011.8249</v>
      </c>
      <c r="C13244" s="12">
        <v>0</v>
      </c>
      <c r="D13244" s="13">
        <v>0</v>
      </c>
      <c r="E13244" s="12">
        <v>0</v>
      </c>
      <c r="F13244" s="14">
        <v>0</v>
      </c>
      <c r="G13244" s="13">
        <v>966220</v>
      </c>
      <c r="H13244" s="14">
        <v>977645454.878</v>
      </c>
      <c r="I13244" s="14" t="e">
        <f>=Round(5139.34720000,0)</f>
        <v>#VALUE!</v>
      </c>
      <c r="J13244" s="14" t="e">
        <f>=Round(0.00000000,0)</f>
        <v>#VALUE!</v>
      </c>
    </row>
    <row r="13245">
      <c r="A13245" s="11" t="s">
        <v>48</v>
      </c>
      <c r="B13245" s="12">
        <v>1012.629</v>
      </c>
      <c r="C13245" s="12">
        <v>0</v>
      </c>
      <c r="D13245" s="13">
        <v>0</v>
      </c>
      <c r="E13245" s="12">
        <v>0</v>
      </c>
      <c r="F13245" s="14">
        <v>0</v>
      </c>
      <c r="G13245" s="13">
        <v>966220</v>
      </c>
      <c r="H13245" s="14">
        <v>978422392.38</v>
      </c>
      <c r="I13245" s="14" t="e">
        <f>=Round(5141.98770000,0)</f>
        <v>#VALUE!</v>
      </c>
      <c r="J13245" s="14" t="e">
        <f>=Round(0.00000000,0)</f>
        <v>#VALUE!</v>
      </c>
    </row>
    <row r="13246">
      <c r="A13246" s="11" t="s">
        <v>49</v>
      </c>
      <c r="B13246" s="12">
        <v>1012.629</v>
      </c>
      <c r="C13246" s="12">
        <v>0</v>
      </c>
      <c r="D13246" s="13">
        <v>0</v>
      </c>
      <c r="E13246" s="12">
        <v>0</v>
      </c>
      <c r="F13246" s="14">
        <v>0</v>
      </c>
      <c r="G13246" s="13">
        <v>966220</v>
      </c>
      <c r="H13246" s="14">
        <v>978422392.38</v>
      </c>
      <c r="I13246" s="14" t="e">
        <f>=Round(5146.07410000,0)</f>
        <v>#VALUE!</v>
      </c>
      <c r="J13246" s="14" t="e">
        <f>=Round(0.00000000,0)</f>
        <v>#VALUE!</v>
      </c>
    </row>
    <row r="13247">
      <c r="A13247" s="11" t="s">
        <v>50</v>
      </c>
      <c r="B13247" s="12">
        <v>1012.629</v>
      </c>
      <c r="C13247" s="12">
        <v>0</v>
      </c>
      <c r="D13247" s="13">
        <v>0</v>
      </c>
      <c r="E13247" s="12">
        <v>0</v>
      </c>
      <c r="F13247" s="14">
        <v>0</v>
      </c>
      <c r="G13247" s="13">
        <v>966220</v>
      </c>
      <c r="H13247" s="14">
        <v>978422392.38</v>
      </c>
      <c r="I13247" s="14" t="e">
        <f>=Round(5146.07410000,0)</f>
        <v>#VALUE!</v>
      </c>
      <c r="J13247" s="14" t="e">
        <f>=Round(0.00000000,0)</f>
        <v>#VALUE!</v>
      </c>
    </row>
    <row r="13248">
      <c r="A13248" s="11" t="s">
        <v>51</v>
      </c>
      <c r="B13248" s="12">
        <v>1013.3866</v>
      </c>
      <c r="C13248" s="12">
        <v>0</v>
      </c>
      <c r="D13248" s="13">
        <v>0</v>
      </c>
      <c r="E13248" s="12">
        <v>0</v>
      </c>
      <c r="F13248" s="14">
        <v>0</v>
      </c>
      <c r="G13248" s="13">
        <v>966220</v>
      </c>
      <c r="H13248" s="14">
        <v>979154400.652</v>
      </c>
      <c r="I13248" s="14" t="e">
        <f>=Round(5146.07410000,0)</f>
        <v>#VALUE!</v>
      </c>
      <c r="J13248" s="14" t="e">
        <f>=Round(0.00000000,0)</f>
        <v>#VALUE!</v>
      </c>
    </row>
    <row r="13249">
      <c r="A13249" s="11" t="s">
        <v>52</v>
      </c>
      <c r="B13249" s="12">
        <v>1013.6179</v>
      </c>
      <c r="C13249" s="12">
        <v>0</v>
      </c>
      <c r="D13249" s="13">
        <v>0</v>
      </c>
      <c r="E13249" s="12">
        <v>0</v>
      </c>
      <c r="F13249" s="14">
        <v>0</v>
      </c>
      <c r="G13249" s="13">
        <v>966220</v>
      </c>
      <c r="H13249" s="14">
        <v>979377887.338</v>
      </c>
      <c r="I13249" s="14" t="e">
        <f>=Round(5149.92410000,0)</f>
        <v>#VALUE!</v>
      </c>
      <c r="J13249" s="14" t="e">
        <f>=Round(0.00000000,0)</f>
        <v>#VALUE!</v>
      </c>
    </row>
    <row r="13250">
      <c r="A13250" s="11" t="s">
        <v>53</v>
      </c>
      <c r="B13250" s="12">
        <v>1019.418</v>
      </c>
      <c r="C13250" s="12">
        <v>0</v>
      </c>
      <c r="D13250" s="13">
        <v>0</v>
      </c>
      <c r="E13250" s="12">
        <v>0</v>
      </c>
      <c r="F13250" s="14">
        <v>0</v>
      </c>
      <c r="G13250" s="13">
        <v>966220</v>
      </c>
      <c r="H13250" s="14">
        <v>984982059.96</v>
      </c>
      <c r="I13250" s="14" t="e">
        <f>=Round(5151.09950000,0)</f>
        <v>#VALUE!</v>
      </c>
      <c r="J13250" s="14" t="e">
        <f>=Round(0.00000000,0)</f>
        <v>#VALUE!</v>
      </c>
    </row>
    <row r="13251">
      <c r="A13251" s="11" t="s">
        <v>54</v>
      </c>
      <c r="B13251" s="12">
        <v>1019.6705</v>
      </c>
      <c r="C13251" s="12">
        <v>0</v>
      </c>
      <c r="D13251" s="13">
        <v>0</v>
      </c>
      <c r="E13251" s="12">
        <v>0</v>
      </c>
      <c r="F13251" s="14">
        <v>0</v>
      </c>
      <c r="G13251" s="13">
        <v>966220</v>
      </c>
      <c r="H13251" s="14">
        <v>985226030.51</v>
      </c>
      <c r="I13251" s="14" t="e">
        <f>=Round(5180.57500000,0)</f>
        <v>#VALUE!</v>
      </c>
      <c r="J13251" s="14" t="e">
        <f>=Round(0.00000000,0)</f>
        <v>#VALUE!</v>
      </c>
    </row>
    <row r="13252">
      <c r="A13252" s="11" t="s">
        <v>55</v>
      </c>
      <c r="B13252" s="12">
        <v>1019.911</v>
      </c>
      <c r="C13252" s="12">
        <v>0</v>
      </c>
      <c r="D13252" s="13">
        <v>0</v>
      </c>
      <c r="E13252" s="12">
        <v>0</v>
      </c>
      <c r="F13252" s="14">
        <v>0</v>
      </c>
      <c r="G13252" s="13">
        <v>966220</v>
      </c>
      <c r="H13252" s="14">
        <v>985458406.42</v>
      </c>
      <c r="I13252" s="14" t="e">
        <f>=Round(5181.85820000,0)</f>
        <v>#VALUE!</v>
      </c>
      <c r="J13252" s="14" t="e">
        <f>=Round(0.00000000,0)</f>
        <v>#VALUE!</v>
      </c>
    </row>
    <row r="13253" ht="-1">
      <c r="A13253" s="15"/>
      <c r="B13253" s="16" t="s">
        <v>56</v>
      </c>
      <c r="C13253" s="15"/>
      <c r="D13253" s="15"/>
      <c r="E13253" s="15"/>
      <c r="F13253" s="15"/>
      <c r="G13253" s="15"/>
      <c r="H13253" s="15"/>
      <c r="I13253" s="17" t="e">
        <f>=Round(SUM(I13227:I13252),0)</f>
        <v>#VALUE!</v>
      </c>
      <c r="J13253" s="17" t="e">
        <f>=Round(SUM(J13227:J13252),0)</f>
        <v>#VALUE!</v>
      </c>
    </row>
    <row r="13254">
      <c r="A13254" s="1" t="s">
        <v>0</v>
      </c>
      <c r="B13254" s="1"/>
      <c r="C13254" s="1"/>
      <c r="D13254" s="1"/>
    </row>
    <row r="13255">
      <c r="A13255" s="0" t="s">
        <v>1</v>
      </c>
      <c r="C13255" s="0" t="s">
        <v>444</v>
      </c>
      <c r="H13255" s="2" t="s">
        <v>3</v>
      </c>
    </row>
    <row r="13256">
      <c r="A13256" s="0" t="s">
        <v>4</v>
      </c>
      <c r="C13256" s="0" t="s">
        <v>126</v>
      </c>
      <c r="H13256" s="3" t="s">
        <v>6</v>
      </c>
    </row>
    <row r="13257">
      <c r="A13257" s="0" t="s">
        <v>7</v>
      </c>
      <c r="C13257" s="4" t="s">
        <v>335</v>
      </c>
      <c r="H13257" s="2" t="s">
        <v>9</v>
      </c>
    </row>
    <row r="13258">
      <c r="A13258" s="0" t="s">
        <v>10</v>
      </c>
      <c r="C13258" s="4" t="s">
        <v>11</v>
      </c>
      <c r="H13258" s="2" t="s">
        <v>12</v>
      </c>
    </row>
    <row r="13259">
      <c r="A13259" s="0" t="s">
        <v>13</v>
      </c>
      <c r="C13259" s="0" t="s">
        <v>14</v>
      </c>
    </row>
    <row r="13260">
      <c r="A13260" s="0" t="s">
        <v>15</v>
      </c>
      <c r="C13260" s="0" t="s">
        <v>16</v>
      </c>
    </row>
    <row r="13261">
      <c r="A13261" s="0" t="s">
        <v>17</v>
      </c>
      <c r="C13261" s="0" t="s">
        <v>18</v>
      </c>
    </row>
    <row r="13264">
      <c r="A13264" s="5" t="s">
        <v>19</v>
      </c>
      <c r="B13264" s="5" t="s">
        <v>20</v>
      </c>
      <c r="C13264" s="7" t="s">
        <v>21</v>
      </c>
      <c r="D13264" s="9"/>
      <c r="E13264" s="7" t="s">
        <v>22</v>
      </c>
      <c r="F13264" s="9"/>
      <c r="G13264" s="5" t="s">
        <v>23</v>
      </c>
      <c r="H13264" s="5" t="s">
        <v>24</v>
      </c>
      <c r="I13264" s="5" t="s">
        <v>336</v>
      </c>
      <c r="J13264" s="5" t="s">
        <v>26</v>
      </c>
    </row>
    <row r="13265">
      <c r="A13265" s="6"/>
      <c r="B13265" s="6"/>
      <c r="C13265" s="8" t="s">
        <v>27</v>
      </c>
      <c r="D13265" s="8" t="s">
        <v>28</v>
      </c>
      <c r="E13265" s="8" t="s">
        <v>27</v>
      </c>
      <c r="F13265" s="8" t="s">
        <v>28</v>
      </c>
      <c r="G13265" s="6"/>
      <c r="H13265" s="6"/>
      <c r="I13265" s="10" t="s">
        <v>29</v>
      </c>
      <c r="J13265" s="6"/>
    </row>
    <row r="13266">
      <c r="A13266" s="11" t="s">
        <v>30</v>
      </c>
      <c r="B13266" s="12">
        <v>972.401</v>
      </c>
      <c r="C13266" s="12">
        <v>0</v>
      </c>
      <c r="D13266" s="13">
        <v>0</v>
      </c>
      <c r="E13266" s="12">
        <v>0</v>
      </c>
      <c r="F13266" s="14">
        <v>0</v>
      </c>
      <c r="G13266" s="13">
        <v>198000000</v>
      </c>
      <c r="H13266" s="14">
        <v>192535398000</v>
      </c>
      <c r="I13266" s="14" t="e">
        <f>=Round(1445622.20900000,0)</f>
        <v>#VALUE!</v>
      </c>
      <c r="J13266" s="14" t="e">
        <f>=Round(0.00000000,0)</f>
        <v>#VALUE!</v>
      </c>
    </row>
    <row r="13267">
      <c r="A13267" s="11" t="s">
        <v>31</v>
      </c>
      <c r="B13267" s="12">
        <v>972.628</v>
      </c>
      <c r="C13267" s="12">
        <v>0</v>
      </c>
      <c r="D13267" s="13">
        <v>0</v>
      </c>
      <c r="E13267" s="12">
        <v>0</v>
      </c>
      <c r="F13267" s="14">
        <v>0</v>
      </c>
      <c r="G13267" s="13">
        <v>198000000</v>
      </c>
      <c r="H13267" s="14">
        <v>192580344000</v>
      </c>
      <c r="I13267" s="14" t="e">
        <f>=Round(1446645.75000000,0)</f>
        <v>#VALUE!</v>
      </c>
      <c r="J13267" s="14" t="e">
        <f>=Round(0.00000000,0)</f>
        <v>#VALUE!</v>
      </c>
    </row>
    <row r="13268">
      <c r="A13268" s="11" t="s">
        <v>32</v>
      </c>
      <c r="B13268" s="12">
        <v>972.855</v>
      </c>
      <c r="C13268" s="12">
        <v>0</v>
      </c>
      <c r="D13268" s="13">
        <v>0</v>
      </c>
      <c r="E13268" s="12">
        <v>0</v>
      </c>
      <c r="F13268" s="14">
        <v>0</v>
      </c>
      <c r="G13268" s="13">
        <v>198000000</v>
      </c>
      <c r="H13268" s="14">
        <v>192625290000</v>
      </c>
      <c r="I13268" s="14" t="e">
        <f>=Round(1446983.45900000,0)</f>
        <v>#VALUE!</v>
      </c>
      <c r="J13268" s="14" t="e">
        <f>=Round(0.00000000,0)</f>
        <v>#VALUE!</v>
      </c>
    </row>
    <row r="13269">
      <c r="A13269" s="11" t="s">
        <v>33</v>
      </c>
      <c r="B13269" s="12">
        <v>973.082</v>
      </c>
      <c r="C13269" s="12">
        <v>0</v>
      </c>
      <c r="D13269" s="13">
        <v>0</v>
      </c>
      <c r="E13269" s="12">
        <v>0</v>
      </c>
      <c r="F13269" s="14">
        <v>0</v>
      </c>
      <c r="G13269" s="13">
        <v>198000000</v>
      </c>
      <c r="H13269" s="14">
        <v>192670236000</v>
      </c>
      <c r="I13269" s="14" t="e">
        <f>=Round(1447321.16800000,0)</f>
        <v>#VALUE!</v>
      </c>
      <c r="J13269" s="14" t="e">
        <f>=Round(0.00000000,0)</f>
        <v>#VALUE!</v>
      </c>
    </row>
    <row r="13270">
      <c r="A13270" s="11" t="s">
        <v>34</v>
      </c>
      <c r="B13270" s="12">
        <v>973.175</v>
      </c>
      <c r="C13270" s="12">
        <v>0</v>
      </c>
      <c r="D13270" s="13">
        <v>0</v>
      </c>
      <c r="E13270" s="12">
        <v>0</v>
      </c>
      <c r="F13270" s="14">
        <v>0</v>
      </c>
      <c r="G13270" s="13">
        <v>198000000</v>
      </c>
      <c r="H13270" s="14">
        <v>192688650000</v>
      </c>
      <c r="I13270" s="14" t="e">
        <f>=Round(1447658.87700000,0)</f>
        <v>#VALUE!</v>
      </c>
      <c r="J13270" s="14" t="e">
        <f>=Round(0.00000000,0)</f>
        <v>#VALUE!</v>
      </c>
    </row>
    <row r="13271">
      <c r="A13271" s="11" t="s">
        <v>35</v>
      </c>
      <c r="B13271" s="12">
        <v>973.175</v>
      </c>
      <c r="C13271" s="12">
        <v>0</v>
      </c>
      <c r="D13271" s="13">
        <v>0</v>
      </c>
      <c r="E13271" s="12">
        <v>0</v>
      </c>
      <c r="F13271" s="14">
        <v>0</v>
      </c>
      <c r="G13271" s="13">
        <v>198000000</v>
      </c>
      <c r="H13271" s="14">
        <v>192688650000</v>
      </c>
      <c r="I13271" s="14" t="e">
        <f>=Round(1447797.23360000,0)</f>
        <v>#VALUE!</v>
      </c>
      <c r="J13271" s="14" t="e">
        <f>=Round(0.00000000,0)</f>
        <v>#VALUE!</v>
      </c>
    </row>
    <row r="13272">
      <c r="A13272" s="11" t="s">
        <v>36</v>
      </c>
      <c r="B13272" s="12">
        <v>973.175</v>
      </c>
      <c r="C13272" s="12">
        <v>0</v>
      </c>
      <c r="D13272" s="13">
        <v>0</v>
      </c>
      <c r="E13272" s="12">
        <v>0</v>
      </c>
      <c r="F13272" s="14">
        <v>0</v>
      </c>
      <c r="G13272" s="13">
        <v>198000000</v>
      </c>
      <c r="H13272" s="14">
        <v>192688650000</v>
      </c>
      <c r="I13272" s="14" t="e">
        <f>=Round(1447797.23360000,0)</f>
        <v>#VALUE!</v>
      </c>
      <c r="J13272" s="14" t="e">
        <f>=Round(0.00000000,0)</f>
        <v>#VALUE!</v>
      </c>
    </row>
    <row r="13273">
      <c r="A13273" s="11" t="s">
        <v>37</v>
      </c>
      <c r="B13273" s="12">
        <v>973.856</v>
      </c>
      <c r="C13273" s="12">
        <v>0</v>
      </c>
      <c r="D13273" s="13">
        <v>0</v>
      </c>
      <c r="E13273" s="12">
        <v>0</v>
      </c>
      <c r="F13273" s="14">
        <v>0</v>
      </c>
      <c r="G13273" s="13">
        <v>198000000</v>
      </c>
      <c r="H13273" s="14">
        <v>192823488000</v>
      </c>
      <c r="I13273" s="14" t="e">
        <f>=Round(1447797.23360000,0)</f>
        <v>#VALUE!</v>
      </c>
      <c r="J13273" s="14" t="e">
        <f>=Round(0.00000000,0)</f>
        <v>#VALUE!</v>
      </c>
    </row>
    <row r="13274">
      <c r="A13274" s="11" t="s">
        <v>38</v>
      </c>
      <c r="B13274" s="12">
        <v>974.083</v>
      </c>
      <c r="C13274" s="12">
        <v>0</v>
      </c>
      <c r="D13274" s="13">
        <v>0</v>
      </c>
      <c r="E13274" s="12">
        <v>0</v>
      </c>
      <c r="F13274" s="14">
        <v>0</v>
      </c>
      <c r="G13274" s="13">
        <v>198000000</v>
      </c>
      <c r="H13274" s="14">
        <v>192868434000</v>
      </c>
      <c r="I13274" s="14" t="e">
        <f>=Round(1448810.36070000,0)</f>
        <v>#VALUE!</v>
      </c>
      <c r="J13274" s="14" t="e">
        <f>=Round(0.00000000,0)</f>
        <v>#VALUE!</v>
      </c>
    </row>
    <row r="13275">
      <c r="A13275" s="11" t="s">
        <v>39</v>
      </c>
      <c r="B13275" s="12">
        <v>974.306</v>
      </c>
      <c r="C13275" s="12">
        <v>0</v>
      </c>
      <c r="D13275" s="13">
        <v>0</v>
      </c>
      <c r="E13275" s="12">
        <v>0</v>
      </c>
      <c r="F13275" s="14">
        <v>0</v>
      </c>
      <c r="G13275" s="13">
        <v>198000000</v>
      </c>
      <c r="H13275" s="14">
        <v>192912588000</v>
      </c>
      <c r="I13275" s="14" t="e">
        <f>=Round(1449148.06970000,0)</f>
        <v>#VALUE!</v>
      </c>
      <c r="J13275" s="14" t="e">
        <f>=Round(0.00000000,0)</f>
        <v>#VALUE!</v>
      </c>
    </row>
    <row r="13276">
      <c r="A13276" s="11" t="s">
        <v>40</v>
      </c>
      <c r="B13276" s="12">
        <v>974.6</v>
      </c>
      <c r="C13276" s="12">
        <v>0</v>
      </c>
      <c r="D13276" s="13">
        <v>0</v>
      </c>
      <c r="E13276" s="12">
        <v>0</v>
      </c>
      <c r="F13276" s="14">
        <v>0</v>
      </c>
      <c r="G13276" s="13">
        <v>198000000</v>
      </c>
      <c r="H13276" s="14">
        <v>192970800000</v>
      </c>
      <c r="I13276" s="14" t="e">
        <f>=Round(1449479.82790000,0)</f>
        <v>#VALUE!</v>
      </c>
      <c r="J13276" s="14" t="e">
        <f>=Round(0.00000000,0)</f>
        <v>#VALUE!</v>
      </c>
    </row>
    <row r="13277">
      <c r="A13277" s="11" t="s">
        <v>41</v>
      </c>
      <c r="B13277" s="12">
        <v>974.827</v>
      </c>
      <c r="C13277" s="12">
        <v>0</v>
      </c>
      <c r="D13277" s="13">
        <v>0</v>
      </c>
      <c r="E13277" s="12">
        <v>0</v>
      </c>
      <c r="F13277" s="14">
        <v>0</v>
      </c>
      <c r="G13277" s="13">
        <v>198000000</v>
      </c>
      <c r="H13277" s="14">
        <v>193015746000</v>
      </c>
      <c r="I13277" s="14" t="e">
        <f>=Round(1449917.21310000,0)</f>
        <v>#VALUE!</v>
      </c>
      <c r="J13277" s="14" t="e">
        <f>=Round(0.00000000,0)</f>
        <v>#VALUE!</v>
      </c>
    </row>
    <row r="13278">
      <c r="A13278" s="11" t="s">
        <v>42</v>
      </c>
      <c r="B13278" s="12">
        <v>974.827</v>
      </c>
      <c r="C13278" s="12">
        <v>0</v>
      </c>
      <c r="D13278" s="13">
        <v>0</v>
      </c>
      <c r="E13278" s="12">
        <v>0</v>
      </c>
      <c r="F13278" s="14">
        <v>0</v>
      </c>
      <c r="G13278" s="13">
        <v>198000000</v>
      </c>
      <c r="H13278" s="14">
        <v>193015746000</v>
      </c>
      <c r="I13278" s="14" t="e">
        <f>=Round(1450254.92210000,0)</f>
        <v>#VALUE!</v>
      </c>
      <c r="J13278" s="14" t="e">
        <f>=Round(0.00000000,0)</f>
        <v>#VALUE!</v>
      </c>
    </row>
    <row r="13279">
      <c r="A13279" s="11" t="s">
        <v>43</v>
      </c>
      <c r="B13279" s="12">
        <v>974.827</v>
      </c>
      <c r="C13279" s="12">
        <v>0</v>
      </c>
      <c r="D13279" s="13">
        <v>0</v>
      </c>
      <c r="E13279" s="12">
        <v>0</v>
      </c>
      <c r="F13279" s="14">
        <v>0</v>
      </c>
      <c r="G13279" s="13">
        <v>198000000</v>
      </c>
      <c r="H13279" s="14">
        <v>193015746000</v>
      </c>
      <c r="I13279" s="14" t="e">
        <f>=Round(1450254.92210000,0)</f>
        <v>#VALUE!</v>
      </c>
      <c r="J13279" s="14" t="e">
        <f>=Round(0.00000000,0)</f>
        <v>#VALUE!</v>
      </c>
    </row>
    <row r="13280">
      <c r="A13280" s="11" t="s">
        <v>44</v>
      </c>
      <c r="B13280" s="12">
        <v>975.48</v>
      </c>
      <c r="C13280" s="12">
        <v>0</v>
      </c>
      <c r="D13280" s="13">
        <v>0</v>
      </c>
      <c r="E13280" s="12">
        <v>0</v>
      </c>
      <c r="F13280" s="14">
        <v>0</v>
      </c>
      <c r="G13280" s="13">
        <v>198000000</v>
      </c>
      <c r="H13280" s="14">
        <v>193145040000</v>
      </c>
      <c r="I13280" s="14" t="e">
        <f>=Round(1450254.92210000,0)</f>
        <v>#VALUE!</v>
      </c>
      <c r="J13280" s="14" t="e">
        <f>=Round(0.00000000,0)</f>
        <v>#VALUE!</v>
      </c>
    </row>
    <row r="13281">
      <c r="A13281" s="11" t="s">
        <v>45</v>
      </c>
      <c r="B13281" s="12">
        <v>975.707</v>
      </c>
      <c r="C13281" s="12">
        <v>0</v>
      </c>
      <c r="D13281" s="13">
        <v>0</v>
      </c>
      <c r="E13281" s="12">
        <v>0</v>
      </c>
      <c r="F13281" s="14">
        <v>0</v>
      </c>
      <c r="G13281" s="13">
        <v>198000000</v>
      </c>
      <c r="H13281" s="14">
        <v>193189986000</v>
      </c>
      <c r="I13281" s="14" t="e">
        <f>=Round(1451226.39340000,0)</f>
        <v>#VALUE!</v>
      </c>
      <c r="J13281" s="14" t="e">
        <f>=Round(0.00000000,0)</f>
        <v>#VALUE!</v>
      </c>
    </row>
    <row r="13282">
      <c r="A13282" s="11" t="s">
        <v>46</v>
      </c>
      <c r="B13282" s="12">
        <v>975.699</v>
      </c>
      <c r="C13282" s="12">
        <v>0</v>
      </c>
      <c r="D13282" s="13">
        <v>0</v>
      </c>
      <c r="E13282" s="12">
        <v>0</v>
      </c>
      <c r="F13282" s="14">
        <v>0</v>
      </c>
      <c r="G13282" s="13">
        <v>198000000</v>
      </c>
      <c r="H13282" s="14">
        <v>193188402000</v>
      </c>
      <c r="I13282" s="14" t="e">
        <f>=Round(1451564.10250000,0)</f>
        <v>#VALUE!</v>
      </c>
      <c r="J13282" s="14" t="e">
        <f>=Round(0.00000000,0)</f>
        <v>#VALUE!</v>
      </c>
    </row>
    <row r="13283">
      <c r="A13283" s="11" t="s">
        <v>47</v>
      </c>
      <c r="B13283" s="12">
        <v>975.835</v>
      </c>
      <c r="C13283" s="12">
        <v>0</v>
      </c>
      <c r="D13283" s="13">
        <v>0</v>
      </c>
      <c r="E13283" s="12">
        <v>0</v>
      </c>
      <c r="F13283" s="14">
        <v>0</v>
      </c>
      <c r="G13283" s="13">
        <v>198000000</v>
      </c>
      <c r="H13283" s="14">
        <v>193215330000</v>
      </c>
      <c r="I13283" s="14" t="e">
        <f>=Round(1451552.20080000,0)</f>
        <v>#VALUE!</v>
      </c>
      <c r="J13283" s="14" t="e">
        <f>=Round(0.00000000,0)</f>
        <v>#VALUE!</v>
      </c>
    </row>
    <row r="13284">
      <c r="A13284" s="11" t="s">
        <v>48</v>
      </c>
      <c r="B13284" s="12">
        <v>976.24</v>
      </c>
      <c r="C13284" s="12">
        <v>0</v>
      </c>
      <c r="D13284" s="13">
        <v>0</v>
      </c>
      <c r="E13284" s="12">
        <v>0</v>
      </c>
      <c r="F13284" s="14">
        <v>0</v>
      </c>
      <c r="G13284" s="13">
        <v>198000000</v>
      </c>
      <c r="H13284" s="14">
        <v>193295520000</v>
      </c>
      <c r="I13284" s="14" t="e">
        <f>=Round(1451754.52870000,0)</f>
        <v>#VALUE!</v>
      </c>
      <c r="J13284" s="14" t="e">
        <f>=Round(0.00000000,0)</f>
        <v>#VALUE!</v>
      </c>
    </row>
    <row r="13285">
      <c r="A13285" s="11" t="s">
        <v>49</v>
      </c>
      <c r="B13285" s="12">
        <v>976.24</v>
      </c>
      <c r="C13285" s="12">
        <v>0</v>
      </c>
      <c r="D13285" s="13">
        <v>0</v>
      </c>
      <c r="E13285" s="12">
        <v>0</v>
      </c>
      <c r="F13285" s="14">
        <v>0</v>
      </c>
      <c r="G13285" s="13">
        <v>198000000</v>
      </c>
      <c r="H13285" s="14">
        <v>193295520000</v>
      </c>
      <c r="I13285" s="14" t="e">
        <f>=Round(1452357.04920000,0)</f>
        <v>#VALUE!</v>
      </c>
      <c r="J13285" s="14" t="e">
        <f>=Round(0.00000000,0)</f>
        <v>#VALUE!</v>
      </c>
    </row>
    <row r="13286">
      <c r="A13286" s="11" t="s">
        <v>50</v>
      </c>
      <c r="B13286" s="12">
        <v>976.24</v>
      </c>
      <c r="C13286" s="12">
        <v>0</v>
      </c>
      <c r="D13286" s="13">
        <v>0</v>
      </c>
      <c r="E13286" s="12">
        <v>0</v>
      </c>
      <c r="F13286" s="14">
        <v>0</v>
      </c>
      <c r="G13286" s="13">
        <v>198000000</v>
      </c>
      <c r="H13286" s="14">
        <v>193295520000</v>
      </c>
      <c r="I13286" s="14" t="e">
        <f>=Round(1452357.04920000,0)</f>
        <v>#VALUE!</v>
      </c>
      <c r="J13286" s="14" t="e">
        <f>=Round(0.00000000,0)</f>
        <v>#VALUE!</v>
      </c>
    </row>
    <row r="13287">
      <c r="A13287" s="11" t="s">
        <v>51</v>
      </c>
      <c r="B13287" s="12">
        <v>976.938</v>
      </c>
      <c r="C13287" s="12">
        <v>0</v>
      </c>
      <c r="D13287" s="13">
        <v>0</v>
      </c>
      <c r="E13287" s="12">
        <v>0</v>
      </c>
      <c r="F13287" s="14">
        <v>0</v>
      </c>
      <c r="G13287" s="13">
        <v>198000000</v>
      </c>
      <c r="H13287" s="14">
        <v>193433724000</v>
      </c>
      <c r="I13287" s="14" t="e">
        <f>=Round(1452357.04920000,0)</f>
        <v>#VALUE!</v>
      </c>
      <c r="J13287" s="14" t="e">
        <f>=Round(0.00000000,0)</f>
        <v>#VALUE!</v>
      </c>
    </row>
    <row r="13288">
      <c r="A13288" s="11" t="s">
        <v>52</v>
      </c>
      <c r="B13288" s="12">
        <v>977.165</v>
      </c>
      <c r="C13288" s="12">
        <v>0</v>
      </c>
      <c r="D13288" s="13">
        <v>0</v>
      </c>
      <c r="E13288" s="12">
        <v>0</v>
      </c>
      <c r="F13288" s="14">
        <v>0</v>
      </c>
      <c r="G13288" s="13">
        <v>198000000</v>
      </c>
      <c r="H13288" s="14">
        <v>193478670000</v>
      </c>
      <c r="I13288" s="14" t="e">
        <f>=Round(1453395.46720000,0)</f>
        <v>#VALUE!</v>
      </c>
      <c r="J13288" s="14" t="e">
        <f>=Round(0.00000000,0)</f>
        <v>#VALUE!</v>
      </c>
    </row>
    <row r="13289">
      <c r="A13289" s="11" t="s">
        <v>53</v>
      </c>
      <c r="B13289" s="12">
        <v>977.392</v>
      </c>
      <c r="C13289" s="12">
        <v>0</v>
      </c>
      <c r="D13289" s="13">
        <v>0</v>
      </c>
      <c r="E13289" s="12">
        <v>0</v>
      </c>
      <c r="F13289" s="14">
        <v>0</v>
      </c>
      <c r="G13289" s="13">
        <v>198000000</v>
      </c>
      <c r="H13289" s="14">
        <v>193523616000</v>
      </c>
      <c r="I13289" s="14" t="e">
        <f>=Round(1453733.17620000,0)</f>
        <v>#VALUE!</v>
      </c>
      <c r="J13289" s="14" t="e">
        <f>=Round(0.00000000,0)</f>
        <v>#VALUE!</v>
      </c>
    </row>
    <row r="13290">
      <c r="A13290" s="11" t="s">
        <v>54</v>
      </c>
      <c r="B13290" s="12">
        <v>977.619</v>
      </c>
      <c r="C13290" s="12">
        <v>0</v>
      </c>
      <c r="D13290" s="13">
        <v>0</v>
      </c>
      <c r="E13290" s="12">
        <v>0</v>
      </c>
      <c r="F13290" s="14">
        <v>0</v>
      </c>
      <c r="G13290" s="13">
        <v>198000000</v>
      </c>
      <c r="H13290" s="14">
        <v>193568562000</v>
      </c>
      <c r="I13290" s="14" t="e">
        <f>=Round(1454070.88520000,0)</f>
        <v>#VALUE!</v>
      </c>
      <c r="J13290" s="14" t="e">
        <f>=Round(0.00000000,0)</f>
        <v>#VALUE!</v>
      </c>
    </row>
    <row r="13291">
      <c r="A13291" s="11" t="s">
        <v>55</v>
      </c>
      <c r="B13291" s="12">
        <v>978.291</v>
      </c>
      <c r="C13291" s="12">
        <v>0</v>
      </c>
      <c r="D13291" s="13">
        <v>0</v>
      </c>
      <c r="E13291" s="12">
        <v>0</v>
      </c>
      <c r="F13291" s="14">
        <v>0</v>
      </c>
      <c r="G13291" s="13">
        <v>198000000</v>
      </c>
      <c r="H13291" s="14">
        <v>193701618000</v>
      </c>
      <c r="I13291" s="14" t="e">
        <f>=Round(1454408.59430000,0)</f>
        <v>#VALUE!</v>
      </c>
      <c r="J13291" s="14" t="e">
        <f>=Round(0.00000000,0)</f>
        <v>#VALUE!</v>
      </c>
    </row>
    <row r="13292" ht="-1">
      <c r="A13292" s="15"/>
      <c r="B13292" s="16" t="s">
        <v>56</v>
      </c>
      <c r="C13292" s="15"/>
      <c r="D13292" s="15"/>
      <c r="E13292" s="15"/>
      <c r="F13292" s="15"/>
      <c r="G13292" s="15"/>
      <c r="H13292" s="15"/>
      <c r="I13292" s="17" t="e">
        <f>=Round(SUM(I13266:I13291),0)</f>
        <v>#VALUE!</v>
      </c>
      <c r="J13292" s="17" t="e">
        <f>=Round(SUM(J13266:J13291),0)</f>
        <v>#VALUE!</v>
      </c>
    </row>
    <row r="13293">
      <c r="A13293" s="1" t="s">
        <v>0</v>
      </c>
      <c r="B13293" s="1"/>
      <c r="C13293" s="1"/>
      <c r="D13293" s="1"/>
    </row>
    <row r="13294">
      <c r="A13294" s="0" t="s">
        <v>1</v>
      </c>
      <c r="C13294" s="0" t="s">
        <v>444</v>
      </c>
      <c r="H13294" s="2" t="s">
        <v>3</v>
      </c>
    </row>
    <row r="13295">
      <c r="A13295" s="0" t="s">
        <v>4</v>
      </c>
      <c r="C13295" s="0" t="s">
        <v>127</v>
      </c>
      <c r="H13295" s="3" t="s">
        <v>6</v>
      </c>
    </row>
    <row r="13296">
      <c r="A13296" s="0" t="s">
        <v>7</v>
      </c>
      <c r="C13296" s="4" t="s">
        <v>335</v>
      </c>
      <c r="H13296" s="2" t="s">
        <v>9</v>
      </c>
    </row>
    <row r="13297">
      <c r="A13297" s="0" t="s">
        <v>10</v>
      </c>
      <c r="C13297" s="4" t="s">
        <v>11</v>
      </c>
      <c r="H13297" s="2" t="s">
        <v>12</v>
      </c>
    </row>
    <row r="13298">
      <c r="A13298" s="0" t="s">
        <v>13</v>
      </c>
      <c r="C13298" s="0" t="s">
        <v>14</v>
      </c>
    </row>
    <row r="13299">
      <c r="A13299" s="0" t="s">
        <v>15</v>
      </c>
      <c r="C13299" s="0" t="s">
        <v>16</v>
      </c>
    </row>
    <row r="13300">
      <c r="A13300" s="0" t="s">
        <v>17</v>
      </c>
      <c r="C13300" s="0" t="s">
        <v>18</v>
      </c>
    </row>
    <row r="13303">
      <c r="A13303" s="5" t="s">
        <v>19</v>
      </c>
      <c r="B13303" s="5" t="s">
        <v>20</v>
      </c>
      <c r="C13303" s="7" t="s">
        <v>21</v>
      </c>
      <c r="D13303" s="9"/>
      <c r="E13303" s="7" t="s">
        <v>22</v>
      </c>
      <c r="F13303" s="9"/>
      <c r="G13303" s="5" t="s">
        <v>23</v>
      </c>
      <c r="H13303" s="5" t="s">
        <v>24</v>
      </c>
      <c r="I13303" s="5" t="s">
        <v>336</v>
      </c>
      <c r="J13303" s="5" t="s">
        <v>26</v>
      </c>
    </row>
    <row r="13304">
      <c r="A13304" s="6"/>
      <c r="B13304" s="6"/>
      <c r="C13304" s="8" t="s">
        <v>27</v>
      </c>
      <c r="D13304" s="8" t="s">
        <v>28</v>
      </c>
      <c r="E13304" s="8" t="s">
        <v>27</v>
      </c>
      <c r="F13304" s="8" t="s">
        <v>28</v>
      </c>
      <c r="G13304" s="6"/>
      <c r="H13304" s="6"/>
      <c r="I13304" s="10" t="s">
        <v>29</v>
      </c>
      <c r="J13304" s="6"/>
    </row>
    <row r="13305">
      <c r="A13305" s="11" t="s">
        <v>30</v>
      </c>
      <c r="B13305" s="12">
        <v>972.401</v>
      </c>
      <c r="C13305" s="12">
        <v>0</v>
      </c>
      <c r="D13305" s="13">
        <v>0</v>
      </c>
      <c r="E13305" s="12">
        <v>0</v>
      </c>
      <c r="F13305" s="14">
        <v>0</v>
      </c>
      <c r="G13305" s="13">
        <v>3000</v>
      </c>
      <c r="H13305" s="14">
        <v>2917203</v>
      </c>
      <c r="I13305" s="14" t="e">
        <f>=Round(21.90340000,0)</f>
        <v>#VALUE!</v>
      </c>
      <c r="J13305" s="14" t="e">
        <f>=Round(0.00000000,0)</f>
        <v>#VALUE!</v>
      </c>
    </row>
    <row r="13306">
      <c r="A13306" s="11" t="s">
        <v>31</v>
      </c>
      <c r="B13306" s="12">
        <v>972.628</v>
      </c>
      <c r="C13306" s="12">
        <v>0</v>
      </c>
      <c r="D13306" s="13">
        <v>0</v>
      </c>
      <c r="E13306" s="12">
        <v>0</v>
      </c>
      <c r="F13306" s="14">
        <v>0</v>
      </c>
      <c r="G13306" s="13">
        <v>3000</v>
      </c>
      <c r="H13306" s="14">
        <v>2917884</v>
      </c>
      <c r="I13306" s="14" t="e">
        <f>=Round(21.91890000,0)</f>
        <v>#VALUE!</v>
      </c>
      <c r="J13306" s="14" t="e">
        <f>=Round(0.00000000,0)</f>
        <v>#VALUE!</v>
      </c>
    </row>
    <row r="13307">
      <c r="A13307" s="11" t="s">
        <v>32</v>
      </c>
      <c r="B13307" s="12">
        <v>972.855</v>
      </c>
      <c r="C13307" s="12">
        <v>0</v>
      </c>
      <c r="D13307" s="13">
        <v>0</v>
      </c>
      <c r="E13307" s="12">
        <v>0</v>
      </c>
      <c r="F13307" s="14">
        <v>0</v>
      </c>
      <c r="G13307" s="13">
        <v>3000</v>
      </c>
      <c r="H13307" s="14">
        <v>2918565</v>
      </c>
      <c r="I13307" s="14" t="e">
        <f>=Round(21.92400000,0)</f>
        <v>#VALUE!</v>
      </c>
      <c r="J13307" s="14" t="e">
        <f>=Round(0.00000000,0)</f>
        <v>#VALUE!</v>
      </c>
    </row>
    <row r="13308">
      <c r="A13308" s="11" t="s">
        <v>33</v>
      </c>
      <c r="B13308" s="12">
        <v>973.082</v>
      </c>
      <c r="C13308" s="12">
        <v>0</v>
      </c>
      <c r="D13308" s="13">
        <v>0</v>
      </c>
      <c r="E13308" s="12">
        <v>0</v>
      </c>
      <c r="F13308" s="14">
        <v>0</v>
      </c>
      <c r="G13308" s="13">
        <v>3000</v>
      </c>
      <c r="H13308" s="14">
        <v>2919246</v>
      </c>
      <c r="I13308" s="14" t="e">
        <f>=Round(21.92910000,0)</f>
        <v>#VALUE!</v>
      </c>
      <c r="J13308" s="14" t="e">
        <f>=Round(0.00000000,0)</f>
        <v>#VALUE!</v>
      </c>
    </row>
    <row r="13309">
      <c r="A13309" s="11" t="s">
        <v>34</v>
      </c>
      <c r="B13309" s="12">
        <v>973.175</v>
      </c>
      <c r="C13309" s="12">
        <v>0</v>
      </c>
      <c r="D13309" s="13">
        <v>0</v>
      </c>
      <c r="E13309" s="12">
        <v>0</v>
      </c>
      <c r="F13309" s="14">
        <v>0</v>
      </c>
      <c r="G13309" s="13">
        <v>3000</v>
      </c>
      <c r="H13309" s="14">
        <v>2919525</v>
      </c>
      <c r="I13309" s="14" t="e">
        <f>=Round(21.93420000,0)</f>
        <v>#VALUE!</v>
      </c>
      <c r="J13309" s="14" t="e">
        <f>=Round(0.00000000,0)</f>
        <v>#VALUE!</v>
      </c>
    </row>
    <row r="13310">
      <c r="A13310" s="11" t="s">
        <v>35</v>
      </c>
      <c r="B13310" s="12">
        <v>973.175</v>
      </c>
      <c r="C13310" s="12">
        <v>0</v>
      </c>
      <c r="D13310" s="13">
        <v>0</v>
      </c>
      <c r="E13310" s="12">
        <v>0</v>
      </c>
      <c r="F13310" s="14">
        <v>0</v>
      </c>
      <c r="G13310" s="13">
        <v>3000</v>
      </c>
      <c r="H13310" s="14">
        <v>2919525</v>
      </c>
      <c r="I13310" s="14" t="e">
        <f>=Round(21.93630000,0)</f>
        <v>#VALUE!</v>
      </c>
      <c r="J13310" s="14" t="e">
        <f>=Round(0.00000000,0)</f>
        <v>#VALUE!</v>
      </c>
    </row>
    <row r="13311">
      <c r="A13311" s="11" t="s">
        <v>36</v>
      </c>
      <c r="B13311" s="12">
        <v>973.175</v>
      </c>
      <c r="C13311" s="12">
        <v>0</v>
      </c>
      <c r="D13311" s="13">
        <v>0</v>
      </c>
      <c r="E13311" s="12">
        <v>0</v>
      </c>
      <c r="F13311" s="14">
        <v>0</v>
      </c>
      <c r="G13311" s="13">
        <v>3000</v>
      </c>
      <c r="H13311" s="14">
        <v>2919525</v>
      </c>
      <c r="I13311" s="14" t="e">
        <f>=Round(21.93630000,0)</f>
        <v>#VALUE!</v>
      </c>
      <c r="J13311" s="14" t="e">
        <f>=Round(0.00000000,0)</f>
        <v>#VALUE!</v>
      </c>
    </row>
    <row r="13312">
      <c r="A13312" s="11" t="s">
        <v>37</v>
      </c>
      <c r="B13312" s="12">
        <v>973.856</v>
      </c>
      <c r="C13312" s="12">
        <v>0</v>
      </c>
      <c r="D13312" s="13">
        <v>0</v>
      </c>
      <c r="E13312" s="12">
        <v>0</v>
      </c>
      <c r="F13312" s="14">
        <v>0</v>
      </c>
      <c r="G13312" s="13">
        <v>3000</v>
      </c>
      <c r="H13312" s="14">
        <v>2921568</v>
      </c>
      <c r="I13312" s="14" t="e">
        <f>=Round(21.93630000,0)</f>
        <v>#VALUE!</v>
      </c>
      <c r="J13312" s="14" t="e">
        <f>=Round(0.00000000,0)</f>
        <v>#VALUE!</v>
      </c>
    </row>
    <row r="13313">
      <c r="A13313" s="11" t="s">
        <v>38</v>
      </c>
      <c r="B13313" s="12">
        <v>974.083</v>
      </c>
      <c r="C13313" s="12">
        <v>0</v>
      </c>
      <c r="D13313" s="13">
        <v>0</v>
      </c>
      <c r="E13313" s="12">
        <v>0</v>
      </c>
      <c r="F13313" s="14">
        <v>0</v>
      </c>
      <c r="G13313" s="13">
        <v>3000</v>
      </c>
      <c r="H13313" s="14">
        <v>2922249</v>
      </c>
      <c r="I13313" s="14" t="e">
        <f>=Round(21.95170000,0)</f>
        <v>#VALUE!</v>
      </c>
      <c r="J13313" s="14" t="e">
        <f>=Round(0.00000000,0)</f>
        <v>#VALUE!</v>
      </c>
    </row>
    <row r="13314">
      <c r="A13314" s="11" t="s">
        <v>39</v>
      </c>
      <c r="B13314" s="12">
        <v>974.306</v>
      </c>
      <c r="C13314" s="12">
        <v>0</v>
      </c>
      <c r="D13314" s="13">
        <v>0</v>
      </c>
      <c r="E13314" s="12">
        <v>0</v>
      </c>
      <c r="F13314" s="14">
        <v>0</v>
      </c>
      <c r="G13314" s="13">
        <v>3000</v>
      </c>
      <c r="H13314" s="14">
        <v>2922918</v>
      </c>
      <c r="I13314" s="14" t="e">
        <f>=Round(21.95680000,0)</f>
        <v>#VALUE!</v>
      </c>
      <c r="J13314" s="14" t="e">
        <f>=Round(0.00000000,0)</f>
        <v>#VALUE!</v>
      </c>
    </row>
    <row r="13315">
      <c r="A13315" s="11" t="s">
        <v>40</v>
      </c>
      <c r="B13315" s="12">
        <v>974.6</v>
      </c>
      <c r="C13315" s="12">
        <v>0</v>
      </c>
      <c r="D13315" s="13">
        <v>0</v>
      </c>
      <c r="E13315" s="12">
        <v>0</v>
      </c>
      <c r="F13315" s="14">
        <v>0</v>
      </c>
      <c r="G13315" s="13">
        <v>3000</v>
      </c>
      <c r="H13315" s="14">
        <v>2923800</v>
      </c>
      <c r="I13315" s="14" t="e">
        <f>=Round(21.96180000,0)</f>
        <v>#VALUE!</v>
      </c>
      <c r="J13315" s="14" t="e">
        <f>=Round(0.00000000,0)</f>
        <v>#VALUE!</v>
      </c>
    </row>
    <row r="13316">
      <c r="A13316" s="11" t="s">
        <v>41</v>
      </c>
      <c r="B13316" s="12">
        <v>974.827</v>
      </c>
      <c r="C13316" s="12">
        <v>0</v>
      </c>
      <c r="D13316" s="13">
        <v>0</v>
      </c>
      <c r="E13316" s="12">
        <v>0</v>
      </c>
      <c r="F13316" s="14">
        <v>0</v>
      </c>
      <c r="G13316" s="13">
        <v>3000</v>
      </c>
      <c r="H13316" s="14">
        <v>2924481</v>
      </c>
      <c r="I13316" s="14" t="e">
        <f>=Round(21.96840000,0)</f>
        <v>#VALUE!</v>
      </c>
      <c r="J13316" s="14" t="e">
        <f>=Round(0.00000000,0)</f>
        <v>#VALUE!</v>
      </c>
    </row>
    <row r="13317">
      <c r="A13317" s="11" t="s">
        <v>42</v>
      </c>
      <c r="B13317" s="12">
        <v>974.827</v>
      </c>
      <c r="C13317" s="12">
        <v>0</v>
      </c>
      <c r="D13317" s="13">
        <v>0</v>
      </c>
      <c r="E13317" s="12">
        <v>0</v>
      </c>
      <c r="F13317" s="14">
        <v>0</v>
      </c>
      <c r="G13317" s="13">
        <v>3000</v>
      </c>
      <c r="H13317" s="14">
        <v>2924481</v>
      </c>
      <c r="I13317" s="14" t="e">
        <f>=Round(21.97360000,0)</f>
        <v>#VALUE!</v>
      </c>
      <c r="J13317" s="14" t="e">
        <f>=Round(0.00000000,0)</f>
        <v>#VALUE!</v>
      </c>
    </row>
    <row r="13318">
      <c r="A13318" s="11" t="s">
        <v>43</v>
      </c>
      <c r="B13318" s="12">
        <v>974.827</v>
      </c>
      <c r="C13318" s="12">
        <v>0</v>
      </c>
      <c r="D13318" s="13">
        <v>0</v>
      </c>
      <c r="E13318" s="12">
        <v>0</v>
      </c>
      <c r="F13318" s="14">
        <v>0</v>
      </c>
      <c r="G13318" s="13">
        <v>3000</v>
      </c>
      <c r="H13318" s="14">
        <v>2924481</v>
      </c>
      <c r="I13318" s="14" t="e">
        <f>=Round(21.97360000,0)</f>
        <v>#VALUE!</v>
      </c>
      <c r="J13318" s="14" t="e">
        <f>=Round(0.00000000,0)</f>
        <v>#VALUE!</v>
      </c>
    </row>
    <row r="13319">
      <c r="A13319" s="11" t="s">
        <v>44</v>
      </c>
      <c r="B13319" s="12">
        <v>975.48</v>
      </c>
      <c r="C13319" s="12">
        <v>0</v>
      </c>
      <c r="D13319" s="13">
        <v>0</v>
      </c>
      <c r="E13319" s="12">
        <v>0</v>
      </c>
      <c r="F13319" s="14">
        <v>0</v>
      </c>
      <c r="G13319" s="13">
        <v>3000</v>
      </c>
      <c r="H13319" s="14">
        <v>2926440</v>
      </c>
      <c r="I13319" s="14" t="e">
        <f>=Round(21.97360000,0)</f>
        <v>#VALUE!</v>
      </c>
      <c r="J13319" s="14" t="e">
        <f>=Round(0.00000000,0)</f>
        <v>#VALUE!</v>
      </c>
    </row>
    <row r="13320">
      <c r="A13320" s="11" t="s">
        <v>45</v>
      </c>
      <c r="B13320" s="12">
        <v>975.707</v>
      </c>
      <c r="C13320" s="12">
        <v>0</v>
      </c>
      <c r="D13320" s="13">
        <v>0</v>
      </c>
      <c r="E13320" s="12">
        <v>0</v>
      </c>
      <c r="F13320" s="14">
        <v>0</v>
      </c>
      <c r="G13320" s="13">
        <v>3000</v>
      </c>
      <c r="H13320" s="14">
        <v>2927121</v>
      </c>
      <c r="I13320" s="14" t="e">
        <f>=Round(21.98830000,0)</f>
        <v>#VALUE!</v>
      </c>
      <c r="J13320" s="14" t="e">
        <f>=Round(0.00000000,0)</f>
        <v>#VALUE!</v>
      </c>
    </row>
    <row r="13321">
      <c r="A13321" s="11" t="s">
        <v>46</v>
      </c>
      <c r="B13321" s="12">
        <v>975.699</v>
      </c>
      <c r="C13321" s="12">
        <v>0</v>
      </c>
      <c r="D13321" s="13">
        <v>0</v>
      </c>
      <c r="E13321" s="12">
        <v>0</v>
      </c>
      <c r="F13321" s="14">
        <v>0</v>
      </c>
      <c r="G13321" s="13">
        <v>3000</v>
      </c>
      <c r="H13321" s="14">
        <v>2927097</v>
      </c>
      <c r="I13321" s="14" t="e">
        <f>=Round(21.99340000,0)</f>
        <v>#VALUE!</v>
      </c>
      <c r="J13321" s="14" t="e">
        <f>=Round(0.00000000,0)</f>
        <v>#VALUE!</v>
      </c>
    </row>
    <row r="13322">
      <c r="A13322" s="11" t="s">
        <v>47</v>
      </c>
      <c r="B13322" s="12">
        <v>975.835</v>
      </c>
      <c r="C13322" s="12">
        <v>0</v>
      </c>
      <c r="D13322" s="13">
        <v>0</v>
      </c>
      <c r="E13322" s="12">
        <v>0</v>
      </c>
      <c r="F13322" s="14">
        <v>0</v>
      </c>
      <c r="G13322" s="13">
        <v>3000</v>
      </c>
      <c r="H13322" s="14">
        <v>2927505</v>
      </c>
      <c r="I13322" s="14" t="e">
        <f>=Round(21.99320000,0)</f>
        <v>#VALUE!</v>
      </c>
      <c r="J13322" s="14" t="e">
        <f>=Round(0.00000000,0)</f>
        <v>#VALUE!</v>
      </c>
    </row>
    <row r="13323">
      <c r="A13323" s="11" t="s">
        <v>48</v>
      </c>
      <c r="B13323" s="12">
        <v>976.24</v>
      </c>
      <c r="C13323" s="12">
        <v>0</v>
      </c>
      <c r="D13323" s="13">
        <v>0</v>
      </c>
      <c r="E13323" s="12">
        <v>0</v>
      </c>
      <c r="F13323" s="14">
        <v>0</v>
      </c>
      <c r="G13323" s="13">
        <v>3000</v>
      </c>
      <c r="H13323" s="14">
        <v>2928720</v>
      </c>
      <c r="I13323" s="14" t="e">
        <f>=Round(21.99630000,0)</f>
        <v>#VALUE!</v>
      </c>
      <c r="J13323" s="14" t="e">
        <f>=Round(0.00000000,0)</f>
        <v>#VALUE!</v>
      </c>
    </row>
    <row r="13324">
      <c r="A13324" s="11" t="s">
        <v>49</v>
      </c>
      <c r="B13324" s="12">
        <v>976.24</v>
      </c>
      <c r="C13324" s="12">
        <v>0</v>
      </c>
      <c r="D13324" s="13">
        <v>0</v>
      </c>
      <c r="E13324" s="12">
        <v>0</v>
      </c>
      <c r="F13324" s="14">
        <v>0</v>
      </c>
      <c r="G13324" s="13">
        <v>3000</v>
      </c>
      <c r="H13324" s="14">
        <v>2928720</v>
      </c>
      <c r="I13324" s="14" t="e">
        <f>=Round(22.00540000,0)</f>
        <v>#VALUE!</v>
      </c>
      <c r="J13324" s="14" t="e">
        <f>=Round(0.00000000,0)</f>
        <v>#VALUE!</v>
      </c>
    </row>
    <row r="13325">
      <c r="A13325" s="11" t="s">
        <v>50</v>
      </c>
      <c r="B13325" s="12">
        <v>976.24</v>
      </c>
      <c r="C13325" s="12">
        <v>0</v>
      </c>
      <c r="D13325" s="13">
        <v>0</v>
      </c>
      <c r="E13325" s="12">
        <v>0</v>
      </c>
      <c r="F13325" s="14">
        <v>0</v>
      </c>
      <c r="G13325" s="13">
        <v>3000</v>
      </c>
      <c r="H13325" s="14">
        <v>2928720</v>
      </c>
      <c r="I13325" s="14" t="e">
        <f>=Round(22.00540000,0)</f>
        <v>#VALUE!</v>
      </c>
      <c r="J13325" s="14" t="e">
        <f>=Round(0.00000000,0)</f>
        <v>#VALUE!</v>
      </c>
    </row>
    <row r="13326">
      <c r="A13326" s="11" t="s">
        <v>51</v>
      </c>
      <c r="B13326" s="12">
        <v>976.938</v>
      </c>
      <c r="C13326" s="12">
        <v>0</v>
      </c>
      <c r="D13326" s="13">
        <v>0</v>
      </c>
      <c r="E13326" s="12">
        <v>0</v>
      </c>
      <c r="F13326" s="14">
        <v>0</v>
      </c>
      <c r="G13326" s="13">
        <v>3000</v>
      </c>
      <c r="H13326" s="14">
        <v>2930814</v>
      </c>
      <c r="I13326" s="14" t="e">
        <f>=Round(22.00540000,0)</f>
        <v>#VALUE!</v>
      </c>
      <c r="J13326" s="14" t="e">
        <f>=Round(0.00000000,0)</f>
        <v>#VALUE!</v>
      </c>
    </row>
    <row r="13327">
      <c r="A13327" s="11" t="s">
        <v>52</v>
      </c>
      <c r="B13327" s="12">
        <v>977.165</v>
      </c>
      <c r="C13327" s="12">
        <v>0</v>
      </c>
      <c r="D13327" s="13">
        <v>0</v>
      </c>
      <c r="E13327" s="12">
        <v>0</v>
      </c>
      <c r="F13327" s="14">
        <v>0</v>
      </c>
      <c r="G13327" s="13">
        <v>3000</v>
      </c>
      <c r="H13327" s="14">
        <v>2931495</v>
      </c>
      <c r="I13327" s="14" t="e">
        <f>=Round(22.02110000,0)</f>
        <v>#VALUE!</v>
      </c>
      <c r="J13327" s="14" t="e">
        <f>=Round(0.00000000,0)</f>
        <v>#VALUE!</v>
      </c>
    </row>
    <row r="13328">
      <c r="A13328" s="11" t="s">
        <v>53</v>
      </c>
      <c r="B13328" s="12">
        <v>977.392</v>
      </c>
      <c r="C13328" s="12">
        <v>0</v>
      </c>
      <c r="D13328" s="13">
        <v>0</v>
      </c>
      <c r="E13328" s="12">
        <v>0</v>
      </c>
      <c r="F13328" s="14">
        <v>0</v>
      </c>
      <c r="G13328" s="13">
        <v>3000</v>
      </c>
      <c r="H13328" s="14">
        <v>2932176</v>
      </c>
      <c r="I13328" s="14" t="e">
        <f>=Round(22.02630000,0)</f>
        <v>#VALUE!</v>
      </c>
      <c r="J13328" s="14" t="e">
        <f>=Round(0.00000000,0)</f>
        <v>#VALUE!</v>
      </c>
    </row>
    <row r="13329">
      <c r="A13329" s="11" t="s">
        <v>54</v>
      </c>
      <c r="B13329" s="12">
        <v>977.619</v>
      </c>
      <c r="C13329" s="12">
        <v>0</v>
      </c>
      <c r="D13329" s="13">
        <v>0</v>
      </c>
      <c r="E13329" s="12">
        <v>0</v>
      </c>
      <c r="F13329" s="14">
        <v>0</v>
      </c>
      <c r="G13329" s="13">
        <v>3000</v>
      </c>
      <c r="H13329" s="14">
        <v>2932857</v>
      </c>
      <c r="I13329" s="14" t="e">
        <f>=Round(22.03140000,0)</f>
        <v>#VALUE!</v>
      </c>
      <c r="J13329" s="14" t="e">
        <f>=Round(0.00000000,0)</f>
        <v>#VALUE!</v>
      </c>
    </row>
    <row r="13330">
      <c r="A13330" s="11" t="s">
        <v>55</v>
      </c>
      <c r="B13330" s="12">
        <v>978.291</v>
      </c>
      <c r="C13330" s="12">
        <v>0</v>
      </c>
      <c r="D13330" s="13">
        <v>0</v>
      </c>
      <c r="E13330" s="12">
        <v>0</v>
      </c>
      <c r="F13330" s="14">
        <v>0</v>
      </c>
      <c r="G13330" s="13">
        <v>3000</v>
      </c>
      <c r="H13330" s="14">
        <v>2934873</v>
      </c>
      <c r="I13330" s="14" t="e">
        <f>=Round(22.03650000,0)</f>
        <v>#VALUE!</v>
      </c>
      <c r="J13330" s="14" t="e">
        <f>=Round(0.00000000,0)</f>
        <v>#VALUE!</v>
      </c>
    </row>
    <row r="13331" ht="-1">
      <c r="A13331" s="15"/>
      <c r="B13331" s="16" t="s">
        <v>56</v>
      </c>
      <c r="C13331" s="15"/>
      <c r="D13331" s="15"/>
      <c r="E13331" s="15"/>
      <c r="F13331" s="15"/>
      <c r="G13331" s="15"/>
      <c r="H13331" s="15"/>
      <c r="I13331" s="17" t="e">
        <f>=Round(SUM(I13305:I13330),0)</f>
        <v>#VALUE!</v>
      </c>
      <c r="J13331" s="17" t="e">
        <f>=Round(SUM(J13305:J13330),0)</f>
        <v>#VALUE!</v>
      </c>
    </row>
    <row r="13332">
      <c r="A13332" s="1" t="s">
        <v>0</v>
      </c>
      <c r="B13332" s="1"/>
      <c r="C13332" s="1"/>
      <c r="D13332" s="1"/>
    </row>
    <row r="13333">
      <c r="A13333" s="0" t="s">
        <v>1</v>
      </c>
      <c r="C13333" s="0" t="s">
        <v>445</v>
      </c>
      <c r="H13333" s="2" t="s">
        <v>3</v>
      </c>
    </row>
    <row r="13334">
      <c r="A13334" s="0" t="s">
        <v>4</v>
      </c>
      <c r="C13334" s="0" t="s">
        <v>310</v>
      </c>
      <c r="H13334" s="3" t="s">
        <v>6</v>
      </c>
    </row>
    <row r="13335">
      <c r="A13335" s="0" t="s">
        <v>7</v>
      </c>
      <c r="C13335" s="4" t="s">
        <v>219</v>
      </c>
      <c r="H13335" s="2" t="s">
        <v>9</v>
      </c>
    </row>
    <row r="13336">
      <c r="A13336" s="0" t="s">
        <v>10</v>
      </c>
      <c r="C13336" s="4" t="s">
        <v>11</v>
      </c>
      <c r="H13336" s="2" t="s">
        <v>12</v>
      </c>
    </row>
    <row r="13337">
      <c r="A13337" s="0" t="s">
        <v>13</v>
      </c>
      <c r="C13337" s="0" t="s">
        <v>14</v>
      </c>
    </row>
    <row r="13338">
      <c r="A13338" s="0" t="s">
        <v>15</v>
      </c>
      <c r="C13338" s="0" t="s">
        <v>16</v>
      </c>
    </row>
    <row r="13339">
      <c r="A13339" s="0" t="s">
        <v>17</v>
      </c>
      <c r="C13339" s="0" t="s">
        <v>18</v>
      </c>
    </row>
    <row r="13342">
      <c r="A13342" s="5" t="s">
        <v>19</v>
      </c>
      <c r="B13342" s="5" t="s">
        <v>20</v>
      </c>
      <c r="C13342" s="7" t="s">
        <v>21</v>
      </c>
      <c r="D13342" s="9"/>
      <c r="E13342" s="7" t="s">
        <v>22</v>
      </c>
      <c r="F13342" s="9"/>
      <c r="G13342" s="5" t="s">
        <v>23</v>
      </c>
      <c r="H13342" s="5" t="s">
        <v>24</v>
      </c>
      <c r="I13342" s="5" t="s">
        <v>220</v>
      </c>
      <c r="J13342" s="5" t="s">
        <v>26</v>
      </c>
    </row>
    <row r="13343">
      <c r="A13343" s="6"/>
      <c r="B13343" s="6"/>
      <c r="C13343" s="8" t="s">
        <v>27</v>
      </c>
      <c r="D13343" s="8" t="s">
        <v>28</v>
      </c>
      <c r="E13343" s="8" t="s">
        <v>27</v>
      </c>
      <c r="F13343" s="8" t="s">
        <v>28</v>
      </c>
      <c r="G13343" s="6"/>
      <c r="H13343" s="6"/>
      <c r="I13343" s="10" t="s">
        <v>29</v>
      </c>
      <c r="J13343" s="6"/>
    </row>
    <row r="13344">
      <c r="A13344" s="11" t="s">
        <v>47</v>
      </c>
      <c r="B13344" s="12">
        <v>1000.6573</v>
      </c>
      <c r="C13344" s="12">
        <v>14990146.9764</v>
      </c>
      <c r="D13344" s="13">
        <v>15000000000</v>
      </c>
      <c r="E13344" s="12">
        <v>0</v>
      </c>
      <c r="F13344" s="14">
        <v>0</v>
      </c>
      <c r="G13344" s="13">
        <v>0</v>
      </c>
      <c r="H13344" s="14">
        <v>0</v>
      </c>
      <c r="I13344" s="14" t="e">
        <f>=Round(0.00000000,0)</f>
        <v>#VALUE!</v>
      </c>
      <c r="J13344" s="14" t="e">
        <f>=Round(0.00000000,0)</f>
        <v>#VALUE!</v>
      </c>
    </row>
    <row r="13345">
      <c r="A13345" s="11" t="s">
        <v>48</v>
      </c>
      <c r="B13345" s="12">
        <v>1000.5924</v>
      </c>
      <c r="C13345" s="12">
        <v>0</v>
      </c>
      <c r="D13345" s="13">
        <v>0</v>
      </c>
      <c r="E13345" s="12">
        <v>0</v>
      </c>
      <c r="F13345" s="14">
        <v>0</v>
      </c>
      <c r="G13345" s="13">
        <v>14990146.9764</v>
      </c>
      <c r="H13345" s="14">
        <v>14999027139.468821</v>
      </c>
      <c r="I13345" s="14" t="e">
        <f>=Round(0.00000000,0)</f>
        <v>#VALUE!</v>
      </c>
      <c r="J13345" s="14" t="e">
        <f>=Round(0.00000000,0)</f>
        <v>#VALUE!</v>
      </c>
    </row>
    <row r="13346">
      <c r="A13346" s="11" t="s">
        <v>49</v>
      </c>
      <c r="B13346" s="12">
        <v>1000.5924</v>
      </c>
      <c r="C13346" s="12">
        <v>0</v>
      </c>
      <c r="D13346" s="13">
        <v>0</v>
      </c>
      <c r="E13346" s="12">
        <v>0</v>
      </c>
      <c r="F13346" s="14">
        <v>0</v>
      </c>
      <c r="G13346" s="13">
        <v>14990146.9764</v>
      </c>
      <c r="H13346" s="14">
        <v>0</v>
      </c>
      <c r="I13346" s="14" t="e">
        <f>=Round(0.00000000,0)</f>
        <v>#VALUE!</v>
      </c>
      <c r="J13346" s="14" t="e">
        <f>=Round(0.00000000,0)</f>
        <v>#VALUE!</v>
      </c>
    </row>
    <row r="13347">
      <c r="A13347" s="11" t="s">
        <v>50</v>
      </c>
      <c r="B13347" s="12">
        <v>1000.5924</v>
      </c>
      <c r="C13347" s="12">
        <v>0</v>
      </c>
      <c r="D13347" s="13">
        <v>0</v>
      </c>
      <c r="E13347" s="12">
        <v>0</v>
      </c>
      <c r="F13347" s="14">
        <v>0</v>
      </c>
      <c r="G13347" s="13">
        <v>14990146.9764</v>
      </c>
      <c r="H13347" s="14">
        <v>0</v>
      </c>
      <c r="I13347" s="14" t="e">
        <f>=Round(0.00000000,0)</f>
        <v>#VALUE!</v>
      </c>
      <c r="J13347" s="14" t="e">
        <f>=Round(0.00000000,0)</f>
        <v>#VALUE!</v>
      </c>
    </row>
    <row r="13348">
      <c r="A13348" s="11" t="s">
        <v>51</v>
      </c>
      <c r="B13348" s="12">
        <v>998.218</v>
      </c>
      <c r="C13348" s="12">
        <v>0</v>
      </c>
      <c r="D13348" s="13">
        <v>0</v>
      </c>
      <c r="E13348" s="12">
        <v>0</v>
      </c>
      <c r="F13348" s="14">
        <v>0</v>
      </c>
      <c r="G13348" s="13">
        <v>14990146.9764</v>
      </c>
      <c r="H13348" s="14">
        <v>14963434534.488056</v>
      </c>
      <c r="I13348" s="14" t="e">
        <f>=Round(0.00000000,0)</f>
        <v>#VALUE!</v>
      </c>
      <c r="J13348" s="14" t="e">
        <f>=Round(0.00000000,0)</f>
        <v>#VALUE!</v>
      </c>
    </row>
    <row r="13349">
      <c r="A13349" s="11" t="s">
        <v>52</v>
      </c>
      <c r="B13349" s="12">
        <v>998.1735</v>
      </c>
      <c r="C13349" s="12">
        <v>0</v>
      </c>
      <c r="D13349" s="13">
        <v>0</v>
      </c>
      <c r="E13349" s="12">
        <v>0</v>
      </c>
      <c r="F13349" s="14">
        <v>0</v>
      </c>
      <c r="G13349" s="13">
        <v>14990146.9764</v>
      </c>
      <c r="H13349" s="14">
        <v>14962767472.947603</v>
      </c>
      <c r="I13349" s="14" t="e">
        <f>=Round(674581.06510000,0)</f>
        <v>#VALUE!</v>
      </c>
      <c r="J13349" s="14" t="e">
        <f>=Round(0.00000000,0)</f>
        <v>#VALUE!</v>
      </c>
    </row>
    <row r="13350">
      <c r="A13350" s="11" t="s">
        <v>53</v>
      </c>
      <c r="B13350" s="12">
        <v>995.9917</v>
      </c>
      <c r="C13350" s="12">
        <v>0</v>
      </c>
      <c r="D13350" s="13">
        <v>0</v>
      </c>
      <c r="E13350" s="12">
        <v>0</v>
      </c>
      <c r="F13350" s="14">
        <v>0</v>
      </c>
      <c r="G13350" s="13">
        <v>14990146.9764</v>
      </c>
      <c r="H13350" s="14">
        <v>14930061970.274496</v>
      </c>
      <c r="I13350" s="14" t="e">
        <f>=Round(674550.99260000,0)</f>
        <v>#VALUE!</v>
      </c>
      <c r="J13350" s="14" t="e">
        <f>=Round(0.00000000,0)</f>
        <v>#VALUE!</v>
      </c>
    </row>
    <row r="13351">
      <c r="A13351" s="11" t="s">
        <v>54</v>
      </c>
      <c r="B13351" s="12">
        <v>994.505</v>
      </c>
      <c r="C13351" s="12">
        <v>0</v>
      </c>
      <c r="D13351" s="13">
        <v>0</v>
      </c>
      <c r="E13351" s="12">
        <v>0</v>
      </c>
      <c r="F13351" s="14">
        <v>0</v>
      </c>
      <c r="G13351" s="13">
        <v>14990146.9764</v>
      </c>
      <c r="H13351" s="14">
        <v>14907776118.764683</v>
      </c>
      <c r="I13351" s="14" t="e">
        <f>=Round(673076.56420000,0)</f>
        <v>#VALUE!</v>
      </c>
      <c r="J13351" s="14" t="e">
        <f>=Round(0.00000000,0)</f>
        <v>#VALUE!</v>
      </c>
    </row>
    <row r="13352">
      <c r="A13352" s="11" t="s">
        <v>55</v>
      </c>
      <c r="B13352" s="12">
        <v>992.5122</v>
      </c>
      <c r="C13352" s="12">
        <v>0</v>
      </c>
      <c r="D13352" s="13">
        <v>0</v>
      </c>
      <c r="E13352" s="12">
        <v>0</v>
      </c>
      <c r="F13352" s="14">
        <v>0</v>
      </c>
      <c r="G13352" s="13">
        <v>14990146.9764</v>
      </c>
      <c r="H13352" s="14">
        <v>14877903753.870112</v>
      </c>
      <c r="I13352" s="14" t="e">
        <f>=Round(672071.87420000,0)</f>
        <v>#VALUE!</v>
      </c>
      <c r="J13352" s="14" t="e">
        <f>=Round(0.00000000,0)</f>
        <v>#VALUE!</v>
      </c>
    </row>
    <row r="13353" ht="-1">
      <c r="A13353" s="15"/>
      <c r="B13353" s="16" t="s">
        <v>56</v>
      </c>
      <c r="C13353" s="15"/>
      <c r="D13353" s="15"/>
      <c r="E13353" s="15"/>
      <c r="F13353" s="15"/>
      <c r="G13353" s="15"/>
      <c r="H13353" s="15"/>
      <c r="I13353" s="17" t="e">
        <f>=Round(SUM(I13344:I13352),0)</f>
        <v>#VALUE!</v>
      </c>
      <c r="J13353" s="17" t="e">
        <f>=Round(SUM(J13344:J13352),0)</f>
        <v>#VALUE!</v>
      </c>
    </row>
    <row r="13354">
      <c r="A13354" s="1" t="s">
        <v>0</v>
      </c>
      <c r="B13354" s="1"/>
      <c r="C13354" s="1"/>
      <c r="D13354" s="1"/>
    </row>
    <row r="13355">
      <c r="A13355" s="0" t="s">
        <v>1</v>
      </c>
      <c r="C13355" s="0" t="s">
        <v>445</v>
      </c>
      <c r="H13355" s="2" t="s">
        <v>3</v>
      </c>
    </row>
    <row r="13356">
      <c r="A13356" s="0" t="s">
        <v>4</v>
      </c>
      <c r="C13356" s="0" t="s">
        <v>311</v>
      </c>
      <c r="H13356" s="3" t="s">
        <v>6</v>
      </c>
    </row>
    <row r="13357">
      <c r="A13357" s="0" t="s">
        <v>7</v>
      </c>
      <c r="C13357" s="4" t="s">
        <v>219</v>
      </c>
      <c r="H13357" s="2" t="s">
        <v>9</v>
      </c>
    </row>
    <row r="13358">
      <c r="A13358" s="0" t="s">
        <v>10</v>
      </c>
      <c r="C13358" s="4" t="s">
        <v>11</v>
      </c>
      <c r="H13358" s="2" t="s">
        <v>12</v>
      </c>
    </row>
    <row r="13359">
      <c r="A13359" s="0" t="s">
        <v>13</v>
      </c>
      <c r="C13359" s="0" t="s">
        <v>14</v>
      </c>
    </row>
    <row r="13360">
      <c r="A13360" s="0" t="s">
        <v>15</v>
      </c>
      <c r="C13360" s="0" t="s">
        <v>16</v>
      </c>
    </row>
    <row r="13361">
      <c r="A13361" s="0" t="s">
        <v>17</v>
      </c>
      <c r="C13361" s="0" t="s">
        <v>18</v>
      </c>
    </row>
    <row r="13364">
      <c r="A13364" s="5" t="s">
        <v>19</v>
      </c>
      <c r="B13364" s="5" t="s">
        <v>20</v>
      </c>
      <c r="C13364" s="7" t="s">
        <v>21</v>
      </c>
      <c r="D13364" s="9"/>
      <c r="E13364" s="7" t="s">
        <v>22</v>
      </c>
      <c r="F13364" s="9"/>
      <c r="G13364" s="5" t="s">
        <v>23</v>
      </c>
      <c r="H13364" s="5" t="s">
        <v>24</v>
      </c>
      <c r="I13364" s="5" t="s">
        <v>220</v>
      </c>
      <c r="J13364" s="5" t="s">
        <v>26</v>
      </c>
    </row>
    <row r="13365">
      <c r="A13365" s="6"/>
      <c r="B13365" s="6"/>
      <c r="C13365" s="8" t="s">
        <v>27</v>
      </c>
      <c r="D13365" s="8" t="s">
        <v>28</v>
      </c>
      <c r="E13365" s="8" t="s">
        <v>27</v>
      </c>
      <c r="F13365" s="8" t="s">
        <v>28</v>
      </c>
      <c r="G13365" s="6"/>
      <c r="H13365" s="6"/>
      <c r="I13365" s="10" t="s">
        <v>29</v>
      </c>
      <c r="J13365" s="6"/>
    </row>
    <row r="13366">
      <c r="A13366" s="11" t="s">
        <v>44</v>
      </c>
      <c r="B13366" s="12">
        <v>1000</v>
      </c>
      <c r="C13366" s="12">
        <v>20000000</v>
      </c>
      <c r="D13366" s="13">
        <v>20000000000</v>
      </c>
      <c r="E13366" s="12">
        <v>0</v>
      </c>
      <c r="F13366" s="14">
        <v>0</v>
      </c>
      <c r="G13366" s="13">
        <v>0</v>
      </c>
      <c r="H13366" s="14">
        <v>0</v>
      </c>
      <c r="I13366" s="14" t="e">
        <f>=Round(0.00000000,0)</f>
        <v>#VALUE!</v>
      </c>
      <c r="J13366" s="14" t="e">
        <f>=Round(0.00000000,0)</f>
        <v>#VALUE!</v>
      </c>
    </row>
    <row r="13367">
      <c r="A13367" s="11" t="s">
        <v>45</v>
      </c>
      <c r="B13367" s="12">
        <v>1000.315</v>
      </c>
      <c r="C13367" s="12">
        <v>27991182.7774</v>
      </c>
      <c r="D13367" s="13">
        <v>28000000000</v>
      </c>
      <c r="E13367" s="12">
        <v>0</v>
      </c>
      <c r="F13367" s="14">
        <v>0</v>
      </c>
      <c r="G13367" s="13">
        <v>0</v>
      </c>
      <c r="H13367" s="14">
        <v>0</v>
      </c>
      <c r="I13367" s="14" t="e">
        <f>=Round(0.00000000,0)</f>
        <v>#VALUE!</v>
      </c>
      <c r="J13367" s="14" t="e">
        <f>=Round(0.00000000,0)</f>
        <v>#VALUE!</v>
      </c>
    </row>
    <row r="13368">
      <c r="A13368" s="11" t="s">
        <v>46</v>
      </c>
      <c r="B13368" s="12">
        <v>1000.3</v>
      </c>
      <c r="C13368" s="12">
        <v>23992802.1594</v>
      </c>
      <c r="D13368" s="13">
        <v>24000000000</v>
      </c>
      <c r="E13368" s="12">
        <v>0</v>
      </c>
      <c r="F13368" s="14">
        <v>0</v>
      </c>
      <c r="G13368" s="13">
        <v>47991182.7774</v>
      </c>
      <c r="H13368" s="14">
        <v>48005580132.233215</v>
      </c>
      <c r="I13368" s="14" t="e">
        <f>=Round(0.00000000,0)</f>
        <v>#VALUE!</v>
      </c>
      <c r="J13368" s="14" t="e">
        <f>=Round(0.00000000,0)</f>
        <v>#VALUE!</v>
      </c>
    </row>
    <row r="13369">
      <c r="A13369" s="11" t="s">
        <v>47</v>
      </c>
      <c r="B13369" s="12">
        <v>1000.6573</v>
      </c>
      <c r="C13369" s="12">
        <v>0</v>
      </c>
      <c r="D13369" s="13">
        <v>0</v>
      </c>
      <c r="E13369" s="12">
        <v>0</v>
      </c>
      <c r="F13369" s="14">
        <v>0</v>
      </c>
      <c r="G13369" s="13">
        <v>71983984.9368</v>
      </c>
      <c r="H13369" s="14">
        <v>72031300010.098953</v>
      </c>
      <c r="I13369" s="14" t="e">
        <f>=Round(2164185.98960000,0)</f>
        <v>#VALUE!</v>
      </c>
      <c r="J13369" s="14" t="e">
        <f>=Round(0.00000000,0)</f>
        <v>#VALUE!</v>
      </c>
    </row>
    <row r="13370">
      <c r="A13370" s="11" t="s">
        <v>48</v>
      </c>
      <c r="B13370" s="12">
        <v>1000.5924</v>
      </c>
      <c r="C13370" s="12">
        <v>0</v>
      </c>
      <c r="D13370" s="13">
        <v>0</v>
      </c>
      <c r="E13370" s="12">
        <v>0</v>
      </c>
      <c r="F13370" s="14">
        <v>0</v>
      </c>
      <c r="G13370" s="13">
        <v>71983984.9368</v>
      </c>
      <c r="H13370" s="14">
        <v>72026628249.476562</v>
      </c>
      <c r="I13370" s="14" t="e">
        <f>=Round(3247312.70540000,0)</f>
        <v>#VALUE!</v>
      </c>
      <c r="J13370" s="14" t="e">
        <f>=Round(0.00000000,0)</f>
        <v>#VALUE!</v>
      </c>
    </row>
    <row r="13371">
      <c r="A13371" s="11" t="s">
        <v>49</v>
      </c>
      <c r="B13371" s="12">
        <v>1000.5924</v>
      </c>
      <c r="C13371" s="12">
        <v>0</v>
      </c>
      <c r="D13371" s="13">
        <v>0</v>
      </c>
      <c r="E13371" s="12">
        <v>0</v>
      </c>
      <c r="F13371" s="14">
        <v>0</v>
      </c>
      <c r="G13371" s="13">
        <v>71983984.9368</v>
      </c>
      <c r="H13371" s="14">
        <v>72026628249.476562</v>
      </c>
      <c r="I13371" s="14" t="e">
        <f>=Round(3247102.09320000,0)</f>
        <v>#VALUE!</v>
      </c>
      <c r="J13371" s="14" t="e">
        <f>=Round(0.00000000,0)</f>
        <v>#VALUE!</v>
      </c>
    </row>
    <row r="13372">
      <c r="A13372" s="11" t="s">
        <v>50</v>
      </c>
      <c r="B13372" s="12">
        <v>1000.5924</v>
      </c>
      <c r="C13372" s="12">
        <v>0</v>
      </c>
      <c r="D13372" s="13">
        <v>0</v>
      </c>
      <c r="E13372" s="12">
        <v>0</v>
      </c>
      <c r="F13372" s="14">
        <v>0</v>
      </c>
      <c r="G13372" s="13">
        <v>71983984.9368</v>
      </c>
      <c r="H13372" s="14">
        <v>72026628249.476562</v>
      </c>
      <c r="I13372" s="14" t="e">
        <f>=Round(3247102.09320000,0)</f>
        <v>#VALUE!</v>
      </c>
      <c r="J13372" s="14" t="e">
        <f>=Round(0.00000000,0)</f>
        <v>#VALUE!</v>
      </c>
    </row>
    <row r="13373">
      <c r="A13373" s="11" t="s">
        <v>51</v>
      </c>
      <c r="B13373" s="12">
        <v>998.218</v>
      </c>
      <c r="C13373" s="12">
        <v>0</v>
      </c>
      <c r="D13373" s="13">
        <v>0</v>
      </c>
      <c r="E13373" s="12">
        <v>0</v>
      </c>
      <c r="F13373" s="14">
        <v>0</v>
      </c>
      <c r="G13373" s="13">
        <v>71983984.9368</v>
      </c>
      <c r="H13373" s="14">
        <v>71855709475.642624</v>
      </c>
      <c r="I13373" s="14" t="e">
        <f>=Round(3247102.09320000,0)</f>
        <v>#VALUE!</v>
      </c>
      <c r="J13373" s="14" t="e">
        <f>=Round(0.00000000,0)</f>
        <v>#VALUE!</v>
      </c>
    </row>
    <row r="13374">
      <c r="A13374" s="11" t="s">
        <v>52</v>
      </c>
      <c r="B13374" s="12">
        <v>998.1735</v>
      </c>
      <c r="C13374" s="12">
        <v>0</v>
      </c>
      <c r="D13374" s="13">
        <v>0</v>
      </c>
      <c r="E13374" s="12">
        <v>0</v>
      </c>
      <c r="F13374" s="14">
        <v>0</v>
      </c>
      <c r="G13374" s="13">
        <v>71983984.9368</v>
      </c>
      <c r="H13374" s="14">
        <v>71852506188.312943</v>
      </c>
      <c r="I13374" s="14" t="e">
        <f>=Round(3239396.73870000,0)</f>
        <v>#VALUE!</v>
      </c>
      <c r="J13374" s="14" t="e">
        <f>=Round(0.00000000,0)</f>
        <v>#VALUE!</v>
      </c>
    </row>
    <row r="13375">
      <c r="A13375" s="11" t="s">
        <v>53</v>
      </c>
      <c r="B13375" s="12">
        <v>995.9917</v>
      </c>
      <c r="C13375" s="12">
        <v>0</v>
      </c>
      <c r="D13375" s="13">
        <v>0</v>
      </c>
      <c r="E13375" s="12">
        <v>0</v>
      </c>
      <c r="F13375" s="14">
        <v>0</v>
      </c>
      <c r="G13375" s="13">
        <v>71983984.9368</v>
      </c>
      <c r="H13375" s="14">
        <v>71695451529.977829</v>
      </c>
      <c r="I13375" s="14" t="e">
        <f>=Round(3239252.32820000,0)</f>
        <v>#VALUE!</v>
      </c>
      <c r="J13375" s="14" t="e">
        <f>=Round(0.00000000,0)</f>
        <v>#VALUE!</v>
      </c>
    </row>
    <row r="13376">
      <c r="A13376" s="11" t="s">
        <v>54</v>
      </c>
      <c r="B13376" s="12">
        <v>994.505</v>
      </c>
      <c r="C13376" s="12">
        <v>0</v>
      </c>
      <c r="D13376" s="13">
        <v>0</v>
      </c>
      <c r="E13376" s="12">
        <v>0</v>
      </c>
      <c r="F13376" s="14">
        <v>0</v>
      </c>
      <c r="G13376" s="13">
        <v>71983984.9368</v>
      </c>
      <c r="H13376" s="14">
        <v>71588432939.572281</v>
      </c>
      <c r="I13376" s="14" t="e">
        <f>=Round(3232171.99520000,0)</f>
        <v>#VALUE!</v>
      </c>
      <c r="J13376" s="14" t="e">
        <f>=Round(0.00000000,0)</f>
        <v>#VALUE!</v>
      </c>
    </row>
    <row r="13377">
      <c r="A13377" s="11" t="s">
        <v>55</v>
      </c>
      <c r="B13377" s="12">
        <v>992.5122</v>
      </c>
      <c r="C13377" s="12">
        <v>0</v>
      </c>
      <c r="D13377" s="13">
        <v>0</v>
      </c>
      <c r="E13377" s="12">
        <v>0</v>
      </c>
      <c r="F13377" s="14">
        <v>0</v>
      </c>
      <c r="G13377" s="13">
        <v>71983984.9368</v>
      </c>
      <c r="H13377" s="14">
        <v>71444983254.390228</v>
      </c>
      <c r="I13377" s="14" t="e">
        <f>=Round(3227347.38660000,0)</f>
        <v>#VALUE!</v>
      </c>
      <c r="J13377" s="14" t="e">
        <f>=Round(0.00000000,0)</f>
        <v>#VALUE!</v>
      </c>
    </row>
    <row r="13378" ht="-1">
      <c r="A13378" s="15"/>
      <c r="B13378" s="16" t="s">
        <v>56</v>
      </c>
      <c r="C13378" s="15"/>
      <c r="D13378" s="15"/>
      <c r="E13378" s="15"/>
      <c r="F13378" s="15"/>
      <c r="G13378" s="15"/>
      <c r="H13378" s="15"/>
      <c r="I13378" s="17" t="e">
        <f>=Round(SUM(I13366:I13377),0)</f>
        <v>#VALUE!</v>
      </c>
      <c r="J13378" s="17" t="e">
        <f>=Round(SUM(J13366:J13377),0)</f>
        <v>#VALUE!</v>
      </c>
    </row>
    <row r="13379">
      <c r="A13379" s="1" t="s">
        <v>0</v>
      </c>
      <c r="B13379" s="1"/>
      <c r="C13379" s="1"/>
      <c r="D13379" s="1"/>
    </row>
    <row r="13380">
      <c r="A13380" s="0" t="s">
        <v>1</v>
      </c>
      <c r="C13380" s="0" t="s">
        <v>445</v>
      </c>
      <c r="H13380" s="2" t="s">
        <v>3</v>
      </c>
    </row>
    <row r="13381">
      <c r="A13381" s="0" t="s">
        <v>4</v>
      </c>
      <c r="C13381" s="0" t="s">
        <v>312</v>
      </c>
      <c r="H13381" s="3" t="s">
        <v>6</v>
      </c>
    </row>
    <row r="13382">
      <c r="A13382" s="0" t="s">
        <v>7</v>
      </c>
      <c r="C13382" s="4" t="s">
        <v>219</v>
      </c>
      <c r="H13382" s="2" t="s">
        <v>9</v>
      </c>
    </row>
    <row r="13383">
      <c r="A13383" s="0" t="s">
        <v>10</v>
      </c>
      <c r="C13383" s="4" t="s">
        <v>11</v>
      </c>
      <c r="H13383" s="2" t="s">
        <v>12</v>
      </c>
    </row>
    <row r="13384">
      <c r="A13384" s="0" t="s">
        <v>13</v>
      </c>
      <c r="C13384" s="0" t="s">
        <v>14</v>
      </c>
    </row>
    <row r="13385">
      <c r="A13385" s="0" t="s">
        <v>15</v>
      </c>
      <c r="C13385" s="0" t="s">
        <v>16</v>
      </c>
    </row>
    <row r="13386">
      <c r="A13386" s="0" t="s">
        <v>17</v>
      </c>
      <c r="C13386" s="0" t="s">
        <v>18</v>
      </c>
    </row>
    <row r="13389">
      <c r="A13389" s="5" t="s">
        <v>19</v>
      </c>
      <c r="B13389" s="5" t="s">
        <v>20</v>
      </c>
      <c r="C13389" s="7" t="s">
        <v>21</v>
      </c>
      <c r="D13389" s="9"/>
      <c r="E13389" s="7" t="s">
        <v>22</v>
      </c>
      <c r="F13389" s="9"/>
      <c r="G13389" s="5" t="s">
        <v>23</v>
      </c>
      <c r="H13389" s="5" t="s">
        <v>24</v>
      </c>
      <c r="I13389" s="5" t="s">
        <v>220</v>
      </c>
      <c r="J13389" s="5" t="s">
        <v>26</v>
      </c>
    </row>
    <row r="13390">
      <c r="A13390" s="6"/>
      <c r="B13390" s="6"/>
      <c r="C13390" s="8" t="s">
        <v>27</v>
      </c>
      <c r="D13390" s="8" t="s">
        <v>28</v>
      </c>
      <c r="E13390" s="8" t="s">
        <v>27</v>
      </c>
      <c r="F13390" s="8" t="s">
        <v>28</v>
      </c>
      <c r="G13390" s="6"/>
      <c r="H13390" s="6"/>
      <c r="I13390" s="10" t="s">
        <v>29</v>
      </c>
      <c r="J13390" s="6"/>
    </row>
    <row r="13391">
      <c r="A13391" s="11" t="s">
        <v>44</v>
      </c>
      <c r="B13391" s="12">
        <v>1000</v>
      </c>
      <c r="C13391" s="12">
        <v>20000000</v>
      </c>
      <c r="D13391" s="13">
        <v>20000000000</v>
      </c>
      <c r="E13391" s="12">
        <v>0</v>
      </c>
      <c r="F13391" s="14">
        <v>0</v>
      </c>
      <c r="G13391" s="13">
        <v>0</v>
      </c>
      <c r="H13391" s="14">
        <v>0</v>
      </c>
      <c r="I13391" s="14" t="e">
        <f>=Round(0.00000000,0)</f>
        <v>#VALUE!</v>
      </c>
      <c r="J13391" s="14" t="e">
        <f>=Round(0.00000000,0)</f>
        <v>#VALUE!</v>
      </c>
    </row>
    <row r="13392">
      <c r="A13392" s="11" t="s">
        <v>45</v>
      </c>
      <c r="B13392" s="12">
        <v>1000.315</v>
      </c>
      <c r="C13392" s="12">
        <v>1999370.1984</v>
      </c>
      <c r="D13392" s="13">
        <v>2000000000</v>
      </c>
      <c r="E13392" s="12">
        <v>0</v>
      </c>
      <c r="F13392" s="14">
        <v>0</v>
      </c>
      <c r="G13392" s="13">
        <v>0</v>
      </c>
      <c r="H13392" s="14">
        <v>0</v>
      </c>
      <c r="I13392" s="14" t="e">
        <f>=Round(0.00000000,0)</f>
        <v>#VALUE!</v>
      </c>
      <c r="J13392" s="14" t="e">
        <f>=Round(0.00000000,0)</f>
        <v>#VALUE!</v>
      </c>
    </row>
    <row r="13393">
      <c r="A13393" s="11" t="s">
        <v>46</v>
      </c>
      <c r="B13393" s="12">
        <v>1000.3</v>
      </c>
      <c r="C13393" s="12">
        <v>7497750.6748</v>
      </c>
      <c r="D13393" s="13">
        <v>7500000000</v>
      </c>
      <c r="E13393" s="12">
        <v>0</v>
      </c>
      <c r="F13393" s="14">
        <v>0</v>
      </c>
      <c r="G13393" s="13">
        <v>21999370.1984</v>
      </c>
      <c r="H13393" s="14">
        <v>22005970009.459518</v>
      </c>
      <c r="I13393" s="14" t="e">
        <f>=Round(0.00000000,0)</f>
        <v>#VALUE!</v>
      </c>
      <c r="J13393" s="14" t="e">
        <f>=Round(0.00000000,0)</f>
        <v>#VALUE!</v>
      </c>
    </row>
    <row r="13394">
      <c r="A13394" s="11" t="s">
        <v>47</v>
      </c>
      <c r="B13394" s="12">
        <v>1000.6573</v>
      </c>
      <c r="C13394" s="12">
        <v>0</v>
      </c>
      <c r="D13394" s="13">
        <v>0</v>
      </c>
      <c r="E13394" s="12">
        <v>0</v>
      </c>
      <c r="F13394" s="14">
        <v>0</v>
      </c>
      <c r="G13394" s="13">
        <v>29497120.8732</v>
      </c>
      <c r="H13394" s="14">
        <v>29516509330.74995</v>
      </c>
      <c r="I13394" s="14" t="e">
        <f>=Round(992072.41850000,0)</f>
        <v>#VALUE!</v>
      </c>
      <c r="J13394" s="14" t="e">
        <f>=Round(0.00000000,0)</f>
        <v>#VALUE!</v>
      </c>
    </row>
    <row r="13395">
      <c r="A13395" s="11" t="s">
        <v>48</v>
      </c>
      <c r="B13395" s="12">
        <v>1000.5924</v>
      </c>
      <c r="C13395" s="12">
        <v>0</v>
      </c>
      <c r="D13395" s="13">
        <v>0</v>
      </c>
      <c r="E13395" s="12">
        <v>0</v>
      </c>
      <c r="F13395" s="14">
        <v>0</v>
      </c>
      <c r="G13395" s="13">
        <v>29497120.8732</v>
      </c>
      <c r="H13395" s="14">
        <v>29514594967.605286</v>
      </c>
      <c r="I13395" s="14" t="e">
        <f>=Round(1330662.30590000,0)</f>
        <v>#VALUE!</v>
      </c>
      <c r="J13395" s="14" t="e">
        <f>=Round(0.00000000,0)</f>
        <v>#VALUE!</v>
      </c>
    </row>
    <row r="13396">
      <c r="A13396" s="11" t="s">
        <v>49</v>
      </c>
      <c r="B13396" s="12">
        <v>1000.5924</v>
      </c>
      <c r="C13396" s="12">
        <v>0</v>
      </c>
      <c r="D13396" s="13">
        <v>0</v>
      </c>
      <c r="E13396" s="12">
        <v>0</v>
      </c>
      <c r="F13396" s="14">
        <v>0</v>
      </c>
      <c r="G13396" s="13">
        <v>29497120.8732</v>
      </c>
      <c r="H13396" s="14">
        <v>29514594967.605286</v>
      </c>
      <c r="I13396" s="14" t="e">
        <f>=Round(1330576.00260000,0)</f>
        <v>#VALUE!</v>
      </c>
      <c r="J13396" s="14" t="e">
        <f>=Round(0.00000000,0)</f>
        <v>#VALUE!</v>
      </c>
    </row>
    <row r="13397">
      <c r="A13397" s="11" t="s">
        <v>50</v>
      </c>
      <c r="B13397" s="12">
        <v>1000.5924</v>
      </c>
      <c r="C13397" s="12">
        <v>0</v>
      </c>
      <c r="D13397" s="13">
        <v>0</v>
      </c>
      <c r="E13397" s="12">
        <v>0</v>
      </c>
      <c r="F13397" s="14">
        <v>0</v>
      </c>
      <c r="G13397" s="13">
        <v>29497120.8732</v>
      </c>
      <c r="H13397" s="14">
        <v>29514594967.605286</v>
      </c>
      <c r="I13397" s="14" t="e">
        <f>=Round(1330576.00260000,0)</f>
        <v>#VALUE!</v>
      </c>
      <c r="J13397" s="14" t="e">
        <f>=Round(0.00000000,0)</f>
        <v>#VALUE!</v>
      </c>
    </row>
    <row r="13398">
      <c r="A13398" s="11" t="s">
        <v>51</v>
      </c>
      <c r="B13398" s="12">
        <v>998.218</v>
      </c>
      <c r="C13398" s="12">
        <v>0</v>
      </c>
      <c r="D13398" s="13">
        <v>0</v>
      </c>
      <c r="E13398" s="12">
        <v>0</v>
      </c>
      <c r="F13398" s="14">
        <v>0</v>
      </c>
      <c r="G13398" s="13">
        <v>29497120.8732</v>
      </c>
      <c r="H13398" s="14">
        <v>29444557003.803959</v>
      </c>
      <c r="I13398" s="14" t="e">
        <f>=Round(1330576.00260000,0)</f>
        <v>#VALUE!</v>
      </c>
      <c r="J13398" s="14" t="e">
        <f>=Round(0.00000000,0)</f>
        <v>#VALUE!</v>
      </c>
    </row>
    <row r="13399">
      <c r="A13399" s="11" t="s">
        <v>52</v>
      </c>
      <c r="B13399" s="12">
        <v>998.1735</v>
      </c>
      <c r="C13399" s="12">
        <v>0</v>
      </c>
      <c r="D13399" s="13">
        <v>0</v>
      </c>
      <c r="E13399" s="12">
        <v>0</v>
      </c>
      <c r="F13399" s="14">
        <v>0</v>
      </c>
      <c r="G13399" s="13">
        <v>29497120.8732</v>
      </c>
      <c r="H13399" s="14">
        <v>29443244381.9251</v>
      </c>
      <c r="I13399" s="14" t="e">
        <f>=Round(1327418.55350000,0)</f>
        <v>#VALUE!</v>
      </c>
      <c r="J13399" s="14" t="e">
        <f>=Round(0.00000000,0)</f>
        <v>#VALUE!</v>
      </c>
    </row>
    <row r="13400">
      <c r="A13400" s="11" t="s">
        <v>53</v>
      </c>
      <c r="B13400" s="12">
        <v>995.9917</v>
      </c>
      <c r="C13400" s="12">
        <v>0</v>
      </c>
      <c r="D13400" s="13">
        <v>0</v>
      </c>
      <c r="E13400" s="12">
        <v>0</v>
      </c>
      <c r="F13400" s="14">
        <v>0</v>
      </c>
      <c r="G13400" s="13">
        <v>29497120.8732</v>
      </c>
      <c r="H13400" s="14">
        <v>29378887563.60395</v>
      </c>
      <c r="I13400" s="14" t="e">
        <f>=Round(1327359.37790000,0)</f>
        <v>#VALUE!</v>
      </c>
      <c r="J13400" s="14" t="e">
        <f>=Round(0.00000000,0)</f>
        <v>#VALUE!</v>
      </c>
    </row>
    <row r="13401">
      <c r="A13401" s="11" t="s">
        <v>54</v>
      </c>
      <c r="B13401" s="12">
        <v>994.505</v>
      </c>
      <c r="C13401" s="12">
        <v>0</v>
      </c>
      <c r="D13401" s="13">
        <v>0</v>
      </c>
      <c r="E13401" s="12">
        <v>0</v>
      </c>
      <c r="F13401" s="14">
        <v>0</v>
      </c>
      <c r="G13401" s="13">
        <v>29497120.8732</v>
      </c>
      <c r="H13401" s="14">
        <v>29335034194.001766</v>
      </c>
      <c r="I13401" s="14" t="e">
        <f>=Round(1324458.04590000,0)</f>
        <v>#VALUE!</v>
      </c>
      <c r="J13401" s="14" t="e">
        <f>=Round(0.00000000,0)</f>
        <v>#VALUE!</v>
      </c>
    </row>
    <row r="13402">
      <c r="A13402" s="11" t="s">
        <v>55</v>
      </c>
      <c r="B13402" s="12">
        <v>992.5122</v>
      </c>
      <c r="C13402" s="12">
        <v>0</v>
      </c>
      <c r="D13402" s="13">
        <v>0</v>
      </c>
      <c r="E13402" s="12">
        <v>0</v>
      </c>
      <c r="F13402" s="14">
        <v>0</v>
      </c>
      <c r="G13402" s="13">
        <v>29497120.8732</v>
      </c>
      <c r="H13402" s="14">
        <v>29276252331.525654</v>
      </c>
      <c r="I13402" s="14" t="e">
        <f>=Round(1322481.04970000,0)</f>
        <v>#VALUE!</v>
      </c>
      <c r="J13402" s="14" t="e">
        <f>=Round(0.00000000,0)</f>
        <v>#VALUE!</v>
      </c>
    </row>
    <row r="13403" ht="-1">
      <c r="A13403" s="15"/>
      <c r="B13403" s="16" t="s">
        <v>56</v>
      </c>
      <c r="C13403" s="15"/>
      <c r="D13403" s="15"/>
      <c r="E13403" s="15"/>
      <c r="F13403" s="15"/>
      <c r="G13403" s="15"/>
      <c r="H13403" s="15"/>
      <c r="I13403" s="17" t="e">
        <f>=Round(SUM(I13391:I13402),0)</f>
        <v>#VALUE!</v>
      </c>
      <c r="J13403" s="17" t="e">
        <f>=Round(SUM(J13391:J13402),0)</f>
        <v>#VALUE!</v>
      </c>
    </row>
    <row r="13404">
      <c r="A13404" s="1" t="s">
        <v>0</v>
      </c>
      <c r="B13404" s="1"/>
      <c r="C13404" s="1"/>
      <c r="D13404" s="1"/>
    </row>
    <row r="13405">
      <c r="A13405" s="0" t="s">
        <v>1</v>
      </c>
      <c r="C13405" s="0" t="s">
        <v>446</v>
      </c>
      <c r="H13405" s="2" t="s">
        <v>3</v>
      </c>
    </row>
    <row r="13406">
      <c r="A13406" s="0" t="s">
        <v>4</v>
      </c>
      <c r="C13406" s="0" t="s">
        <v>425</v>
      </c>
      <c r="H13406" s="3" t="s">
        <v>6</v>
      </c>
    </row>
    <row r="13407">
      <c r="A13407" s="0" t="s">
        <v>7</v>
      </c>
      <c r="C13407" s="4" t="s">
        <v>447</v>
      </c>
      <c r="H13407" s="2" t="s">
        <v>9</v>
      </c>
    </row>
    <row r="13408">
      <c r="A13408" s="0" t="s">
        <v>10</v>
      </c>
      <c r="C13408" s="4" t="s">
        <v>11</v>
      </c>
      <c r="H13408" s="2" t="s">
        <v>12</v>
      </c>
    </row>
    <row r="13409">
      <c r="A13409" s="0" t="s">
        <v>13</v>
      </c>
      <c r="C13409" s="0" t="s">
        <v>14</v>
      </c>
    </row>
    <row r="13410">
      <c r="A13410" s="0" t="s">
        <v>15</v>
      </c>
      <c r="C13410" s="0" t="s">
        <v>16</v>
      </c>
    </row>
    <row r="13411">
      <c r="A13411" s="0" t="s">
        <v>17</v>
      </c>
      <c r="C13411" s="0" t="s">
        <v>18</v>
      </c>
    </row>
    <row r="13414">
      <c r="A13414" s="5" t="s">
        <v>19</v>
      </c>
      <c r="B13414" s="5" t="s">
        <v>20</v>
      </c>
      <c r="C13414" s="7" t="s">
        <v>21</v>
      </c>
      <c r="D13414" s="9"/>
      <c r="E13414" s="7" t="s">
        <v>22</v>
      </c>
      <c r="F13414" s="9"/>
      <c r="G13414" s="5" t="s">
        <v>23</v>
      </c>
      <c r="H13414" s="5" t="s">
        <v>24</v>
      </c>
      <c r="I13414" s="5" t="s">
        <v>448</v>
      </c>
      <c r="J13414" s="5" t="s">
        <v>26</v>
      </c>
    </row>
    <row r="13415">
      <c r="A13415" s="6"/>
      <c r="B13415" s="6"/>
      <c r="C13415" s="8" t="s">
        <v>27</v>
      </c>
      <c r="D13415" s="8" t="s">
        <v>28</v>
      </c>
      <c r="E13415" s="8" t="s">
        <v>27</v>
      </c>
      <c r="F13415" s="8" t="s">
        <v>28</v>
      </c>
      <c r="G13415" s="6"/>
      <c r="H13415" s="6"/>
      <c r="I13415" s="10" t="s">
        <v>29</v>
      </c>
      <c r="J13415" s="6"/>
    </row>
    <row r="13416">
      <c r="A13416" s="11" t="s">
        <v>51</v>
      </c>
      <c r="B13416" s="12">
        <v>1000</v>
      </c>
      <c r="C13416" s="12">
        <v>210000000</v>
      </c>
      <c r="D13416" s="13">
        <v>210000000000</v>
      </c>
      <c r="E13416" s="12">
        <v>0</v>
      </c>
      <c r="F13416" s="14">
        <v>0</v>
      </c>
      <c r="G13416" s="13">
        <v>0</v>
      </c>
      <c r="H13416" s="14">
        <v>0</v>
      </c>
      <c r="I13416" s="14" t="e">
        <f>=Round(0.00000000,0)</f>
        <v>#VALUE!</v>
      </c>
      <c r="J13416" s="14" t="e">
        <f>=Round(0.00000000,0)</f>
        <v>#VALUE!</v>
      </c>
    </row>
    <row r="13417">
      <c r="A13417" s="11" t="s">
        <v>52</v>
      </c>
      <c r="B13417" s="12">
        <v>1000.089</v>
      </c>
      <c r="C13417" s="12">
        <v>0</v>
      </c>
      <c r="D13417" s="13">
        <v>0</v>
      </c>
      <c r="E13417" s="12">
        <v>0</v>
      </c>
      <c r="F13417" s="14">
        <v>0</v>
      </c>
      <c r="G13417" s="13">
        <v>210000000</v>
      </c>
      <c r="H13417" s="14">
        <v>210018690000</v>
      </c>
      <c r="I13417" s="14" t="e">
        <f>=Round(0.00000000,0)</f>
        <v>#VALUE!</v>
      </c>
      <c r="J13417" s="14" t="e">
        <f>=Round(0.00000000,0)</f>
        <v>#VALUE!</v>
      </c>
    </row>
    <row r="13418">
      <c r="A13418" s="11" t="s">
        <v>53</v>
      </c>
      <c r="B13418" s="12">
        <v>1000.1768</v>
      </c>
      <c r="C13418" s="12">
        <v>0</v>
      </c>
      <c r="D13418" s="13">
        <v>0</v>
      </c>
      <c r="E13418" s="12">
        <v>0</v>
      </c>
      <c r="F13418" s="14">
        <v>0</v>
      </c>
      <c r="G13418" s="13">
        <v>210000000</v>
      </c>
      <c r="H13418" s="14">
        <v>210037128000</v>
      </c>
      <c r="I13418" s="14" t="e">
        <f>=Round(0.00000000,0)</f>
        <v>#VALUE!</v>
      </c>
      <c r="J13418" s="14" t="e">
        <f>=Round(0.00000000,0)</f>
        <v>#VALUE!</v>
      </c>
    </row>
    <row r="13419">
      <c r="A13419" s="11" t="s">
        <v>54</v>
      </c>
      <c r="B13419" s="12">
        <v>1000.156</v>
      </c>
      <c r="C13419" s="12">
        <v>0</v>
      </c>
      <c r="D13419" s="13">
        <v>0</v>
      </c>
      <c r="E13419" s="12">
        <v>0</v>
      </c>
      <c r="F13419" s="14">
        <v>0</v>
      </c>
      <c r="G13419" s="13">
        <v>210000000</v>
      </c>
      <c r="H13419" s="14">
        <v>210032760000</v>
      </c>
      <c r="I13419" s="14" t="e">
        <f>=Round(3730167.57380000,0)</f>
        <v>#VALUE!</v>
      </c>
      <c r="J13419" s="14" t="e">
        <f>=Round(0.00000000,0)</f>
        <v>#VALUE!</v>
      </c>
    </row>
    <row r="13420">
      <c r="A13420" s="11" t="s">
        <v>55</v>
      </c>
      <c r="B13420" s="12">
        <v>1000.3967</v>
      </c>
      <c r="C13420" s="12">
        <v>0</v>
      </c>
      <c r="D13420" s="13">
        <v>0</v>
      </c>
      <c r="E13420" s="12">
        <v>0</v>
      </c>
      <c r="F13420" s="14">
        <v>0</v>
      </c>
      <c r="G13420" s="13">
        <v>210000000</v>
      </c>
      <c r="H13420" s="14">
        <v>210083307000</v>
      </c>
      <c r="I13420" s="14" t="e">
        <f>=Round(3730090.00000000,0)</f>
        <v>#VALUE!</v>
      </c>
      <c r="J13420" s="14" t="e">
        <f>=Round(0.00000000,0)</f>
        <v>#VALUE!</v>
      </c>
    </row>
    <row r="13421" ht="-1">
      <c r="A13421" s="15"/>
      <c r="B13421" s="16" t="s">
        <v>56</v>
      </c>
      <c r="C13421" s="15"/>
      <c r="D13421" s="15"/>
      <c r="E13421" s="15"/>
      <c r="F13421" s="15"/>
      <c r="G13421" s="15"/>
      <c r="H13421" s="15"/>
      <c r="I13421" s="17" t="e">
        <f>=Round(SUM(I13416:I13420),0)</f>
        <v>#VALUE!</v>
      </c>
      <c r="J13421" s="17" t="e">
        <f>=Round(SUM(J13416:J13420),0)</f>
        <v>#VALUE!</v>
      </c>
    </row>
  </sheetData>
  <mergeCells>
    <mergeCell ref="A1:D1"/>
    <mergeCell ref="A2:B2"/>
    <mergeCell ref="H2:J2"/>
    <mergeCell ref="A3:B3"/>
    <mergeCell ref="H3:J3"/>
    <mergeCell ref="A4:B4"/>
    <mergeCell ref="H4:J4"/>
    <mergeCell ref="H5:J5"/>
    <mergeCell ref="A5:B5"/>
    <mergeCell ref="A6:B6"/>
    <mergeCell ref="A7:B7"/>
    <mergeCell ref="A8:B8"/>
    <mergeCell ref="A11:A12"/>
    <mergeCell ref="B11:B12"/>
    <mergeCell ref="C11:D11"/>
    <mergeCell ref="E11:F11"/>
    <mergeCell ref="G11:G12"/>
    <mergeCell ref="H11:H12"/>
    <mergeCell ref="I11:I12"/>
    <mergeCell ref="J11:J12"/>
    <mergeCell ref="A40:D40"/>
    <mergeCell ref="A41:B41"/>
    <mergeCell ref="H41:J41"/>
    <mergeCell ref="A42:B42"/>
    <mergeCell ref="H42:J42"/>
    <mergeCell ref="A43:B43"/>
    <mergeCell ref="H43:J43"/>
    <mergeCell ref="H44:J44"/>
    <mergeCell ref="A44:B44"/>
    <mergeCell ref="A45:B45"/>
    <mergeCell ref="A46:B46"/>
    <mergeCell ref="A47:B47"/>
    <mergeCell ref="A50:A51"/>
    <mergeCell ref="B50:B51"/>
    <mergeCell ref="C50:D50"/>
    <mergeCell ref="E50:F50"/>
    <mergeCell ref="G50:G51"/>
    <mergeCell ref="H50:H51"/>
    <mergeCell ref="I50:I51"/>
    <mergeCell ref="J50:J51"/>
    <mergeCell ref="A79:D79"/>
    <mergeCell ref="A80:B80"/>
    <mergeCell ref="H80:J80"/>
    <mergeCell ref="A81:B81"/>
    <mergeCell ref="H81:J81"/>
    <mergeCell ref="A82:B82"/>
    <mergeCell ref="H82:J82"/>
    <mergeCell ref="H83:J83"/>
    <mergeCell ref="A83:B83"/>
    <mergeCell ref="A84:B84"/>
    <mergeCell ref="A85:B85"/>
    <mergeCell ref="A86:B86"/>
    <mergeCell ref="A89:A90"/>
    <mergeCell ref="B89:B90"/>
    <mergeCell ref="C89:D89"/>
    <mergeCell ref="E89:F89"/>
    <mergeCell ref="G89:G90"/>
    <mergeCell ref="H89:H90"/>
    <mergeCell ref="I89:I90"/>
    <mergeCell ref="J89:J90"/>
    <mergeCell ref="A118:D118"/>
    <mergeCell ref="A119:B119"/>
    <mergeCell ref="H119:J119"/>
    <mergeCell ref="A120:B120"/>
    <mergeCell ref="H120:J120"/>
    <mergeCell ref="A121:B121"/>
    <mergeCell ref="H121:J121"/>
    <mergeCell ref="H122:J122"/>
    <mergeCell ref="A122:B122"/>
    <mergeCell ref="A123:B123"/>
    <mergeCell ref="A124:B124"/>
    <mergeCell ref="A125:B125"/>
    <mergeCell ref="A128:A129"/>
    <mergeCell ref="B128:B129"/>
    <mergeCell ref="C128:D128"/>
    <mergeCell ref="E128:F128"/>
    <mergeCell ref="G128:G129"/>
    <mergeCell ref="H128:H129"/>
    <mergeCell ref="I128:I129"/>
    <mergeCell ref="J128:J129"/>
    <mergeCell ref="A157:D157"/>
    <mergeCell ref="A158:B158"/>
    <mergeCell ref="H158:J158"/>
    <mergeCell ref="A159:B159"/>
    <mergeCell ref="H159:J159"/>
    <mergeCell ref="A160:B160"/>
    <mergeCell ref="H160:J160"/>
    <mergeCell ref="H161:J161"/>
    <mergeCell ref="A161:B161"/>
    <mergeCell ref="A162:B162"/>
    <mergeCell ref="A163:B163"/>
    <mergeCell ref="A164:B164"/>
    <mergeCell ref="A167:A168"/>
    <mergeCell ref="B167:B168"/>
    <mergeCell ref="C167:D167"/>
    <mergeCell ref="E167:F167"/>
    <mergeCell ref="G167:G168"/>
    <mergeCell ref="H167:H168"/>
    <mergeCell ref="I167:I168"/>
    <mergeCell ref="J167:J168"/>
    <mergeCell ref="A196:D196"/>
    <mergeCell ref="A197:B197"/>
    <mergeCell ref="H197:J197"/>
    <mergeCell ref="A198:B198"/>
    <mergeCell ref="H198:J198"/>
    <mergeCell ref="A199:B199"/>
    <mergeCell ref="H199:J199"/>
    <mergeCell ref="H200:J200"/>
    <mergeCell ref="A200:B200"/>
    <mergeCell ref="A201:B201"/>
    <mergeCell ref="A202:B202"/>
    <mergeCell ref="A203:B203"/>
    <mergeCell ref="A206:A207"/>
    <mergeCell ref="B206:B207"/>
    <mergeCell ref="C206:D206"/>
    <mergeCell ref="E206:F206"/>
    <mergeCell ref="G206:G207"/>
    <mergeCell ref="H206:H207"/>
    <mergeCell ref="I206:I207"/>
    <mergeCell ref="J206:J207"/>
    <mergeCell ref="A235:D235"/>
    <mergeCell ref="A236:B236"/>
    <mergeCell ref="H236:J236"/>
    <mergeCell ref="A237:B237"/>
    <mergeCell ref="H237:J237"/>
    <mergeCell ref="A238:B238"/>
    <mergeCell ref="H238:J238"/>
    <mergeCell ref="H239:J239"/>
    <mergeCell ref="A239:B239"/>
    <mergeCell ref="A240:B240"/>
    <mergeCell ref="A241:B241"/>
    <mergeCell ref="A242:B242"/>
    <mergeCell ref="A245:A246"/>
    <mergeCell ref="B245:B246"/>
    <mergeCell ref="C245:D245"/>
    <mergeCell ref="E245:F245"/>
    <mergeCell ref="G245:G246"/>
    <mergeCell ref="H245:H246"/>
    <mergeCell ref="I245:I246"/>
    <mergeCell ref="J245:J246"/>
    <mergeCell ref="A274:D274"/>
    <mergeCell ref="A275:B275"/>
    <mergeCell ref="H275:J275"/>
    <mergeCell ref="A276:B276"/>
    <mergeCell ref="H276:J276"/>
    <mergeCell ref="A277:B277"/>
    <mergeCell ref="H277:J277"/>
    <mergeCell ref="H278:J278"/>
    <mergeCell ref="A278:B278"/>
    <mergeCell ref="A279:B279"/>
    <mergeCell ref="A280:B280"/>
    <mergeCell ref="A281:B281"/>
    <mergeCell ref="A284:A285"/>
    <mergeCell ref="B284:B285"/>
    <mergeCell ref="C284:D284"/>
    <mergeCell ref="E284:F284"/>
    <mergeCell ref="G284:G285"/>
    <mergeCell ref="H284:H285"/>
    <mergeCell ref="I284:I285"/>
    <mergeCell ref="J284:J285"/>
    <mergeCell ref="A313:D313"/>
    <mergeCell ref="A314:B314"/>
    <mergeCell ref="H314:J314"/>
    <mergeCell ref="A315:B315"/>
    <mergeCell ref="H315:J315"/>
    <mergeCell ref="A316:B316"/>
    <mergeCell ref="H316:J316"/>
    <mergeCell ref="H317:J317"/>
    <mergeCell ref="A317:B317"/>
    <mergeCell ref="A318:B318"/>
    <mergeCell ref="A319:B319"/>
    <mergeCell ref="A320:B320"/>
    <mergeCell ref="A323:A324"/>
    <mergeCell ref="B323:B324"/>
    <mergeCell ref="C323:D323"/>
    <mergeCell ref="E323:F323"/>
    <mergeCell ref="G323:G324"/>
    <mergeCell ref="H323:H324"/>
    <mergeCell ref="I323:I324"/>
    <mergeCell ref="J323:J324"/>
    <mergeCell ref="A352:D352"/>
    <mergeCell ref="A353:B353"/>
    <mergeCell ref="H353:J353"/>
    <mergeCell ref="A354:B354"/>
    <mergeCell ref="H354:J354"/>
    <mergeCell ref="A355:B355"/>
    <mergeCell ref="H355:J355"/>
    <mergeCell ref="H356:J356"/>
    <mergeCell ref="A356:B356"/>
    <mergeCell ref="A357:B357"/>
    <mergeCell ref="A358:B358"/>
    <mergeCell ref="A359:B359"/>
    <mergeCell ref="A362:A363"/>
    <mergeCell ref="B362:B363"/>
    <mergeCell ref="C362:D362"/>
    <mergeCell ref="E362:F362"/>
    <mergeCell ref="G362:G363"/>
    <mergeCell ref="H362:H363"/>
    <mergeCell ref="I362:I363"/>
    <mergeCell ref="J362:J363"/>
    <mergeCell ref="A391:D391"/>
    <mergeCell ref="A392:B392"/>
    <mergeCell ref="H392:J392"/>
    <mergeCell ref="A393:B393"/>
    <mergeCell ref="H393:J393"/>
    <mergeCell ref="A394:B394"/>
    <mergeCell ref="H394:J394"/>
    <mergeCell ref="H395:J395"/>
    <mergeCell ref="A395:B395"/>
    <mergeCell ref="A396:B396"/>
    <mergeCell ref="A397:B397"/>
    <mergeCell ref="A398:B398"/>
    <mergeCell ref="A401:A402"/>
    <mergeCell ref="B401:B402"/>
    <mergeCell ref="C401:D401"/>
    <mergeCell ref="E401:F401"/>
    <mergeCell ref="G401:G402"/>
    <mergeCell ref="H401:H402"/>
    <mergeCell ref="I401:I402"/>
    <mergeCell ref="J401:J402"/>
    <mergeCell ref="A430:D430"/>
    <mergeCell ref="A431:B431"/>
    <mergeCell ref="H431:J431"/>
    <mergeCell ref="A432:B432"/>
    <mergeCell ref="H432:J432"/>
    <mergeCell ref="A433:B433"/>
    <mergeCell ref="H433:J433"/>
    <mergeCell ref="H434:J434"/>
    <mergeCell ref="A434:B434"/>
    <mergeCell ref="A435:B435"/>
    <mergeCell ref="A436:B436"/>
    <mergeCell ref="A437:B437"/>
    <mergeCell ref="A440:A441"/>
    <mergeCell ref="B440:B441"/>
    <mergeCell ref="C440:D440"/>
    <mergeCell ref="E440:F440"/>
    <mergeCell ref="G440:G441"/>
    <mergeCell ref="H440:H441"/>
    <mergeCell ref="I440:I441"/>
    <mergeCell ref="J440:J441"/>
    <mergeCell ref="A469:D469"/>
    <mergeCell ref="A470:B470"/>
    <mergeCell ref="H470:J470"/>
    <mergeCell ref="A471:B471"/>
    <mergeCell ref="H471:J471"/>
    <mergeCell ref="A472:B472"/>
    <mergeCell ref="H472:J472"/>
    <mergeCell ref="H473:J473"/>
    <mergeCell ref="A473:B473"/>
    <mergeCell ref="A474:B474"/>
    <mergeCell ref="A475:B475"/>
    <mergeCell ref="A476:B476"/>
    <mergeCell ref="A479:A480"/>
    <mergeCell ref="B479:B480"/>
    <mergeCell ref="C479:D479"/>
    <mergeCell ref="E479:F479"/>
    <mergeCell ref="G479:G480"/>
    <mergeCell ref="H479:H480"/>
    <mergeCell ref="I479:I480"/>
    <mergeCell ref="J479:J480"/>
    <mergeCell ref="A508:D508"/>
    <mergeCell ref="A509:B509"/>
    <mergeCell ref="H509:J509"/>
    <mergeCell ref="A510:B510"/>
    <mergeCell ref="H510:J510"/>
    <mergeCell ref="A511:B511"/>
    <mergeCell ref="H511:J511"/>
    <mergeCell ref="H512:J512"/>
    <mergeCell ref="A512:B512"/>
    <mergeCell ref="A513:B513"/>
    <mergeCell ref="A514:B514"/>
    <mergeCell ref="A515:B515"/>
    <mergeCell ref="A518:A519"/>
    <mergeCell ref="B518:B519"/>
    <mergeCell ref="C518:D518"/>
    <mergeCell ref="E518:F518"/>
    <mergeCell ref="G518:G519"/>
    <mergeCell ref="H518:H519"/>
    <mergeCell ref="I518:I519"/>
    <mergeCell ref="J518:J519"/>
    <mergeCell ref="A547:D547"/>
    <mergeCell ref="A548:B548"/>
    <mergeCell ref="H548:J548"/>
    <mergeCell ref="A549:B549"/>
    <mergeCell ref="H549:J549"/>
    <mergeCell ref="A550:B550"/>
    <mergeCell ref="H550:J550"/>
    <mergeCell ref="H551:J551"/>
    <mergeCell ref="A551:B551"/>
    <mergeCell ref="A552:B552"/>
    <mergeCell ref="A553:B553"/>
    <mergeCell ref="A554:B554"/>
    <mergeCell ref="A557:A558"/>
    <mergeCell ref="B557:B558"/>
    <mergeCell ref="C557:D557"/>
    <mergeCell ref="E557:F557"/>
    <mergeCell ref="G557:G558"/>
    <mergeCell ref="H557:H558"/>
    <mergeCell ref="I557:I558"/>
    <mergeCell ref="J557:J558"/>
    <mergeCell ref="A586:D586"/>
    <mergeCell ref="A587:B587"/>
    <mergeCell ref="H587:J587"/>
    <mergeCell ref="A588:B588"/>
    <mergeCell ref="H588:J588"/>
    <mergeCell ref="A589:B589"/>
    <mergeCell ref="H589:J589"/>
    <mergeCell ref="H590:J590"/>
    <mergeCell ref="A590:B590"/>
    <mergeCell ref="A591:B591"/>
    <mergeCell ref="A592:B592"/>
    <mergeCell ref="A593:B593"/>
    <mergeCell ref="A596:A597"/>
    <mergeCell ref="B596:B597"/>
    <mergeCell ref="C596:D596"/>
    <mergeCell ref="E596:F596"/>
    <mergeCell ref="G596:G597"/>
    <mergeCell ref="H596:H597"/>
    <mergeCell ref="I596:I597"/>
    <mergeCell ref="J596:J597"/>
    <mergeCell ref="A625:D625"/>
    <mergeCell ref="A626:B626"/>
    <mergeCell ref="H626:J626"/>
    <mergeCell ref="A627:B627"/>
    <mergeCell ref="H627:J627"/>
    <mergeCell ref="A628:B628"/>
    <mergeCell ref="H628:J628"/>
    <mergeCell ref="H629:J629"/>
    <mergeCell ref="A629:B629"/>
    <mergeCell ref="A630:B630"/>
    <mergeCell ref="A631:B631"/>
    <mergeCell ref="A632:B632"/>
    <mergeCell ref="A635:A636"/>
    <mergeCell ref="B635:B636"/>
    <mergeCell ref="C635:D635"/>
    <mergeCell ref="E635:F635"/>
    <mergeCell ref="G635:G636"/>
    <mergeCell ref="H635:H636"/>
    <mergeCell ref="I635:I636"/>
    <mergeCell ref="J635:J636"/>
    <mergeCell ref="A664:D664"/>
    <mergeCell ref="A665:B665"/>
    <mergeCell ref="H665:J665"/>
    <mergeCell ref="A666:B666"/>
    <mergeCell ref="H666:J666"/>
    <mergeCell ref="A667:B667"/>
    <mergeCell ref="H667:J667"/>
    <mergeCell ref="H668:J668"/>
    <mergeCell ref="A668:B668"/>
    <mergeCell ref="A669:B669"/>
    <mergeCell ref="A670:B670"/>
    <mergeCell ref="A671:B671"/>
    <mergeCell ref="A674:A675"/>
    <mergeCell ref="B674:B675"/>
    <mergeCell ref="C674:D674"/>
    <mergeCell ref="E674:F674"/>
    <mergeCell ref="G674:G675"/>
    <mergeCell ref="H674:H675"/>
    <mergeCell ref="I674:I675"/>
    <mergeCell ref="J674:J675"/>
    <mergeCell ref="A703:D703"/>
    <mergeCell ref="A704:B704"/>
    <mergeCell ref="H704:J704"/>
    <mergeCell ref="A705:B705"/>
    <mergeCell ref="H705:J705"/>
    <mergeCell ref="A706:B706"/>
    <mergeCell ref="H706:J706"/>
    <mergeCell ref="H707:J707"/>
    <mergeCell ref="A707:B707"/>
    <mergeCell ref="A708:B708"/>
    <mergeCell ref="A709:B709"/>
    <mergeCell ref="A710:B710"/>
    <mergeCell ref="A713:A714"/>
    <mergeCell ref="B713:B714"/>
    <mergeCell ref="C713:D713"/>
    <mergeCell ref="E713:F713"/>
    <mergeCell ref="G713:G714"/>
    <mergeCell ref="H713:H714"/>
    <mergeCell ref="I713:I714"/>
    <mergeCell ref="J713:J714"/>
    <mergeCell ref="A742:D742"/>
    <mergeCell ref="A743:B743"/>
    <mergeCell ref="H743:J743"/>
    <mergeCell ref="A744:B744"/>
    <mergeCell ref="H744:J744"/>
    <mergeCell ref="A745:B745"/>
    <mergeCell ref="H745:J745"/>
    <mergeCell ref="H746:J746"/>
    <mergeCell ref="A746:B746"/>
    <mergeCell ref="A747:B747"/>
    <mergeCell ref="A748:B748"/>
    <mergeCell ref="A749:B749"/>
    <mergeCell ref="A752:A753"/>
    <mergeCell ref="B752:B753"/>
    <mergeCell ref="C752:D752"/>
    <mergeCell ref="E752:F752"/>
    <mergeCell ref="G752:G753"/>
    <mergeCell ref="H752:H753"/>
    <mergeCell ref="I752:I753"/>
    <mergeCell ref="J752:J753"/>
    <mergeCell ref="A781:D781"/>
    <mergeCell ref="A782:B782"/>
    <mergeCell ref="H782:J782"/>
    <mergeCell ref="A783:B783"/>
    <mergeCell ref="H783:J783"/>
    <mergeCell ref="A784:B784"/>
    <mergeCell ref="H784:J784"/>
    <mergeCell ref="H785:J785"/>
    <mergeCell ref="A785:B785"/>
    <mergeCell ref="A786:B786"/>
    <mergeCell ref="A787:B787"/>
    <mergeCell ref="A788:B788"/>
    <mergeCell ref="A791:A792"/>
    <mergeCell ref="B791:B792"/>
    <mergeCell ref="C791:D791"/>
    <mergeCell ref="E791:F791"/>
    <mergeCell ref="G791:G792"/>
    <mergeCell ref="H791:H792"/>
    <mergeCell ref="I791:I792"/>
    <mergeCell ref="J791:J792"/>
    <mergeCell ref="A820:D820"/>
    <mergeCell ref="A821:B821"/>
    <mergeCell ref="H821:J821"/>
    <mergeCell ref="A822:B822"/>
    <mergeCell ref="H822:J822"/>
    <mergeCell ref="A823:B823"/>
    <mergeCell ref="H823:J823"/>
    <mergeCell ref="H824:J824"/>
    <mergeCell ref="A824:B824"/>
    <mergeCell ref="A825:B825"/>
    <mergeCell ref="A826:B826"/>
    <mergeCell ref="A827:B827"/>
    <mergeCell ref="A830:A831"/>
    <mergeCell ref="B830:B831"/>
    <mergeCell ref="C830:D830"/>
    <mergeCell ref="E830:F830"/>
    <mergeCell ref="G830:G831"/>
    <mergeCell ref="H830:H831"/>
    <mergeCell ref="I830:I831"/>
    <mergeCell ref="J830:J831"/>
    <mergeCell ref="A859:D859"/>
    <mergeCell ref="A860:B860"/>
    <mergeCell ref="H860:J860"/>
    <mergeCell ref="A861:B861"/>
    <mergeCell ref="H861:J861"/>
    <mergeCell ref="A862:B862"/>
    <mergeCell ref="H862:J862"/>
    <mergeCell ref="H863:J863"/>
    <mergeCell ref="A863:B863"/>
    <mergeCell ref="A864:B864"/>
    <mergeCell ref="A865:B865"/>
    <mergeCell ref="A866:B866"/>
    <mergeCell ref="A869:A870"/>
    <mergeCell ref="B869:B870"/>
    <mergeCell ref="C869:D869"/>
    <mergeCell ref="E869:F869"/>
    <mergeCell ref="G869:G870"/>
    <mergeCell ref="H869:H870"/>
    <mergeCell ref="I869:I870"/>
    <mergeCell ref="J869:J870"/>
    <mergeCell ref="A898:D898"/>
    <mergeCell ref="A899:B899"/>
    <mergeCell ref="H899:J899"/>
    <mergeCell ref="A900:B900"/>
    <mergeCell ref="H900:J900"/>
    <mergeCell ref="A901:B901"/>
    <mergeCell ref="H901:J901"/>
    <mergeCell ref="H902:J902"/>
    <mergeCell ref="A902:B902"/>
    <mergeCell ref="A903:B903"/>
    <mergeCell ref="A904:B904"/>
    <mergeCell ref="A905:B905"/>
    <mergeCell ref="A908:A909"/>
    <mergeCell ref="B908:B909"/>
    <mergeCell ref="C908:D908"/>
    <mergeCell ref="E908:F908"/>
    <mergeCell ref="G908:G909"/>
    <mergeCell ref="H908:H909"/>
    <mergeCell ref="I908:I909"/>
    <mergeCell ref="J908:J909"/>
    <mergeCell ref="A937:D937"/>
    <mergeCell ref="A938:B938"/>
    <mergeCell ref="H938:J938"/>
    <mergeCell ref="A939:B939"/>
    <mergeCell ref="H939:J939"/>
    <mergeCell ref="A940:B940"/>
    <mergeCell ref="H940:J940"/>
    <mergeCell ref="H941:J941"/>
    <mergeCell ref="A941:B941"/>
    <mergeCell ref="A942:B942"/>
    <mergeCell ref="A943:B943"/>
    <mergeCell ref="A944:B944"/>
    <mergeCell ref="A947:A948"/>
    <mergeCell ref="B947:B948"/>
    <mergeCell ref="C947:D947"/>
    <mergeCell ref="E947:F947"/>
    <mergeCell ref="G947:G948"/>
    <mergeCell ref="H947:H948"/>
    <mergeCell ref="I947:I948"/>
    <mergeCell ref="J947:J948"/>
    <mergeCell ref="A976:D976"/>
    <mergeCell ref="A977:B977"/>
    <mergeCell ref="H977:J977"/>
    <mergeCell ref="A978:B978"/>
    <mergeCell ref="H978:J978"/>
    <mergeCell ref="A979:B979"/>
    <mergeCell ref="H979:J979"/>
    <mergeCell ref="H980:J980"/>
    <mergeCell ref="A980:B980"/>
    <mergeCell ref="A981:B981"/>
    <mergeCell ref="A982:B982"/>
    <mergeCell ref="A983:B983"/>
    <mergeCell ref="A986:A987"/>
    <mergeCell ref="B986:B987"/>
    <mergeCell ref="C986:D986"/>
    <mergeCell ref="E986:F986"/>
    <mergeCell ref="G986:G987"/>
    <mergeCell ref="H986:H987"/>
    <mergeCell ref="I986:I987"/>
    <mergeCell ref="J986:J987"/>
    <mergeCell ref="A1015:D1015"/>
    <mergeCell ref="A1016:B1016"/>
    <mergeCell ref="H1016:J1016"/>
    <mergeCell ref="A1017:B1017"/>
    <mergeCell ref="H1017:J1017"/>
    <mergeCell ref="A1018:B1018"/>
    <mergeCell ref="H1018:J1018"/>
    <mergeCell ref="H1019:J1019"/>
    <mergeCell ref="A1019:B1019"/>
    <mergeCell ref="A1020:B1020"/>
    <mergeCell ref="A1021:B1021"/>
    <mergeCell ref="A1022:B1022"/>
    <mergeCell ref="A1025:A1026"/>
    <mergeCell ref="B1025:B1026"/>
    <mergeCell ref="C1025:D1025"/>
    <mergeCell ref="E1025:F1025"/>
    <mergeCell ref="G1025:G1026"/>
    <mergeCell ref="H1025:H1026"/>
    <mergeCell ref="I1025:I1026"/>
    <mergeCell ref="J1025:J1026"/>
    <mergeCell ref="A1054:D1054"/>
    <mergeCell ref="A1055:B1055"/>
    <mergeCell ref="H1055:J1055"/>
    <mergeCell ref="A1056:B1056"/>
    <mergeCell ref="H1056:J1056"/>
    <mergeCell ref="A1057:B1057"/>
    <mergeCell ref="H1057:J1057"/>
    <mergeCell ref="H1058:J1058"/>
    <mergeCell ref="A1058:B1058"/>
    <mergeCell ref="A1059:B1059"/>
    <mergeCell ref="A1060:B1060"/>
    <mergeCell ref="A1061:B1061"/>
    <mergeCell ref="A1064:A1065"/>
    <mergeCell ref="B1064:B1065"/>
    <mergeCell ref="C1064:D1064"/>
    <mergeCell ref="E1064:F1064"/>
    <mergeCell ref="G1064:G1065"/>
    <mergeCell ref="H1064:H1065"/>
    <mergeCell ref="I1064:I1065"/>
    <mergeCell ref="J1064:J1065"/>
    <mergeCell ref="A1093:D1093"/>
    <mergeCell ref="A1094:B1094"/>
    <mergeCell ref="H1094:J1094"/>
    <mergeCell ref="A1095:B1095"/>
    <mergeCell ref="H1095:J1095"/>
    <mergeCell ref="A1096:B1096"/>
    <mergeCell ref="H1096:J1096"/>
    <mergeCell ref="H1097:J1097"/>
    <mergeCell ref="A1097:B1097"/>
    <mergeCell ref="A1098:B1098"/>
    <mergeCell ref="A1099:B1099"/>
    <mergeCell ref="A1100:B1100"/>
    <mergeCell ref="A1103:A1104"/>
    <mergeCell ref="B1103:B1104"/>
    <mergeCell ref="C1103:D1103"/>
    <mergeCell ref="E1103:F1103"/>
    <mergeCell ref="G1103:G1104"/>
    <mergeCell ref="H1103:H1104"/>
    <mergeCell ref="I1103:I1104"/>
    <mergeCell ref="J1103:J1104"/>
    <mergeCell ref="A1132:D1132"/>
    <mergeCell ref="A1133:B1133"/>
    <mergeCell ref="H1133:J1133"/>
    <mergeCell ref="A1134:B1134"/>
    <mergeCell ref="H1134:J1134"/>
    <mergeCell ref="A1135:B1135"/>
    <mergeCell ref="H1135:J1135"/>
    <mergeCell ref="H1136:J1136"/>
    <mergeCell ref="A1136:B1136"/>
    <mergeCell ref="A1137:B1137"/>
    <mergeCell ref="A1138:B1138"/>
    <mergeCell ref="A1139:B1139"/>
    <mergeCell ref="A1142:A1143"/>
    <mergeCell ref="B1142:B1143"/>
    <mergeCell ref="C1142:D1142"/>
    <mergeCell ref="E1142:F1142"/>
    <mergeCell ref="G1142:G1143"/>
    <mergeCell ref="H1142:H1143"/>
    <mergeCell ref="I1142:I1143"/>
    <mergeCell ref="J1142:J1143"/>
    <mergeCell ref="A1171:D1171"/>
    <mergeCell ref="A1172:B1172"/>
    <mergeCell ref="H1172:J1172"/>
    <mergeCell ref="A1173:B1173"/>
    <mergeCell ref="H1173:J1173"/>
    <mergeCell ref="A1174:B1174"/>
    <mergeCell ref="H1174:J1174"/>
    <mergeCell ref="H1175:J1175"/>
    <mergeCell ref="A1175:B1175"/>
    <mergeCell ref="A1176:B1176"/>
    <mergeCell ref="A1177:B1177"/>
    <mergeCell ref="A1178:B1178"/>
    <mergeCell ref="A1181:A1182"/>
    <mergeCell ref="B1181:B1182"/>
    <mergeCell ref="C1181:D1181"/>
    <mergeCell ref="E1181:F1181"/>
    <mergeCell ref="G1181:G1182"/>
    <mergeCell ref="H1181:H1182"/>
    <mergeCell ref="I1181:I1182"/>
    <mergeCell ref="J1181:J1182"/>
    <mergeCell ref="A1210:D1210"/>
    <mergeCell ref="A1211:B1211"/>
    <mergeCell ref="H1211:J1211"/>
    <mergeCell ref="A1212:B1212"/>
    <mergeCell ref="H1212:J1212"/>
    <mergeCell ref="A1213:B1213"/>
    <mergeCell ref="H1213:J1213"/>
    <mergeCell ref="H1214:J1214"/>
    <mergeCell ref="A1214:B1214"/>
    <mergeCell ref="A1215:B1215"/>
    <mergeCell ref="A1216:B1216"/>
    <mergeCell ref="A1217:B1217"/>
    <mergeCell ref="A1220:A1221"/>
    <mergeCell ref="B1220:B1221"/>
    <mergeCell ref="C1220:D1220"/>
    <mergeCell ref="E1220:F1220"/>
    <mergeCell ref="G1220:G1221"/>
    <mergeCell ref="H1220:H1221"/>
    <mergeCell ref="I1220:I1221"/>
    <mergeCell ref="J1220:J1221"/>
    <mergeCell ref="A1249:D1249"/>
    <mergeCell ref="A1250:B1250"/>
    <mergeCell ref="H1250:J1250"/>
    <mergeCell ref="A1251:B1251"/>
    <mergeCell ref="H1251:J1251"/>
    <mergeCell ref="A1252:B1252"/>
    <mergeCell ref="H1252:J1252"/>
    <mergeCell ref="H1253:J1253"/>
    <mergeCell ref="A1253:B1253"/>
    <mergeCell ref="A1254:B1254"/>
    <mergeCell ref="A1255:B1255"/>
    <mergeCell ref="A1256:B1256"/>
    <mergeCell ref="A1259:A1260"/>
    <mergeCell ref="B1259:B1260"/>
    <mergeCell ref="C1259:D1259"/>
    <mergeCell ref="E1259:F1259"/>
    <mergeCell ref="G1259:G1260"/>
    <mergeCell ref="H1259:H1260"/>
    <mergeCell ref="I1259:I1260"/>
    <mergeCell ref="J1259:J1260"/>
    <mergeCell ref="A1288:D1288"/>
    <mergeCell ref="A1289:B1289"/>
    <mergeCell ref="H1289:J1289"/>
    <mergeCell ref="A1290:B1290"/>
    <mergeCell ref="H1290:J1290"/>
    <mergeCell ref="A1291:B1291"/>
    <mergeCell ref="H1291:J1291"/>
    <mergeCell ref="H1292:J1292"/>
    <mergeCell ref="A1292:B1292"/>
    <mergeCell ref="A1293:B1293"/>
    <mergeCell ref="A1294:B1294"/>
    <mergeCell ref="A1295:B1295"/>
    <mergeCell ref="A1298:A1299"/>
    <mergeCell ref="B1298:B1299"/>
    <mergeCell ref="C1298:D1298"/>
    <mergeCell ref="E1298:F1298"/>
    <mergeCell ref="G1298:G1299"/>
    <mergeCell ref="H1298:H1299"/>
    <mergeCell ref="I1298:I1299"/>
    <mergeCell ref="J1298:J1299"/>
    <mergeCell ref="A1327:D1327"/>
    <mergeCell ref="A1328:B1328"/>
    <mergeCell ref="H1328:J1328"/>
    <mergeCell ref="A1329:B1329"/>
    <mergeCell ref="H1329:J1329"/>
    <mergeCell ref="A1330:B1330"/>
    <mergeCell ref="H1330:J1330"/>
    <mergeCell ref="H1331:J1331"/>
    <mergeCell ref="A1331:B1331"/>
    <mergeCell ref="A1332:B1332"/>
    <mergeCell ref="A1333:B1333"/>
    <mergeCell ref="A1334:B1334"/>
    <mergeCell ref="A1337:A1338"/>
    <mergeCell ref="B1337:B1338"/>
    <mergeCell ref="C1337:D1337"/>
    <mergeCell ref="E1337:F1337"/>
    <mergeCell ref="G1337:G1338"/>
    <mergeCell ref="H1337:H1338"/>
    <mergeCell ref="I1337:I1338"/>
    <mergeCell ref="J1337:J1338"/>
    <mergeCell ref="A1366:D1366"/>
    <mergeCell ref="A1367:B1367"/>
    <mergeCell ref="H1367:J1367"/>
    <mergeCell ref="A1368:B1368"/>
    <mergeCell ref="H1368:J1368"/>
    <mergeCell ref="A1369:B1369"/>
    <mergeCell ref="H1369:J1369"/>
    <mergeCell ref="H1370:J1370"/>
    <mergeCell ref="A1370:B1370"/>
    <mergeCell ref="A1371:B1371"/>
    <mergeCell ref="A1372:B1372"/>
    <mergeCell ref="A1373:B1373"/>
    <mergeCell ref="A1376:A1377"/>
    <mergeCell ref="B1376:B1377"/>
    <mergeCell ref="C1376:D1376"/>
    <mergeCell ref="E1376:F1376"/>
    <mergeCell ref="G1376:G1377"/>
    <mergeCell ref="H1376:H1377"/>
    <mergeCell ref="I1376:I1377"/>
    <mergeCell ref="J1376:J1377"/>
    <mergeCell ref="A1405:D1405"/>
    <mergeCell ref="A1406:B1406"/>
    <mergeCell ref="H1406:J1406"/>
    <mergeCell ref="A1407:B1407"/>
    <mergeCell ref="H1407:J1407"/>
    <mergeCell ref="A1408:B1408"/>
    <mergeCell ref="H1408:J1408"/>
    <mergeCell ref="H1409:J1409"/>
    <mergeCell ref="A1409:B1409"/>
    <mergeCell ref="A1410:B1410"/>
    <mergeCell ref="A1411:B1411"/>
    <mergeCell ref="A1412:B1412"/>
    <mergeCell ref="A1415:A1416"/>
    <mergeCell ref="B1415:B1416"/>
    <mergeCell ref="C1415:D1415"/>
    <mergeCell ref="E1415:F1415"/>
    <mergeCell ref="G1415:G1416"/>
    <mergeCell ref="H1415:H1416"/>
    <mergeCell ref="I1415:I1416"/>
    <mergeCell ref="J1415:J1416"/>
    <mergeCell ref="A1444:D1444"/>
    <mergeCell ref="A1445:B1445"/>
    <mergeCell ref="H1445:J1445"/>
    <mergeCell ref="A1446:B1446"/>
    <mergeCell ref="H1446:J1446"/>
    <mergeCell ref="A1447:B1447"/>
    <mergeCell ref="H1447:J1447"/>
    <mergeCell ref="H1448:J1448"/>
    <mergeCell ref="A1448:B1448"/>
    <mergeCell ref="A1449:B1449"/>
    <mergeCell ref="A1450:B1450"/>
    <mergeCell ref="A1451:B1451"/>
    <mergeCell ref="A1454:A1455"/>
    <mergeCell ref="B1454:B1455"/>
    <mergeCell ref="C1454:D1454"/>
    <mergeCell ref="E1454:F1454"/>
    <mergeCell ref="G1454:G1455"/>
    <mergeCell ref="H1454:H1455"/>
    <mergeCell ref="I1454:I1455"/>
    <mergeCell ref="J1454:J1455"/>
    <mergeCell ref="A1483:D1483"/>
    <mergeCell ref="A1484:B1484"/>
    <mergeCell ref="H1484:J1484"/>
    <mergeCell ref="A1485:B1485"/>
    <mergeCell ref="H1485:J1485"/>
    <mergeCell ref="A1486:B1486"/>
    <mergeCell ref="H1486:J1486"/>
    <mergeCell ref="H1487:J1487"/>
    <mergeCell ref="A1487:B1487"/>
    <mergeCell ref="A1488:B1488"/>
    <mergeCell ref="A1489:B1489"/>
    <mergeCell ref="A1490:B1490"/>
    <mergeCell ref="A1493:A1494"/>
    <mergeCell ref="B1493:B1494"/>
    <mergeCell ref="C1493:D1493"/>
    <mergeCell ref="E1493:F1493"/>
    <mergeCell ref="G1493:G1494"/>
    <mergeCell ref="H1493:H1494"/>
    <mergeCell ref="I1493:I1494"/>
    <mergeCell ref="J1493:J1494"/>
    <mergeCell ref="A1522:D1522"/>
    <mergeCell ref="A1523:B1523"/>
    <mergeCell ref="H1523:J1523"/>
    <mergeCell ref="A1524:B1524"/>
    <mergeCell ref="H1524:J1524"/>
    <mergeCell ref="A1525:B1525"/>
    <mergeCell ref="H1525:J1525"/>
    <mergeCell ref="H1526:J1526"/>
    <mergeCell ref="A1526:B1526"/>
    <mergeCell ref="A1527:B1527"/>
    <mergeCell ref="A1528:B1528"/>
    <mergeCell ref="A1529:B1529"/>
    <mergeCell ref="A1532:A1533"/>
    <mergeCell ref="B1532:B1533"/>
    <mergeCell ref="C1532:D1532"/>
    <mergeCell ref="E1532:F1532"/>
    <mergeCell ref="G1532:G1533"/>
    <mergeCell ref="H1532:H1533"/>
    <mergeCell ref="I1532:I1533"/>
    <mergeCell ref="J1532:J1533"/>
    <mergeCell ref="A1561:D1561"/>
    <mergeCell ref="A1562:B1562"/>
    <mergeCell ref="H1562:J1562"/>
    <mergeCell ref="A1563:B1563"/>
    <mergeCell ref="H1563:J1563"/>
    <mergeCell ref="A1564:B1564"/>
    <mergeCell ref="H1564:J1564"/>
    <mergeCell ref="H1565:J1565"/>
    <mergeCell ref="A1565:B1565"/>
    <mergeCell ref="A1566:B1566"/>
    <mergeCell ref="A1567:B1567"/>
    <mergeCell ref="A1568:B1568"/>
    <mergeCell ref="A1571:A1572"/>
    <mergeCell ref="B1571:B1572"/>
    <mergeCell ref="C1571:D1571"/>
    <mergeCell ref="E1571:F1571"/>
    <mergeCell ref="G1571:G1572"/>
    <mergeCell ref="H1571:H1572"/>
    <mergeCell ref="I1571:I1572"/>
    <mergeCell ref="J1571:J1572"/>
    <mergeCell ref="A1600:D1600"/>
    <mergeCell ref="A1601:B1601"/>
    <mergeCell ref="H1601:J1601"/>
    <mergeCell ref="A1602:B1602"/>
    <mergeCell ref="H1602:J1602"/>
    <mergeCell ref="A1603:B1603"/>
    <mergeCell ref="H1603:J1603"/>
    <mergeCell ref="H1604:J1604"/>
    <mergeCell ref="A1604:B1604"/>
    <mergeCell ref="A1605:B1605"/>
    <mergeCell ref="A1606:B1606"/>
    <mergeCell ref="A1607:B1607"/>
    <mergeCell ref="A1610:A1611"/>
    <mergeCell ref="B1610:B1611"/>
    <mergeCell ref="C1610:D1610"/>
    <mergeCell ref="E1610:F1610"/>
    <mergeCell ref="G1610:G1611"/>
    <mergeCell ref="H1610:H1611"/>
    <mergeCell ref="I1610:I1611"/>
    <mergeCell ref="J1610:J1611"/>
    <mergeCell ref="A1639:D1639"/>
    <mergeCell ref="A1640:B1640"/>
    <mergeCell ref="H1640:J1640"/>
    <mergeCell ref="A1641:B1641"/>
    <mergeCell ref="H1641:J1641"/>
    <mergeCell ref="A1642:B1642"/>
    <mergeCell ref="H1642:J1642"/>
    <mergeCell ref="H1643:J1643"/>
    <mergeCell ref="A1643:B1643"/>
    <mergeCell ref="A1644:B1644"/>
    <mergeCell ref="A1645:B1645"/>
    <mergeCell ref="A1646:B1646"/>
    <mergeCell ref="A1649:A1650"/>
    <mergeCell ref="B1649:B1650"/>
    <mergeCell ref="C1649:D1649"/>
    <mergeCell ref="E1649:F1649"/>
    <mergeCell ref="G1649:G1650"/>
    <mergeCell ref="H1649:H1650"/>
    <mergeCell ref="I1649:I1650"/>
    <mergeCell ref="J1649:J1650"/>
    <mergeCell ref="A1678:D1678"/>
    <mergeCell ref="A1679:B1679"/>
    <mergeCell ref="H1679:J1679"/>
    <mergeCell ref="A1680:B1680"/>
    <mergeCell ref="H1680:J1680"/>
    <mergeCell ref="A1681:B1681"/>
    <mergeCell ref="H1681:J1681"/>
    <mergeCell ref="H1682:J1682"/>
    <mergeCell ref="A1682:B1682"/>
    <mergeCell ref="A1683:B1683"/>
    <mergeCell ref="A1684:B1684"/>
    <mergeCell ref="A1685:B1685"/>
    <mergeCell ref="A1688:A1689"/>
    <mergeCell ref="B1688:B1689"/>
    <mergeCell ref="C1688:D1688"/>
    <mergeCell ref="E1688:F1688"/>
    <mergeCell ref="G1688:G1689"/>
    <mergeCell ref="H1688:H1689"/>
    <mergeCell ref="I1688:I1689"/>
    <mergeCell ref="J1688:J1689"/>
    <mergeCell ref="A1717:D1717"/>
    <mergeCell ref="A1718:B1718"/>
    <mergeCell ref="H1718:J1718"/>
    <mergeCell ref="A1719:B1719"/>
    <mergeCell ref="H1719:J1719"/>
    <mergeCell ref="A1720:B1720"/>
    <mergeCell ref="H1720:J1720"/>
    <mergeCell ref="H1721:J1721"/>
    <mergeCell ref="A1721:B1721"/>
    <mergeCell ref="A1722:B1722"/>
    <mergeCell ref="A1723:B1723"/>
    <mergeCell ref="A1724:B1724"/>
    <mergeCell ref="A1727:A1728"/>
    <mergeCell ref="B1727:B1728"/>
    <mergeCell ref="C1727:D1727"/>
    <mergeCell ref="E1727:F1727"/>
    <mergeCell ref="G1727:G1728"/>
    <mergeCell ref="H1727:H1728"/>
    <mergeCell ref="I1727:I1728"/>
    <mergeCell ref="J1727:J1728"/>
    <mergeCell ref="A1756:D1756"/>
    <mergeCell ref="A1757:B1757"/>
    <mergeCell ref="H1757:J1757"/>
    <mergeCell ref="A1758:B1758"/>
    <mergeCell ref="H1758:J1758"/>
    <mergeCell ref="A1759:B1759"/>
    <mergeCell ref="H1759:J1759"/>
    <mergeCell ref="H1760:J1760"/>
    <mergeCell ref="A1760:B1760"/>
    <mergeCell ref="A1761:B1761"/>
    <mergeCell ref="A1762:B1762"/>
    <mergeCell ref="A1763:B1763"/>
    <mergeCell ref="A1766:A1767"/>
    <mergeCell ref="B1766:B1767"/>
    <mergeCell ref="C1766:D1766"/>
    <mergeCell ref="E1766:F1766"/>
    <mergeCell ref="G1766:G1767"/>
    <mergeCell ref="H1766:H1767"/>
    <mergeCell ref="I1766:I1767"/>
    <mergeCell ref="J1766:J1767"/>
    <mergeCell ref="A1795:D1795"/>
    <mergeCell ref="A1796:B1796"/>
    <mergeCell ref="H1796:J1796"/>
    <mergeCell ref="A1797:B1797"/>
    <mergeCell ref="H1797:J1797"/>
    <mergeCell ref="A1798:B1798"/>
    <mergeCell ref="H1798:J1798"/>
    <mergeCell ref="H1799:J1799"/>
    <mergeCell ref="A1799:B1799"/>
    <mergeCell ref="A1800:B1800"/>
    <mergeCell ref="A1801:B1801"/>
    <mergeCell ref="A1802:B1802"/>
    <mergeCell ref="A1805:A1806"/>
    <mergeCell ref="B1805:B1806"/>
    <mergeCell ref="C1805:D1805"/>
    <mergeCell ref="E1805:F1805"/>
    <mergeCell ref="G1805:G1806"/>
    <mergeCell ref="H1805:H1806"/>
    <mergeCell ref="I1805:I1806"/>
    <mergeCell ref="J1805:J1806"/>
    <mergeCell ref="A1834:D1834"/>
    <mergeCell ref="A1835:B1835"/>
    <mergeCell ref="H1835:J1835"/>
    <mergeCell ref="A1836:B1836"/>
    <mergeCell ref="H1836:J1836"/>
    <mergeCell ref="A1837:B1837"/>
    <mergeCell ref="H1837:J1837"/>
    <mergeCell ref="H1838:J1838"/>
    <mergeCell ref="A1838:B1838"/>
    <mergeCell ref="A1839:B1839"/>
    <mergeCell ref="A1840:B1840"/>
    <mergeCell ref="A1841:B1841"/>
    <mergeCell ref="A1844:A1845"/>
    <mergeCell ref="B1844:B1845"/>
    <mergeCell ref="C1844:D1844"/>
    <mergeCell ref="E1844:F1844"/>
    <mergeCell ref="G1844:G1845"/>
    <mergeCell ref="H1844:H1845"/>
    <mergeCell ref="I1844:I1845"/>
    <mergeCell ref="J1844:J1845"/>
    <mergeCell ref="A1873:D1873"/>
    <mergeCell ref="A1874:B1874"/>
    <mergeCell ref="H1874:J1874"/>
    <mergeCell ref="A1875:B1875"/>
    <mergeCell ref="H1875:J1875"/>
    <mergeCell ref="A1876:B1876"/>
    <mergeCell ref="H1876:J1876"/>
    <mergeCell ref="H1877:J1877"/>
    <mergeCell ref="A1877:B1877"/>
    <mergeCell ref="A1878:B1878"/>
    <mergeCell ref="A1879:B1879"/>
    <mergeCell ref="A1880:B1880"/>
    <mergeCell ref="A1883:A1884"/>
    <mergeCell ref="B1883:B1884"/>
    <mergeCell ref="C1883:D1883"/>
    <mergeCell ref="E1883:F1883"/>
    <mergeCell ref="G1883:G1884"/>
    <mergeCell ref="H1883:H1884"/>
    <mergeCell ref="I1883:I1884"/>
    <mergeCell ref="J1883:J1884"/>
    <mergeCell ref="A1912:D1912"/>
    <mergeCell ref="A1913:B1913"/>
    <mergeCell ref="H1913:J1913"/>
    <mergeCell ref="A1914:B1914"/>
    <mergeCell ref="H1914:J1914"/>
    <mergeCell ref="A1915:B1915"/>
    <mergeCell ref="H1915:J1915"/>
    <mergeCell ref="H1916:J1916"/>
    <mergeCell ref="A1916:B1916"/>
    <mergeCell ref="A1917:B1917"/>
    <mergeCell ref="A1918:B1918"/>
    <mergeCell ref="A1919:B1919"/>
    <mergeCell ref="A1922:A1923"/>
    <mergeCell ref="B1922:B1923"/>
    <mergeCell ref="C1922:D1922"/>
    <mergeCell ref="E1922:F1922"/>
    <mergeCell ref="G1922:G1923"/>
    <mergeCell ref="H1922:H1923"/>
    <mergeCell ref="I1922:I1923"/>
    <mergeCell ref="J1922:J1923"/>
    <mergeCell ref="A1951:D1951"/>
    <mergeCell ref="A1952:B1952"/>
    <mergeCell ref="H1952:J1952"/>
    <mergeCell ref="A1953:B1953"/>
    <mergeCell ref="H1953:J1953"/>
    <mergeCell ref="A1954:B1954"/>
    <mergeCell ref="H1954:J1954"/>
    <mergeCell ref="H1955:J1955"/>
    <mergeCell ref="A1955:B1955"/>
    <mergeCell ref="A1956:B1956"/>
    <mergeCell ref="A1957:B1957"/>
    <mergeCell ref="A1958:B1958"/>
    <mergeCell ref="A1961:A1962"/>
    <mergeCell ref="B1961:B1962"/>
    <mergeCell ref="C1961:D1961"/>
    <mergeCell ref="E1961:F1961"/>
    <mergeCell ref="G1961:G1962"/>
    <mergeCell ref="H1961:H1962"/>
    <mergeCell ref="I1961:I1962"/>
    <mergeCell ref="J1961:J1962"/>
    <mergeCell ref="A1990:D1990"/>
    <mergeCell ref="A1991:B1991"/>
    <mergeCell ref="H1991:J1991"/>
    <mergeCell ref="A1992:B1992"/>
    <mergeCell ref="H1992:J1992"/>
    <mergeCell ref="A1993:B1993"/>
    <mergeCell ref="H1993:J1993"/>
    <mergeCell ref="H1994:J1994"/>
    <mergeCell ref="A1994:B1994"/>
    <mergeCell ref="A1995:B1995"/>
    <mergeCell ref="A1996:B1996"/>
    <mergeCell ref="A1997:B1997"/>
    <mergeCell ref="A2000:A2001"/>
    <mergeCell ref="B2000:B2001"/>
    <mergeCell ref="C2000:D2000"/>
    <mergeCell ref="E2000:F2000"/>
    <mergeCell ref="G2000:G2001"/>
    <mergeCell ref="H2000:H2001"/>
    <mergeCell ref="I2000:I2001"/>
    <mergeCell ref="J2000:J2001"/>
    <mergeCell ref="A2029:D2029"/>
    <mergeCell ref="A2030:B2030"/>
    <mergeCell ref="H2030:J2030"/>
    <mergeCell ref="A2031:B2031"/>
    <mergeCell ref="H2031:J2031"/>
    <mergeCell ref="A2032:B2032"/>
    <mergeCell ref="H2032:J2032"/>
    <mergeCell ref="H2033:J2033"/>
    <mergeCell ref="A2033:B2033"/>
    <mergeCell ref="A2034:B2034"/>
    <mergeCell ref="A2035:B2035"/>
    <mergeCell ref="A2036:B2036"/>
    <mergeCell ref="A2039:A2040"/>
    <mergeCell ref="B2039:B2040"/>
    <mergeCell ref="C2039:D2039"/>
    <mergeCell ref="E2039:F2039"/>
    <mergeCell ref="G2039:G2040"/>
    <mergeCell ref="H2039:H2040"/>
    <mergeCell ref="I2039:I2040"/>
    <mergeCell ref="J2039:J2040"/>
    <mergeCell ref="A2068:D2068"/>
    <mergeCell ref="A2069:B2069"/>
    <mergeCell ref="H2069:J2069"/>
    <mergeCell ref="A2070:B2070"/>
    <mergeCell ref="H2070:J2070"/>
    <mergeCell ref="A2071:B2071"/>
    <mergeCell ref="H2071:J2071"/>
    <mergeCell ref="H2072:J2072"/>
    <mergeCell ref="A2072:B2072"/>
    <mergeCell ref="A2073:B2073"/>
    <mergeCell ref="A2074:B2074"/>
    <mergeCell ref="A2075:B2075"/>
    <mergeCell ref="A2078:A2079"/>
    <mergeCell ref="B2078:B2079"/>
    <mergeCell ref="C2078:D2078"/>
    <mergeCell ref="E2078:F2078"/>
    <mergeCell ref="G2078:G2079"/>
    <mergeCell ref="H2078:H2079"/>
    <mergeCell ref="I2078:I2079"/>
    <mergeCell ref="J2078:J2079"/>
    <mergeCell ref="A2107:D2107"/>
    <mergeCell ref="A2108:B2108"/>
    <mergeCell ref="H2108:J2108"/>
    <mergeCell ref="A2109:B2109"/>
    <mergeCell ref="H2109:J2109"/>
    <mergeCell ref="A2110:B2110"/>
    <mergeCell ref="H2110:J2110"/>
    <mergeCell ref="H2111:J2111"/>
    <mergeCell ref="A2111:B2111"/>
    <mergeCell ref="A2112:B2112"/>
    <mergeCell ref="A2113:B2113"/>
    <mergeCell ref="A2114:B2114"/>
    <mergeCell ref="A2117:A2118"/>
    <mergeCell ref="B2117:B2118"/>
    <mergeCell ref="C2117:D2117"/>
    <mergeCell ref="E2117:F2117"/>
    <mergeCell ref="G2117:G2118"/>
    <mergeCell ref="H2117:H2118"/>
    <mergeCell ref="I2117:I2118"/>
    <mergeCell ref="J2117:J2118"/>
    <mergeCell ref="A2146:D2146"/>
    <mergeCell ref="A2147:B2147"/>
    <mergeCell ref="H2147:J2147"/>
    <mergeCell ref="A2148:B2148"/>
    <mergeCell ref="H2148:J2148"/>
    <mergeCell ref="A2149:B2149"/>
    <mergeCell ref="H2149:J2149"/>
    <mergeCell ref="H2150:J2150"/>
    <mergeCell ref="A2150:B2150"/>
    <mergeCell ref="A2151:B2151"/>
    <mergeCell ref="A2152:B2152"/>
    <mergeCell ref="A2153:B2153"/>
    <mergeCell ref="A2156:A2157"/>
    <mergeCell ref="B2156:B2157"/>
    <mergeCell ref="C2156:D2156"/>
    <mergeCell ref="E2156:F2156"/>
    <mergeCell ref="G2156:G2157"/>
    <mergeCell ref="H2156:H2157"/>
    <mergeCell ref="I2156:I2157"/>
    <mergeCell ref="J2156:J2157"/>
    <mergeCell ref="A2185:D2185"/>
    <mergeCell ref="A2186:B2186"/>
    <mergeCell ref="H2186:J2186"/>
    <mergeCell ref="A2187:B2187"/>
    <mergeCell ref="H2187:J2187"/>
    <mergeCell ref="A2188:B2188"/>
    <mergeCell ref="H2188:J2188"/>
    <mergeCell ref="H2189:J2189"/>
    <mergeCell ref="A2189:B2189"/>
    <mergeCell ref="A2190:B2190"/>
    <mergeCell ref="A2191:B2191"/>
    <mergeCell ref="A2192:B2192"/>
    <mergeCell ref="A2195:A2196"/>
    <mergeCell ref="B2195:B2196"/>
    <mergeCell ref="C2195:D2195"/>
    <mergeCell ref="E2195:F2195"/>
    <mergeCell ref="G2195:G2196"/>
    <mergeCell ref="H2195:H2196"/>
    <mergeCell ref="I2195:I2196"/>
    <mergeCell ref="J2195:J2196"/>
    <mergeCell ref="A2224:D2224"/>
    <mergeCell ref="A2225:B2225"/>
    <mergeCell ref="H2225:J2225"/>
    <mergeCell ref="A2226:B2226"/>
    <mergeCell ref="H2226:J2226"/>
    <mergeCell ref="A2227:B2227"/>
    <mergeCell ref="H2227:J2227"/>
    <mergeCell ref="H2228:J2228"/>
    <mergeCell ref="A2228:B2228"/>
    <mergeCell ref="A2229:B2229"/>
    <mergeCell ref="A2230:B2230"/>
    <mergeCell ref="A2231:B2231"/>
    <mergeCell ref="A2234:A2235"/>
    <mergeCell ref="B2234:B2235"/>
    <mergeCell ref="C2234:D2234"/>
    <mergeCell ref="E2234:F2234"/>
    <mergeCell ref="G2234:G2235"/>
    <mergeCell ref="H2234:H2235"/>
    <mergeCell ref="I2234:I2235"/>
    <mergeCell ref="J2234:J2235"/>
    <mergeCell ref="A2263:D2263"/>
    <mergeCell ref="A2264:B2264"/>
    <mergeCell ref="H2264:J2264"/>
    <mergeCell ref="A2265:B2265"/>
    <mergeCell ref="H2265:J2265"/>
    <mergeCell ref="A2266:B2266"/>
    <mergeCell ref="H2266:J2266"/>
    <mergeCell ref="H2267:J2267"/>
    <mergeCell ref="A2267:B2267"/>
    <mergeCell ref="A2268:B2268"/>
    <mergeCell ref="A2269:B2269"/>
    <mergeCell ref="A2270:B2270"/>
    <mergeCell ref="A2273:A2274"/>
    <mergeCell ref="B2273:B2274"/>
    <mergeCell ref="C2273:D2273"/>
    <mergeCell ref="E2273:F2273"/>
    <mergeCell ref="G2273:G2274"/>
    <mergeCell ref="H2273:H2274"/>
    <mergeCell ref="I2273:I2274"/>
    <mergeCell ref="J2273:J2274"/>
    <mergeCell ref="A2302:D2302"/>
    <mergeCell ref="A2303:B2303"/>
    <mergeCell ref="H2303:J2303"/>
    <mergeCell ref="A2304:B2304"/>
    <mergeCell ref="H2304:J2304"/>
    <mergeCell ref="A2305:B2305"/>
    <mergeCell ref="H2305:J2305"/>
    <mergeCell ref="H2306:J2306"/>
    <mergeCell ref="A2306:B2306"/>
    <mergeCell ref="A2307:B2307"/>
    <mergeCell ref="A2308:B2308"/>
    <mergeCell ref="A2309:B2309"/>
    <mergeCell ref="A2312:A2313"/>
    <mergeCell ref="B2312:B2313"/>
    <mergeCell ref="C2312:D2312"/>
    <mergeCell ref="E2312:F2312"/>
    <mergeCell ref="G2312:G2313"/>
    <mergeCell ref="H2312:H2313"/>
    <mergeCell ref="I2312:I2313"/>
    <mergeCell ref="J2312:J2313"/>
    <mergeCell ref="A2341:D2341"/>
    <mergeCell ref="A2342:B2342"/>
    <mergeCell ref="H2342:J2342"/>
    <mergeCell ref="A2343:B2343"/>
    <mergeCell ref="H2343:J2343"/>
    <mergeCell ref="A2344:B2344"/>
    <mergeCell ref="H2344:J2344"/>
    <mergeCell ref="H2345:J2345"/>
    <mergeCell ref="A2345:B2345"/>
    <mergeCell ref="A2346:B2346"/>
    <mergeCell ref="A2347:B2347"/>
    <mergeCell ref="A2348:B2348"/>
    <mergeCell ref="A2351:A2352"/>
    <mergeCell ref="B2351:B2352"/>
    <mergeCell ref="C2351:D2351"/>
    <mergeCell ref="E2351:F2351"/>
    <mergeCell ref="G2351:G2352"/>
    <mergeCell ref="H2351:H2352"/>
    <mergeCell ref="I2351:I2352"/>
    <mergeCell ref="J2351:J2352"/>
    <mergeCell ref="A2380:D2380"/>
    <mergeCell ref="A2381:B2381"/>
    <mergeCell ref="H2381:J2381"/>
    <mergeCell ref="A2382:B2382"/>
    <mergeCell ref="H2382:J2382"/>
    <mergeCell ref="A2383:B2383"/>
    <mergeCell ref="H2383:J2383"/>
    <mergeCell ref="H2384:J2384"/>
    <mergeCell ref="A2384:B2384"/>
    <mergeCell ref="A2385:B2385"/>
    <mergeCell ref="A2386:B2386"/>
    <mergeCell ref="A2387:B2387"/>
    <mergeCell ref="A2390:A2391"/>
    <mergeCell ref="B2390:B2391"/>
    <mergeCell ref="C2390:D2390"/>
    <mergeCell ref="E2390:F2390"/>
    <mergeCell ref="G2390:G2391"/>
    <mergeCell ref="H2390:H2391"/>
    <mergeCell ref="I2390:I2391"/>
    <mergeCell ref="J2390:J2391"/>
    <mergeCell ref="A2419:D2419"/>
    <mergeCell ref="A2420:B2420"/>
    <mergeCell ref="H2420:J2420"/>
    <mergeCell ref="A2421:B2421"/>
    <mergeCell ref="H2421:J2421"/>
    <mergeCell ref="A2422:B2422"/>
    <mergeCell ref="H2422:J2422"/>
    <mergeCell ref="H2423:J2423"/>
    <mergeCell ref="A2423:B2423"/>
    <mergeCell ref="A2424:B2424"/>
    <mergeCell ref="A2425:B2425"/>
    <mergeCell ref="A2426:B2426"/>
    <mergeCell ref="A2429:A2430"/>
    <mergeCell ref="B2429:B2430"/>
    <mergeCell ref="C2429:D2429"/>
    <mergeCell ref="E2429:F2429"/>
    <mergeCell ref="G2429:G2430"/>
    <mergeCell ref="H2429:H2430"/>
    <mergeCell ref="I2429:I2430"/>
    <mergeCell ref="J2429:J2430"/>
    <mergeCell ref="A2458:D2458"/>
    <mergeCell ref="A2459:B2459"/>
    <mergeCell ref="H2459:J2459"/>
    <mergeCell ref="A2460:B2460"/>
    <mergeCell ref="H2460:J2460"/>
    <mergeCell ref="A2461:B2461"/>
    <mergeCell ref="H2461:J2461"/>
    <mergeCell ref="H2462:J2462"/>
    <mergeCell ref="A2462:B2462"/>
    <mergeCell ref="A2463:B2463"/>
    <mergeCell ref="A2464:B2464"/>
    <mergeCell ref="A2465:B2465"/>
    <mergeCell ref="A2468:A2469"/>
    <mergeCell ref="B2468:B2469"/>
    <mergeCell ref="C2468:D2468"/>
    <mergeCell ref="E2468:F2468"/>
    <mergeCell ref="G2468:G2469"/>
    <mergeCell ref="H2468:H2469"/>
    <mergeCell ref="I2468:I2469"/>
    <mergeCell ref="J2468:J2469"/>
    <mergeCell ref="A2497:D2497"/>
    <mergeCell ref="A2498:B2498"/>
    <mergeCell ref="H2498:J2498"/>
    <mergeCell ref="A2499:B2499"/>
    <mergeCell ref="H2499:J2499"/>
    <mergeCell ref="A2500:B2500"/>
    <mergeCell ref="H2500:J2500"/>
    <mergeCell ref="H2501:J2501"/>
    <mergeCell ref="A2501:B2501"/>
    <mergeCell ref="A2502:B2502"/>
    <mergeCell ref="A2503:B2503"/>
    <mergeCell ref="A2504:B2504"/>
    <mergeCell ref="A2507:A2508"/>
    <mergeCell ref="B2507:B2508"/>
    <mergeCell ref="C2507:D2507"/>
    <mergeCell ref="E2507:F2507"/>
    <mergeCell ref="G2507:G2508"/>
    <mergeCell ref="H2507:H2508"/>
    <mergeCell ref="I2507:I2508"/>
    <mergeCell ref="J2507:J2508"/>
    <mergeCell ref="A2536:D2536"/>
    <mergeCell ref="A2537:B2537"/>
    <mergeCell ref="H2537:J2537"/>
    <mergeCell ref="A2538:B2538"/>
    <mergeCell ref="H2538:J2538"/>
    <mergeCell ref="A2539:B2539"/>
    <mergeCell ref="H2539:J2539"/>
    <mergeCell ref="H2540:J2540"/>
    <mergeCell ref="A2540:B2540"/>
    <mergeCell ref="A2541:B2541"/>
    <mergeCell ref="A2542:B2542"/>
    <mergeCell ref="A2543:B2543"/>
    <mergeCell ref="A2546:A2547"/>
    <mergeCell ref="B2546:B2547"/>
    <mergeCell ref="C2546:D2546"/>
    <mergeCell ref="E2546:F2546"/>
    <mergeCell ref="G2546:G2547"/>
    <mergeCell ref="H2546:H2547"/>
    <mergeCell ref="I2546:I2547"/>
    <mergeCell ref="J2546:J2547"/>
    <mergeCell ref="A2575:D2575"/>
    <mergeCell ref="A2576:B2576"/>
    <mergeCell ref="H2576:J2576"/>
    <mergeCell ref="A2577:B2577"/>
    <mergeCell ref="H2577:J2577"/>
    <mergeCell ref="A2578:B2578"/>
    <mergeCell ref="H2578:J2578"/>
    <mergeCell ref="H2579:J2579"/>
    <mergeCell ref="A2579:B2579"/>
    <mergeCell ref="A2580:B2580"/>
    <mergeCell ref="A2581:B2581"/>
    <mergeCell ref="A2582:B2582"/>
    <mergeCell ref="A2585:A2586"/>
    <mergeCell ref="B2585:B2586"/>
    <mergeCell ref="C2585:D2585"/>
    <mergeCell ref="E2585:F2585"/>
    <mergeCell ref="G2585:G2586"/>
    <mergeCell ref="H2585:H2586"/>
    <mergeCell ref="I2585:I2586"/>
    <mergeCell ref="J2585:J2586"/>
    <mergeCell ref="A2614:D2614"/>
    <mergeCell ref="A2615:B2615"/>
    <mergeCell ref="H2615:J2615"/>
    <mergeCell ref="A2616:B2616"/>
    <mergeCell ref="H2616:J2616"/>
    <mergeCell ref="A2617:B2617"/>
    <mergeCell ref="H2617:J2617"/>
    <mergeCell ref="H2618:J2618"/>
    <mergeCell ref="A2618:B2618"/>
    <mergeCell ref="A2619:B2619"/>
    <mergeCell ref="A2620:B2620"/>
    <mergeCell ref="A2621:B2621"/>
    <mergeCell ref="A2624:A2625"/>
    <mergeCell ref="B2624:B2625"/>
    <mergeCell ref="C2624:D2624"/>
    <mergeCell ref="E2624:F2624"/>
    <mergeCell ref="G2624:G2625"/>
    <mergeCell ref="H2624:H2625"/>
    <mergeCell ref="I2624:I2625"/>
    <mergeCell ref="J2624:J2625"/>
    <mergeCell ref="A2653:D2653"/>
    <mergeCell ref="A2654:B2654"/>
    <mergeCell ref="H2654:J2654"/>
    <mergeCell ref="A2655:B2655"/>
    <mergeCell ref="H2655:J2655"/>
    <mergeCell ref="A2656:B2656"/>
    <mergeCell ref="H2656:J2656"/>
    <mergeCell ref="H2657:J2657"/>
    <mergeCell ref="A2657:B2657"/>
    <mergeCell ref="A2658:B2658"/>
    <mergeCell ref="A2659:B2659"/>
    <mergeCell ref="A2660:B2660"/>
    <mergeCell ref="A2663:A2664"/>
    <mergeCell ref="B2663:B2664"/>
    <mergeCell ref="C2663:D2663"/>
    <mergeCell ref="E2663:F2663"/>
    <mergeCell ref="G2663:G2664"/>
    <mergeCell ref="H2663:H2664"/>
    <mergeCell ref="I2663:I2664"/>
    <mergeCell ref="J2663:J2664"/>
    <mergeCell ref="A2692:D2692"/>
    <mergeCell ref="A2693:B2693"/>
    <mergeCell ref="H2693:J2693"/>
    <mergeCell ref="A2694:B2694"/>
    <mergeCell ref="H2694:J2694"/>
    <mergeCell ref="A2695:B2695"/>
    <mergeCell ref="H2695:J2695"/>
    <mergeCell ref="H2696:J2696"/>
    <mergeCell ref="A2696:B2696"/>
    <mergeCell ref="A2697:B2697"/>
    <mergeCell ref="A2698:B2698"/>
    <mergeCell ref="A2699:B2699"/>
    <mergeCell ref="A2702:A2703"/>
    <mergeCell ref="B2702:B2703"/>
    <mergeCell ref="C2702:D2702"/>
    <mergeCell ref="E2702:F2702"/>
    <mergeCell ref="G2702:G2703"/>
    <mergeCell ref="H2702:H2703"/>
    <mergeCell ref="I2702:I2703"/>
    <mergeCell ref="J2702:J2703"/>
    <mergeCell ref="A2731:D2731"/>
    <mergeCell ref="A2732:B2732"/>
    <mergeCell ref="H2732:J2732"/>
    <mergeCell ref="A2733:B2733"/>
    <mergeCell ref="H2733:J2733"/>
    <mergeCell ref="A2734:B2734"/>
    <mergeCell ref="H2734:J2734"/>
    <mergeCell ref="H2735:J2735"/>
    <mergeCell ref="A2735:B2735"/>
    <mergeCell ref="A2736:B2736"/>
    <mergeCell ref="A2737:B2737"/>
    <mergeCell ref="A2738:B2738"/>
    <mergeCell ref="A2741:A2742"/>
    <mergeCell ref="B2741:B2742"/>
    <mergeCell ref="C2741:D2741"/>
    <mergeCell ref="E2741:F2741"/>
    <mergeCell ref="G2741:G2742"/>
    <mergeCell ref="H2741:H2742"/>
    <mergeCell ref="I2741:I2742"/>
    <mergeCell ref="J2741:J2742"/>
    <mergeCell ref="A2770:D2770"/>
    <mergeCell ref="A2771:B2771"/>
    <mergeCell ref="H2771:J2771"/>
    <mergeCell ref="A2772:B2772"/>
    <mergeCell ref="H2772:J2772"/>
    <mergeCell ref="A2773:B2773"/>
    <mergeCell ref="H2773:J2773"/>
    <mergeCell ref="H2774:J2774"/>
    <mergeCell ref="A2774:B2774"/>
    <mergeCell ref="A2775:B2775"/>
    <mergeCell ref="A2776:B2776"/>
    <mergeCell ref="A2777:B2777"/>
    <mergeCell ref="A2780:A2781"/>
    <mergeCell ref="B2780:B2781"/>
    <mergeCell ref="C2780:D2780"/>
    <mergeCell ref="E2780:F2780"/>
    <mergeCell ref="G2780:G2781"/>
    <mergeCell ref="H2780:H2781"/>
    <mergeCell ref="I2780:I2781"/>
    <mergeCell ref="J2780:J2781"/>
    <mergeCell ref="A2809:D2809"/>
    <mergeCell ref="A2810:B2810"/>
    <mergeCell ref="H2810:J2810"/>
    <mergeCell ref="A2811:B2811"/>
    <mergeCell ref="H2811:J2811"/>
    <mergeCell ref="A2812:B2812"/>
    <mergeCell ref="H2812:J2812"/>
    <mergeCell ref="H2813:J2813"/>
    <mergeCell ref="A2813:B2813"/>
    <mergeCell ref="A2814:B2814"/>
    <mergeCell ref="A2815:B2815"/>
    <mergeCell ref="A2816:B2816"/>
    <mergeCell ref="A2819:A2820"/>
    <mergeCell ref="B2819:B2820"/>
    <mergeCell ref="C2819:D2819"/>
    <mergeCell ref="E2819:F2819"/>
    <mergeCell ref="G2819:G2820"/>
    <mergeCell ref="H2819:H2820"/>
    <mergeCell ref="I2819:I2820"/>
    <mergeCell ref="J2819:J2820"/>
    <mergeCell ref="A2848:D2848"/>
    <mergeCell ref="A2849:B2849"/>
    <mergeCell ref="H2849:J2849"/>
    <mergeCell ref="A2850:B2850"/>
    <mergeCell ref="H2850:J2850"/>
    <mergeCell ref="A2851:B2851"/>
    <mergeCell ref="H2851:J2851"/>
    <mergeCell ref="H2852:J2852"/>
    <mergeCell ref="A2852:B2852"/>
    <mergeCell ref="A2853:B2853"/>
    <mergeCell ref="A2854:B2854"/>
    <mergeCell ref="A2855:B2855"/>
    <mergeCell ref="A2858:A2859"/>
    <mergeCell ref="B2858:B2859"/>
    <mergeCell ref="C2858:D2858"/>
    <mergeCell ref="E2858:F2858"/>
    <mergeCell ref="G2858:G2859"/>
    <mergeCell ref="H2858:H2859"/>
    <mergeCell ref="I2858:I2859"/>
    <mergeCell ref="J2858:J2859"/>
    <mergeCell ref="A2887:D2887"/>
    <mergeCell ref="A2888:B2888"/>
    <mergeCell ref="H2888:J2888"/>
    <mergeCell ref="A2889:B2889"/>
    <mergeCell ref="H2889:J2889"/>
    <mergeCell ref="A2890:B2890"/>
    <mergeCell ref="H2890:J2890"/>
    <mergeCell ref="H2891:J2891"/>
    <mergeCell ref="A2891:B2891"/>
    <mergeCell ref="A2892:B2892"/>
    <mergeCell ref="A2893:B2893"/>
    <mergeCell ref="A2894:B2894"/>
    <mergeCell ref="A2897:A2898"/>
    <mergeCell ref="B2897:B2898"/>
    <mergeCell ref="C2897:D2897"/>
    <mergeCell ref="E2897:F2897"/>
    <mergeCell ref="G2897:G2898"/>
    <mergeCell ref="H2897:H2898"/>
    <mergeCell ref="I2897:I2898"/>
    <mergeCell ref="J2897:J2898"/>
    <mergeCell ref="A2926:D2926"/>
    <mergeCell ref="A2927:B2927"/>
    <mergeCell ref="H2927:J2927"/>
    <mergeCell ref="A2928:B2928"/>
    <mergeCell ref="H2928:J2928"/>
    <mergeCell ref="A2929:B2929"/>
    <mergeCell ref="H2929:J2929"/>
    <mergeCell ref="H2930:J2930"/>
    <mergeCell ref="A2930:B2930"/>
    <mergeCell ref="A2931:B2931"/>
    <mergeCell ref="A2932:B2932"/>
    <mergeCell ref="A2933:B2933"/>
    <mergeCell ref="A2936:A2937"/>
    <mergeCell ref="B2936:B2937"/>
    <mergeCell ref="C2936:D2936"/>
    <mergeCell ref="E2936:F2936"/>
    <mergeCell ref="G2936:G2937"/>
    <mergeCell ref="H2936:H2937"/>
    <mergeCell ref="I2936:I2937"/>
    <mergeCell ref="J2936:J2937"/>
    <mergeCell ref="A2965:D2965"/>
    <mergeCell ref="A2966:B2966"/>
    <mergeCell ref="H2966:J2966"/>
    <mergeCell ref="A2967:B2967"/>
    <mergeCell ref="H2967:J2967"/>
    <mergeCell ref="A2968:B2968"/>
    <mergeCell ref="H2968:J2968"/>
    <mergeCell ref="H2969:J2969"/>
    <mergeCell ref="A2969:B2969"/>
    <mergeCell ref="A2970:B2970"/>
    <mergeCell ref="A2971:B2971"/>
    <mergeCell ref="A2972:B2972"/>
    <mergeCell ref="A2975:A2976"/>
    <mergeCell ref="B2975:B2976"/>
    <mergeCell ref="C2975:D2975"/>
    <mergeCell ref="E2975:F2975"/>
    <mergeCell ref="G2975:G2976"/>
    <mergeCell ref="H2975:H2976"/>
    <mergeCell ref="I2975:I2976"/>
    <mergeCell ref="J2975:J2976"/>
    <mergeCell ref="A3004:D3004"/>
    <mergeCell ref="A3005:B3005"/>
    <mergeCell ref="H3005:J3005"/>
    <mergeCell ref="A3006:B3006"/>
    <mergeCell ref="H3006:J3006"/>
    <mergeCell ref="A3007:B3007"/>
    <mergeCell ref="H3007:J3007"/>
    <mergeCell ref="H3008:J3008"/>
    <mergeCell ref="A3008:B3008"/>
    <mergeCell ref="A3009:B3009"/>
    <mergeCell ref="A3010:B3010"/>
    <mergeCell ref="A3011:B3011"/>
    <mergeCell ref="A3014:A3015"/>
    <mergeCell ref="B3014:B3015"/>
    <mergeCell ref="C3014:D3014"/>
    <mergeCell ref="E3014:F3014"/>
    <mergeCell ref="G3014:G3015"/>
    <mergeCell ref="H3014:H3015"/>
    <mergeCell ref="I3014:I3015"/>
    <mergeCell ref="J3014:J3015"/>
    <mergeCell ref="A3043:D3043"/>
    <mergeCell ref="A3044:B3044"/>
    <mergeCell ref="H3044:J3044"/>
    <mergeCell ref="A3045:B3045"/>
    <mergeCell ref="H3045:J3045"/>
    <mergeCell ref="A3046:B3046"/>
    <mergeCell ref="H3046:J3046"/>
    <mergeCell ref="H3047:J3047"/>
    <mergeCell ref="A3047:B3047"/>
    <mergeCell ref="A3048:B3048"/>
    <mergeCell ref="A3049:B3049"/>
    <mergeCell ref="A3050:B3050"/>
    <mergeCell ref="A3053:A3054"/>
    <mergeCell ref="B3053:B3054"/>
    <mergeCell ref="C3053:D3053"/>
    <mergeCell ref="E3053:F3053"/>
    <mergeCell ref="G3053:G3054"/>
    <mergeCell ref="H3053:H3054"/>
    <mergeCell ref="I3053:I3054"/>
    <mergeCell ref="J3053:J3054"/>
    <mergeCell ref="A3082:D3082"/>
    <mergeCell ref="A3083:B3083"/>
    <mergeCell ref="H3083:J3083"/>
    <mergeCell ref="A3084:B3084"/>
    <mergeCell ref="H3084:J3084"/>
    <mergeCell ref="A3085:B3085"/>
    <mergeCell ref="H3085:J3085"/>
    <mergeCell ref="H3086:J3086"/>
    <mergeCell ref="A3086:B3086"/>
    <mergeCell ref="A3087:B3087"/>
    <mergeCell ref="A3088:B3088"/>
    <mergeCell ref="A3089:B3089"/>
    <mergeCell ref="A3092:A3093"/>
    <mergeCell ref="B3092:B3093"/>
    <mergeCell ref="C3092:D3092"/>
    <mergeCell ref="E3092:F3092"/>
    <mergeCell ref="G3092:G3093"/>
    <mergeCell ref="H3092:H3093"/>
    <mergeCell ref="I3092:I3093"/>
    <mergeCell ref="J3092:J3093"/>
    <mergeCell ref="A3121:D3121"/>
    <mergeCell ref="A3122:B3122"/>
    <mergeCell ref="H3122:J3122"/>
    <mergeCell ref="A3123:B3123"/>
    <mergeCell ref="H3123:J3123"/>
    <mergeCell ref="A3124:B3124"/>
    <mergeCell ref="H3124:J3124"/>
    <mergeCell ref="H3125:J3125"/>
    <mergeCell ref="A3125:B3125"/>
    <mergeCell ref="A3126:B3126"/>
    <mergeCell ref="A3127:B3127"/>
    <mergeCell ref="A3128:B3128"/>
    <mergeCell ref="A3131:A3132"/>
    <mergeCell ref="B3131:B3132"/>
    <mergeCell ref="C3131:D3131"/>
    <mergeCell ref="E3131:F3131"/>
    <mergeCell ref="G3131:G3132"/>
    <mergeCell ref="H3131:H3132"/>
    <mergeCell ref="I3131:I3132"/>
    <mergeCell ref="J3131:J3132"/>
    <mergeCell ref="A3160:D3160"/>
    <mergeCell ref="A3161:B3161"/>
    <mergeCell ref="H3161:J3161"/>
    <mergeCell ref="A3162:B3162"/>
    <mergeCell ref="H3162:J3162"/>
    <mergeCell ref="A3163:B3163"/>
    <mergeCell ref="H3163:J3163"/>
    <mergeCell ref="H3164:J3164"/>
    <mergeCell ref="A3164:B3164"/>
    <mergeCell ref="A3165:B3165"/>
    <mergeCell ref="A3166:B3166"/>
    <mergeCell ref="A3167:B3167"/>
    <mergeCell ref="A3170:A3171"/>
    <mergeCell ref="B3170:B3171"/>
    <mergeCell ref="C3170:D3170"/>
    <mergeCell ref="E3170:F3170"/>
    <mergeCell ref="G3170:G3171"/>
    <mergeCell ref="H3170:H3171"/>
    <mergeCell ref="I3170:I3171"/>
    <mergeCell ref="J3170:J3171"/>
    <mergeCell ref="A3199:D3199"/>
    <mergeCell ref="A3200:B3200"/>
    <mergeCell ref="H3200:J3200"/>
    <mergeCell ref="A3201:B3201"/>
    <mergeCell ref="H3201:J3201"/>
    <mergeCell ref="A3202:B3202"/>
    <mergeCell ref="H3202:J3202"/>
    <mergeCell ref="H3203:J3203"/>
    <mergeCell ref="A3203:B3203"/>
    <mergeCell ref="A3204:B3204"/>
    <mergeCell ref="A3205:B3205"/>
    <mergeCell ref="A3206:B3206"/>
    <mergeCell ref="A3209:A3210"/>
    <mergeCell ref="B3209:B3210"/>
    <mergeCell ref="C3209:D3209"/>
    <mergeCell ref="E3209:F3209"/>
    <mergeCell ref="G3209:G3210"/>
    <mergeCell ref="H3209:H3210"/>
    <mergeCell ref="I3209:I3210"/>
    <mergeCell ref="J3209:J3210"/>
    <mergeCell ref="A3238:D3238"/>
    <mergeCell ref="A3239:B3239"/>
    <mergeCell ref="H3239:J3239"/>
    <mergeCell ref="A3240:B3240"/>
    <mergeCell ref="H3240:J3240"/>
    <mergeCell ref="A3241:B3241"/>
    <mergeCell ref="H3241:J3241"/>
    <mergeCell ref="H3242:J3242"/>
    <mergeCell ref="A3242:B3242"/>
    <mergeCell ref="A3243:B3243"/>
    <mergeCell ref="A3244:B3244"/>
    <mergeCell ref="A3245:B3245"/>
    <mergeCell ref="A3248:A3249"/>
    <mergeCell ref="B3248:B3249"/>
    <mergeCell ref="C3248:D3248"/>
    <mergeCell ref="E3248:F3248"/>
    <mergeCell ref="G3248:G3249"/>
    <mergeCell ref="H3248:H3249"/>
    <mergeCell ref="I3248:I3249"/>
    <mergeCell ref="J3248:J3249"/>
    <mergeCell ref="A3277:D3277"/>
    <mergeCell ref="A3278:B3278"/>
    <mergeCell ref="H3278:J3278"/>
    <mergeCell ref="A3279:B3279"/>
    <mergeCell ref="H3279:J3279"/>
    <mergeCell ref="A3280:B3280"/>
    <mergeCell ref="H3280:J3280"/>
    <mergeCell ref="H3281:J3281"/>
    <mergeCell ref="A3281:B3281"/>
    <mergeCell ref="A3282:B3282"/>
    <mergeCell ref="A3283:B3283"/>
    <mergeCell ref="A3284:B3284"/>
    <mergeCell ref="A3287:A3288"/>
    <mergeCell ref="B3287:B3288"/>
    <mergeCell ref="C3287:D3287"/>
    <mergeCell ref="E3287:F3287"/>
    <mergeCell ref="G3287:G3288"/>
    <mergeCell ref="H3287:H3288"/>
    <mergeCell ref="I3287:I3288"/>
    <mergeCell ref="J3287:J3288"/>
    <mergeCell ref="A3316:D3316"/>
    <mergeCell ref="A3317:B3317"/>
    <mergeCell ref="H3317:J3317"/>
    <mergeCell ref="A3318:B3318"/>
    <mergeCell ref="H3318:J3318"/>
    <mergeCell ref="A3319:B3319"/>
    <mergeCell ref="H3319:J3319"/>
    <mergeCell ref="H3320:J3320"/>
    <mergeCell ref="A3320:B3320"/>
    <mergeCell ref="A3321:B3321"/>
    <mergeCell ref="A3322:B3322"/>
    <mergeCell ref="A3323:B3323"/>
    <mergeCell ref="A3326:A3327"/>
    <mergeCell ref="B3326:B3327"/>
    <mergeCell ref="C3326:D3326"/>
    <mergeCell ref="E3326:F3326"/>
    <mergeCell ref="G3326:G3327"/>
    <mergeCell ref="H3326:H3327"/>
    <mergeCell ref="I3326:I3327"/>
    <mergeCell ref="J3326:J3327"/>
    <mergeCell ref="A3355:D3355"/>
    <mergeCell ref="A3356:B3356"/>
    <mergeCell ref="H3356:J3356"/>
    <mergeCell ref="A3357:B3357"/>
    <mergeCell ref="H3357:J3357"/>
    <mergeCell ref="A3358:B3358"/>
    <mergeCell ref="H3358:J3358"/>
    <mergeCell ref="H3359:J3359"/>
    <mergeCell ref="A3359:B3359"/>
    <mergeCell ref="A3360:B3360"/>
    <mergeCell ref="A3361:B3361"/>
    <mergeCell ref="A3362:B3362"/>
    <mergeCell ref="A3365:A3366"/>
    <mergeCell ref="B3365:B3366"/>
    <mergeCell ref="C3365:D3365"/>
    <mergeCell ref="E3365:F3365"/>
    <mergeCell ref="G3365:G3366"/>
    <mergeCell ref="H3365:H3366"/>
    <mergeCell ref="I3365:I3366"/>
    <mergeCell ref="J3365:J3366"/>
    <mergeCell ref="A3394:D3394"/>
    <mergeCell ref="A3395:B3395"/>
    <mergeCell ref="H3395:J3395"/>
    <mergeCell ref="A3396:B3396"/>
    <mergeCell ref="H3396:J3396"/>
    <mergeCell ref="A3397:B3397"/>
    <mergeCell ref="H3397:J3397"/>
    <mergeCell ref="H3398:J3398"/>
    <mergeCell ref="A3398:B3398"/>
    <mergeCell ref="A3399:B3399"/>
    <mergeCell ref="A3400:B3400"/>
    <mergeCell ref="A3401:B3401"/>
    <mergeCell ref="A3404:A3405"/>
    <mergeCell ref="B3404:B3405"/>
    <mergeCell ref="C3404:D3404"/>
    <mergeCell ref="E3404:F3404"/>
    <mergeCell ref="G3404:G3405"/>
    <mergeCell ref="H3404:H3405"/>
    <mergeCell ref="I3404:I3405"/>
    <mergeCell ref="J3404:J3405"/>
    <mergeCell ref="A3433:D3433"/>
    <mergeCell ref="A3434:B3434"/>
    <mergeCell ref="H3434:J3434"/>
    <mergeCell ref="A3435:B3435"/>
    <mergeCell ref="H3435:J3435"/>
    <mergeCell ref="A3436:B3436"/>
    <mergeCell ref="H3436:J3436"/>
    <mergeCell ref="H3437:J3437"/>
    <mergeCell ref="A3437:B3437"/>
    <mergeCell ref="A3438:B3438"/>
    <mergeCell ref="A3439:B3439"/>
    <mergeCell ref="A3440:B3440"/>
    <mergeCell ref="A3443:A3444"/>
    <mergeCell ref="B3443:B3444"/>
    <mergeCell ref="C3443:D3443"/>
    <mergeCell ref="E3443:F3443"/>
    <mergeCell ref="G3443:G3444"/>
    <mergeCell ref="H3443:H3444"/>
    <mergeCell ref="I3443:I3444"/>
    <mergeCell ref="J3443:J3444"/>
    <mergeCell ref="A3472:D3472"/>
    <mergeCell ref="A3473:B3473"/>
    <mergeCell ref="H3473:J3473"/>
    <mergeCell ref="A3474:B3474"/>
    <mergeCell ref="H3474:J3474"/>
    <mergeCell ref="A3475:B3475"/>
    <mergeCell ref="H3475:J3475"/>
    <mergeCell ref="H3476:J3476"/>
    <mergeCell ref="A3476:B3476"/>
    <mergeCell ref="A3477:B3477"/>
    <mergeCell ref="A3478:B3478"/>
    <mergeCell ref="A3479:B3479"/>
    <mergeCell ref="A3482:A3483"/>
    <mergeCell ref="B3482:B3483"/>
    <mergeCell ref="C3482:D3482"/>
    <mergeCell ref="E3482:F3482"/>
    <mergeCell ref="G3482:G3483"/>
    <mergeCell ref="H3482:H3483"/>
    <mergeCell ref="I3482:I3483"/>
    <mergeCell ref="J3482:J3483"/>
    <mergeCell ref="A3511:D3511"/>
    <mergeCell ref="A3512:B3512"/>
    <mergeCell ref="H3512:J3512"/>
    <mergeCell ref="A3513:B3513"/>
    <mergeCell ref="H3513:J3513"/>
    <mergeCell ref="A3514:B3514"/>
    <mergeCell ref="H3514:J3514"/>
    <mergeCell ref="H3515:J3515"/>
    <mergeCell ref="A3515:B3515"/>
    <mergeCell ref="A3516:B3516"/>
    <mergeCell ref="A3517:B3517"/>
    <mergeCell ref="A3518:B3518"/>
    <mergeCell ref="A3521:A3522"/>
    <mergeCell ref="B3521:B3522"/>
    <mergeCell ref="C3521:D3521"/>
    <mergeCell ref="E3521:F3521"/>
    <mergeCell ref="G3521:G3522"/>
    <mergeCell ref="H3521:H3522"/>
    <mergeCell ref="I3521:I3522"/>
    <mergeCell ref="J3521:J3522"/>
    <mergeCell ref="A3550:D3550"/>
    <mergeCell ref="A3551:B3551"/>
    <mergeCell ref="H3551:J3551"/>
    <mergeCell ref="A3552:B3552"/>
    <mergeCell ref="H3552:J3552"/>
    <mergeCell ref="A3553:B3553"/>
    <mergeCell ref="H3553:J3553"/>
    <mergeCell ref="H3554:J3554"/>
    <mergeCell ref="A3554:B3554"/>
    <mergeCell ref="A3555:B3555"/>
    <mergeCell ref="A3556:B3556"/>
    <mergeCell ref="A3557:B3557"/>
    <mergeCell ref="A3560:A3561"/>
    <mergeCell ref="B3560:B3561"/>
    <mergeCell ref="C3560:D3560"/>
    <mergeCell ref="E3560:F3560"/>
    <mergeCell ref="G3560:G3561"/>
    <mergeCell ref="H3560:H3561"/>
    <mergeCell ref="I3560:I3561"/>
    <mergeCell ref="J3560:J3561"/>
    <mergeCell ref="A3589:D3589"/>
    <mergeCell ref="A3590:B3590"/>
    <mergeCell ref="H3590:J3590"/>
    <mergeCell ref="A3591:B3591"/>
    <mergeCell ref="H3591:J3591"/>
    <mergeCell ref="A3592:B3592"/>
    <mergeCell ref="H3592:J3592"/>
    <mergeCell ref="H3593:J3593"/>
    <mergeCell ref="A3593:B3593"/>
    <mergeCell ref="A3594:B3594"/>
    <mergeCell ref="A3595:B3595"/>
    <mergeCell ref="A3596:B3596"/>
    <mergeCell ref="A3599:A3600"/>
    <mergeCell ref="B3599:B3600"/>
    <mergeCell ref="C3599:D3599"/>
    <mergeCell ref="E3599:F3599"/>
    <mergeCell ref="G3599:G3600"/>
    <mergeCell ref="H3599:H3600"/>
    <mergeCell ref="I3599:I3600"/>
    <mergeCell ref="J3599:J3600"/>
    <mergeCell ref="A3628:D3628"/>
    <mergeCell ref="A3629:B3629"/>
    <mergeCell ref="H3629:J3629"/>
    <mergeCell ref="A3630:B3630"/>
    <mergeCell ref="H3630:J3630"/>
    <mergeCell ref="A3631:B3631"/>
    <mergeCell ref="H3631:J3631"/>
    <mergeCell ref="H3632:J3632"/>
    <mergeCell ref="A3632:B3632"/>
    <mergeCell ref="A3633:B3633"/>
    <mergeCell ref="A3634:B3634"/>
    <mergeCell ref="A3635:B3635"/>
    <mergeCell ref="A3638:A3639"/>
    <mergeCell ref="B3638:B3639"/>
    <mergeCell ref="C3638:D3638"/>
    <mergeCell ref="E3638:F3638"/>
    <mergeCell ref="G3638:G3639"/>
    <mergeCell ref="H3638:H3639"/>
    <mergeCell ref="I3638:I3639"/>
    <mergeCell ref="J3638:J3639"/>
    <mergeCell ref="A3667:D3667"/>
    <mergeCell ref="A3668:B3668"/>
    <mergeCell ref="H3668:J3668"/>
    <mergeCell ref="A3669:B3669"/>
    <mergeCell ref="H3669:J3669"/>
    <mergeCell ref="A3670:B3670"/>
    <mergeCell ref="H3670:J3670"/>
    <mergeCell ref="H3671:J3671"/>
    <mergeCell ref="A3671:B3671"/>
    <mergeCell ref="A3672:B3672"/>
    <mergeCell ref="A3673:B3673"/>
    <mergeCell ref="A3674:B3674"/>
    <mergeCell ref="A3677:A3678"/>
    <mergeCell ref="B3677:B3678"/>
    <mergeCell ref="C3677:D3677"/>
    <mergeCell ref="E3677:F3677"/>
    <mergeCell ref="G3677:G3678"/>
    <mergeCell ref="H3677:H3678"/>
    <mergeCell ref="I3677:I3678"/>
    <mergeCell ref="J3677:J3678"/>
    <mergeCell ref="A3706:D3706"/>
    <mergeCell ref="A3707:B3707"/>
    <mergeCell ref="H3707:J3707"/>
    <mergeCell ref="A3708:B3708"/>
    <mergeCell ref="H3708:J3708"/>
    <mergeCell ref="A3709:B3709"/>
    <mergeCell ref="H3709:J3709"/>
    <mergeCell ref="H3710:J3710"/>
    <mergeCell ref="A3710:B3710"/>
    <mergeCell ref="A3711:B3711"/>
    <mergeCell ref="A3712:B3712"/>
    <mergeCell ref="A3713:B3713"/>
    <mergeCell ref="A3716:A3717"/>
    <mergeCell ref="B3716:B3717"/>
    <mergeCell ref="C3716:D3716"/>
    <mergeCell ref="E3716:F3716"/>
    <mergeCell ref="G3716:G3717"/>
    <mergeCell ref="H3716:H3717"/>
    <mergeCell ref="I3716:I3717"/>
    <mergeCell ref="J3716:J3717"/>
    <mergeCell ref="A3745:D3745"/>
    <mergeCell ref="A3746:B3746"/>
    <mergeCell ref="H3746:J3746"/>
    <mergeCell ref="A3747:B3747"/>
    <mergeCell ref="H3747:J3747"/>
    <mergeCell ref="A3748:B3748"/>
    <mergeCell ref="H3748:J3748"/>
    <mergeCell ref="H3749:J3749"/>
    <mergeCell ref="A3749:B3749"/>
    <mergeCell ref="A3750:B3750"/>
    <mergeCell ref="A3751:B3751"/>
    <mergeCell ref="A3752:B3752"/>
    <mergeCell ref="A3755:A3756"/>
    <mergeCell ref="B3755:B3756"/>
    <mergeCell ref="C3755:D3755"/>
    <mergeCell ref="E3755:F3755"/>
    <mergeCell ref="G3755:G3756"/>
    <mergeCell ref="H3755:H3756"/>
    <mergeCell ref="I3755:I3756"/>
    <mergeCell ref="J3755:J3756"/>
    <mergeCell ref="A3784:D3784"/>
    <mergeCell ref="A3785:B3785"/>
    <mergeCell ref="H3785:J3785"/>
    <mergeCell ref="A3786:B3786"/>
    <mergeCell ref="H3786:J3786"/>
    <mergeCell ref="A3787:B3787"/>
    <mergeCell ref="H3787:J3787"/>
    <mergeCell ref="H3788:J3788"/>
    <mergeCell ref="A3788:B3788"/>
    <mergeCell ref="A3789:B3789"/>
    <mergeCell ref="A3790:B3790"/>
    <mergeCell ref="A3791:B3791"/>
    <mergeCell ref="A3794:A3795"/>
    <mergeCell ref="B3794:B3795"/>
    <mergeCell ref="C3794:D3794"/>
    <mergeCell ref="E3794:F3794"/>
    <mergeCell ref="G3794:G3795"/>
    <mergeCell ref="H3794:H3795"/>
    <mergeCell ref="I3794:I3795"/>
    <mergeCell ref="J3794:J3795"/>
    <mergeCell ref="A3823:D3823"/>
    <mergeCell ref="A3824:B3824"/>
    <mergeCell ref="H3824:J3824"/>
    <mergeCell ref="A3825:B3825"/>
    <mergeCell ref="H3825:J3825"/>
    <mergeCell ref="A3826:B3826"/>
    <mergeCell ref="H3826:J3826"/>
    <mergeCell ref="H3827:J3827"/>
    <mergeCell ref="A3827:B3827"/>
    <mergeCell ref="A3828:B3828"/>
    <mergeCell ref="A3829:B3829"/>
    <mergeCell ref="A3830:B3830"/>
    <mergeCell ref="A3833:A3834"/>
    <mergeCell ref="B3833:B3834"/>
    <mergeCell ref="C3833:D3833"/>
    <mergeCell ref="E3833:F3833"/>
    <mergeCell ref="G3833:G3834"/>
    <mergeCell ref="H3833:H3834"/>
    <mergeCell ref="I3833:I3834"/>
    <mergeCell ref="J3833:J3834"/>
    <mergeCell ref="A3862:D3862"/>
    <mergeCell ref="A3863:B3863"/>
    <mergeCell ref="H3863:J3863"/>
    <mergeCell ref="A3864:B3864"/>
    <mergeCell ref="H3864:J3864"/>
    <mergeCell ref="A3865:B3865"/>
    <mergeCell ref="H3865:J3865"/>
    <mergeCell ref="H3866:J3866"/>
    <mergeCell ref="A3866:B3866"/>
    <mergeCell ref="A3867:B3867"/>
    <mergeCell ref="A3868:B3868"/>
    <mergeCell ref="A3869:B3869"/>
    <mergeCell ref="A3872:A3873"/>
    <mergeCell ref="B3872:B3873"/>
    <mergeCell ref="C3872:D3872"/>
    <mergeCell ref="E3872:F3872"/>
    <mergeCell ref="G3872:G3873"/>
    <mergeCell ref="H3872:H3873"/>
    <mergeCell ref="I3872:I3873"/>
    <mergeCell ref="J3872:J3873"/>
    <mergeCell ref="A3901:D3901"/>
    <mergeCell ref="A3902:B3902"/>
    <mergeCell ref="H3902:J3902"/>
    <mergeCell ref="A3903:B3903"/>
    <mergeCell ref="H3903:J3903"/>
    <mergeCell ref="A3904:B3904"/>
    <mergeCell ref="H3904:J3904"/>
    <mergeCell ref="H3905:J3905"/>
    <mergeCell ref="A3905:B3905"/>
    <mergeCell ref="A3906:B3906"/>
    <mergeCell ref="A3907:B3907"/>
    <mergeCell ref="A3908:B3908"/>
    <mergeCell ref="A3911:A3912"/>
    <mergeCell ref="B3911:B3912"/>
    <mergeCell ref="C3911:D3911"/>
    <mergeCell ref="E3911:F3911"/>
    <mergeCell ref="G3911:G3912"/>
    <mergeCell ref="H3911:H3912"/>
    <mergeCell ref="I3911:I3912"/>
    <mergeCell ref="J3911:J3912"/>
    <mergeCell ref="A3940:D3940"/>
    <mergeCell ref="A3941:B3941"/>
    <mergeCell ref="H3941:J3941"/>
    <mergeCell ref="A3942:B3942"/>
    <mergeCell ref="H3942:J3942"/>
    <mergeCell ref="A3943:B3943"/>
    <mergeCell ref="H3943:J3943"/>
    <mergeCell ref="H3944:J3944"/>
    <mergeCell ref="A3944:B3944"/>
    <mergeCell ref="A3945:B3945"/>
    <mergeCell ref="A3946:B3946"/>
    <mergeCell ref="A3947:B3947"/>
    <mergeCell ref="A3950:A3951"/>
    <mergeCell ref="B3950:B3951"/>
    <mergeCell ref="C3950:D3950"/>
    <mergeCell ref="E3950:F3950"/>
    <mergeCell ref="G3950:G3951"/>
    <mergeCell ref="H3950:H3951"/>
    <mergeCell ref="I3950:I3951"/>
    <mergeCell ref="J3950:J3951"/>
    <mergeCell ref="A3979:D3979"/>
    <mergeCell ref="A3980:B3980"/>
    <mergeCell ref="H3980:J3980"/>
    <mergeCell ref="A3981:B3981"/>
    <mergeCell ref="H3981:J3981"/>
    <mergeCell ref="A3982:B3982"/>
    <mergeCell ref="H3982:J3982"/>
    <mergeCell ref="H3983:J3983"/>
    <mergeCell ref="A3983:B3983"/>
    <mergeCell ref="A3984:B3984"/>
    <mergeCell ref="A3985:B3985"/>
    <mergeCell ref="A3986:B3986"/>
    <mergeCell ref="A3989:A3990"/>
    <mergeCell ref="B3989:B3990"/>
    <mergeCell ref="C3989:D3989"/>
    <mergeCell ref="E3989:F3989"/>
    <mergeCell ref="G3989:G3990"/>
    <mergeCell ref="H3989:H3990"/>
    <mergeCell ref="I3989:I3990"/>
    <mergeCell ref="J3989:J3990"/>
    <mergeCell ref="A4018:D4018"/>
    <mergeCell ref="A4019:B4019"/>
    <mergeCell ref="H4019:J4019"/>
    <mergeCell ref="A4020:B4020"/>
    <mergeCell ref="H4020:J4020"/>
    <mergeCell ref="A4021:B4021"/>
    <mergeCell ref="H4021:J4021"/>
    <mergeCell ref="H4022:J4022"/>
    <mergeCell ref="A4022:B4022"/>
    <mergeCell ref="A4023:B4023"/>
    <mergeCell ref="A4024:B4024"/>
    <mergeCell ref="A4025:B4025"/>
    <mergeCell ref="A4028:A4029"/>
    <mergeCell ref="B4028:B4029"/>
    <mergeCell ref="C4028:D4028"/>
    <mergeCell ref="E4028:F4028"/>
    <mergeCell ref="G4028:G4029"/>
    <mergeCell ref="H4028:H4029"/>
    <mergeCell ref="I4028:I4029"/>
    <mergeCell ref="J4028:J4029"/>
    <mergeCell ref="A4057:D4057"/>
    <mergeCell ref="A4058:B4058"/>
    <mergeCell ref="H4058:J4058"/>
    <mergeCell ref="A4059:B4059"/>
    <mergeCell ref="H4059:J4059"/>
    <mergeCell ref="A4060:B4060"/>
    <mergeCell ref="H4060:J4060"/>
    <mergeCell ref="H4061:J4061"/>
    <mergeCell ref="A4061:B4061"/>
    <mergeCell ref="A4062:B4062"/>
    <mergeCell ref="A4063:B4063"/>
    <mergeCell ref="A4064:B4064"/>
    <mergeCell ref="A4067:A4068"/>
    <mergeCell ref="B4067:B4068"/>
    <mergeCell ref="C4067:D4067"/>
    <mergeCell ref="E4067:F4067"/>
    <mergeCell ref="G4067:G4068"/>
    <mergeCell ref="H4067:H4068"/>
    <mergeCell ref="I4067:I4068"/>
    <mergeCell ref="J4067:J4068"/>
    <mergeCell ref="A4096:D4096"/>
    <mergeCell ref="A4097:B4097"/>
    <mergeCell ref="H4097:J4097"/>
    <mergeCell ref="A4098:B4098"/>
    <mergeCell ref="H4098:J4098"/>
    <mergeCell ref="A4099:B4099"/>
    <mergeCell ref="H4099:J4099"/>
    <mergeCell ref="H4100:J4100"/>
    <mergeCell ref="A4100:B4100"/>
    <mergeCell ref="A4101:B4101"/>
    <mergeCell ref="A4102:B4102"/>
    <mergeCell ref="A4103:B4103"/>
    <mergeCell ref="A4106:A4107"/>
    <mergeCell ref="B4106:B4107"/>
    <mergeCell ref="C4106:D4106"/>
    <mergeCell ref="E4106:F4106"/>
    <mergeCell ref="G4106:G4107"/>
    <mergeCell ref="H4106:H4107"/>
    <mergeCell ref="I4106:I4107"/>
    <mergeCell ref="J4106:J4107"/>
    <mergeCell ref="A4135:D4135"/>
    <mergeCell ref="A4136:B4136"/>
    <mergeCell ref="H4136:J4136"/>
    <mergeCell ref="A4137:B4137"/>
    <mergeCell ref="H4137:J4137"/>
    <mergeCell ref="A4138:B4138"/>
    <mergeCell ref="H4138:J4138"/>
    <mergeCell ref="H4139:J4139"/>
    <mergeCell ref="A4139:B4139"/>
    <mergeCell ref="A4140:B4140"/>
    <mergeCell ref="A4141:B4141"/>
    <mergeCell ref="A4142:B4142"/>
    <mergeCell ref="A4145:A4146"/>
    <mergeCell ref="B4145:B4146"/>
    <mergeCell ref="C4145:D4145"/>
    <mergeCell ref="E4145:F4145"/>
    <mergeCell ref="G4145:G4146"/>
    <mergeCell ref="H4145:H4146"/>
    <mergeCell ref="I4145:I4146"/>
    <mergeCell ref="J4145:J4146"/>
    <mergeCell ref="A4174:D4174"/>
    <mergeCell ref="A4175:B4175"/>
    <mergeCell ref="H4175:J4175"/>
    <mergeCell ref="A4176:B4176"/>
    <mergeCell ref="H4176:J4176"/>
    <mergeCell ref="A4177:B4177"/>
    <mergeCell ref="H4177:J4177"/>
    <mergeCell ref="H4178:J4178"/>
    <mergeCell ref="A4178:B4178"/>
    <mergeCell ref="A4179:B4179"/>
    <mergeCell ref="A4180:B4180"/>
    <mergeCell ref="A4181:B4181"/>
    <mergeCell ref="A4184:A4185"/>
    <mergeCell ref="B4184:B4185"/>
    <mergeCell ref="C4184:D4184"/>
    <mergeCell ref="E4184:F4184"/>
    <mergeCell ref="G4184:G4185"/>
    <mergeCell ref="H4184:H4185"/>
    <mergeCell ref="I4184:I4185"/>
    <mergeCell ref="J4184:J4185"/>
    <mergeCell ref="A4213:D4213"/>
    <mergeCell ref="A4214:B4214"/>
    <mergeCell ref="H4214:J4214"/>
    <mergeCell ref="A4215:B4215"/>
    <mergeCell ref="H4215:J4215"/>
    <mergeCell ref="A4216:B4216"/>
    <mergeCell ref="H4216:J4216"/>
    <mergeCell ref="H4217:J4217"/>
    <mergeCell ref="A4217:B4217"/>
    <mergeCell ref="A4218:B4218"/>
    <mergeCell ref="A4219:B4219"/>
    <mergeCell ref="A4220:B4220"/>
    <mergeCell ref="A4223:A4224"/>
    <mergeCell ref="B4223:B4224"/>
    <mergeCell ref="C4223:D4223"/>
    <mergeCell ref="E4223:F4223"/>
    <mergeCell ref="G4223:G4224"/>
    <mergeCell ref="H4223:H4224"/>
    <mergeCell ref="I4223:I4224"/>
    <mergeCell ref="J4223:J4224"/>
    <mergeCell ref="A4252:D4252"/>
    <mergeCell ref="A4253:B4253"/>
    <mergeCell ref="H4253:J4253"/>
    <mergeCell ref="A4254:B4254"/>
    <mergeCell ref="H4254:J4254"/>
    <mergeCell ref="A4255:B4255"/>
    <mergeCell ref="H4255:J4255"/>
    <mergeCell ref="H4256:J4256"/>
    <mergeCell ref="A4256:B4256"/>
    <mergeCell ref="A4257:B4257"/>
    <mergeCell ref="A4258:B4258"/>
    <mergeCell ref="A4259:B4259"/>
    <mergeCell ref="A4262:A4263"/>
    <mergeCell ref="B4262:B4263"/>
    <mergeCell ref="C4262:D4262"/>
    <mergeCell ref="E4262:F4262"/>
    <mergeCell ref="G4262:G4263"/>
    <mergeCell ref="H4262:H4263"/>
    <mergeCell ref="I4262:I4263"/>
    <mergeCell ref="J4262:J4263"/>
    <mergeCell ref="A4291:D4291"/>
    <mergeCell ref="A4292:B4292"/>
    <mergeCell ref="H4292:J4292"/>
    <mergeCell ref="A4293:B4293"/>
    <mergeCell ref="H4293:J4293"/>
    <mergeCell ref="A4294:B4294"/>
    <mergeCell ref="H4294:J4294"/>
    <mergeCell ref="H4295:J4295"/>
    <mergeCell ref="A4295:B4295"/>
    <mergeCell ref="A4296:B4296"/>
    <mergeCell ref="A4297:B4297"/>
    <mergeCell ref="A4298:B4298"/>
    <mergeCell ref="A4301:A4302"/>
    <mergeCell ref="B4301:B4302"/>
    <mergeCell ref="C4301:D4301"/>
    <mergeCell ref="E4301:F4301"/>
    <mergeCell ref="G4301:G4302"/>
    <mergeCell ref="H4301:H4302"/>
    <mergeCell ref="I4301:I4302"/>
    <mergeCell ref="J4301:J4302"/>
    <mergeCell ref="A4330:D4330"/>
    <mergeCell ref="A4331:B4331"/>
    <mergeCell ref="H4331:J4331"/>
    <mergeCell ref="A4332:B4332"/>
    <mergeCell ref="H4332:J4332"/>
    <mergeCell ref="A4333:B4333"/>
    <mergeCell ref="H4333:J4333"/>
    <mergeCell ref="H4334:J4334"/>
    <mergeCell ref="A4334:B4334"/>
    <mergeCell ref="A4335:B4335"/>
    <mergeCell ref="A4336:B4336"/>
    <mergeCell ref="A4337:B4337"/>
    <mergeCell ref="A4340:A4341"/>
    <mergeCell ref="B4340:B4341"/>
    <mergeCell ref="C4340:D4340"/>
    <mergeCell ref="E4340:F4340"/>
    <mergeCell ref="G4340:G4341"/>
    <mergeCell ref="H4340:H4341"/>
    <mergeCell ref="I4340:I4341"/>
    <mergeCell ref="J4340:J4341"/>
    <mergeCell ref="A4369:D4369"/>
    <mergeCell ref="A4370:B4370"/>
    <mergeCell ref="H4370:J4370"/>
    <mergeCell ref="A4371:B4371"/>
    <mergeCell ref="H4371:J4371"/>
    <mergeCell ref="A4372:B4372"/>
    <mergeCell ref="H4372:J4372"/>
    <mergeCell ref="H4373:J4373"/>
    <mergeCell ref="A4373:B4373"/>
    <mergeCell ref="A4374:B4374"/>
    <mergeCell ref="A4375:B4375"/>
    <mergeCell ref="A4376:B4376"/>
    <mergeCell ref="A4379:A4380"/>
    <mergeCell ref="B4379:B4380"/>
    <mergeCell ref="C4379:D4379"/>
    <mergeCell ref="E4379:F4379"/>
    <mergeCell ref="G4379:G4380"/>
    <mergeCell ref="H4379:H4380"/>
    <mergeCell ref="I4379:I4380"/>
    <mergeCell ref="J4379:J4380"/>
    <mergeCell ref="A4408:D4408"/>
    <mergeCell ref="A4409:B4409"/>
    <mergeCell ref="H4409:J4409"/>
    <mergeCell ref="A4410:B4410"/>
    <mergeCell ref="H4410:J4410"/>
    <mergeCell ref="A4411:B4411"/>
    <mergeCell ref="H4411:J4411"/>
    <mergeCell ref="H4412:J4412"/>
    <mergeCell ref="A4412:B4412"/>
    <mergeCell ref="A4413:B4413"/>
    <mergeCell ref="A4414:B4414"/>
    <mergeCell ref="A4415:B4415"/>
    <mergeCell ref="A4418:A4419"/>
    <mergeCell ref="B4418:B4419"/>
    <mergeCell ref="C4418:D4418"/>
    <mergeCell ref="E4418:F4418"/>
    <mergeCell ref="G4418:G4419"/>
    <mergeCell ref="H4418:H4419"/>
    <mergeCell ref="I4418:I4419"/>
    <mergeCell ref="J4418:J4419"/>
    <mergeCell ref="A4447:D4447"/>
    <mergeCell ref="A4448:B4448"/>
    <mergeCell ref="H4448:J4448"/>
    <mergeCell ref="A4449:B4449"/>
    <mergeCell ref="H4449:J4449"/>
    <mergeCell ref="A4450:B4450"/>
    <mergeCell ref="H4450:J4450"/>
    <mergeCell ref="H4451:J4451"/>
    <mergeCell ref="A4451:B4451"/>
    <mergeCell ref="A4452:B4452"/>
    <mergeCell ref="A4453:B4453"/>
    <mergeCell ref="A4454:B4454"/>
    <mergeCell ref="A4457:A4458"/>
    <mergeCell ref="B4457:B4458"/>
    <mergeCell ref="C4457:D4457"/>
    <mergeCell ref="E4457:F4457"/>
    <mergeCell ref="G4457:G4458"/>
    <mergeCell ref="H4457:H4458"/>
    <mergeCell ref="I4457:I4458"/>
    <mergeCell ref="J4457:J4458"/>
    <mergeCell ref="A4486:D4486"/>
    <mergeCell ref="A4487:B4487"/>
    <mergeCell ref="H4487:J4487"/>
    <mergeCell ref="A4488:B4488"/>
    <mergeCell ref="H4488:J4488"/>
    <mergeCell ref="A4489:B4489"/>
    <mergeCell ref="H4489:J4489"/>
    <mergeCell ref="H4490:J4490"/>
    <mergeCell ref="A4490:B4490"/>
    <mergeCell ref="A4491:B4491"/>
    <mergeCell ref="A4492:B4492"/>
    <mergeCell ref="A4493:B4493"/>
    <mergeCell ref="A4496:A4497"/>
    <mergeCell ref="B4496:B4497"/>
    <mergeCell ref="C4496:D4496"/>
    <mergeCell ref="E4496:F4496"/>
    <mergeCell ref="G4496:G4497"/>
    <mergeCell ref="H4496:H4497"/>
    <mergeCell ref="I4496:I4497"/>
    <mergeCell ref="J4496:J4497"/>
    <mergeCell ref="A4525:D4525"/>
    <mergeCell ref="A4526:B4526"/>
    <mergeCell ref="H4526:J4526"/>
    <mergeCell ref="A4527:B4527"/>
    <mergeCell ref="H4527:J4527"/>
    <mergeCell ref="A4528:B4528"/>
    <mergeCell ref="H4528:J4528"/>
    <mergeCell ref="H4529:J4529"/>
    <mergeCell ref="A4529:B4529"/>
    <mergeCell ref="A4530:B4530"/>
    <mergeCell ref="A4531:B4531"/>
    <mergeCell ref="A4532:B4532"/>
    <mergeCell ref="A4535:A4536"/>
    <mergeCell ref="B4535:B4536"/>
    <mergeCell ref="C4535:D4535"/>
    <mergeCell ref="E4535:F4535"/>
    <mergeCell ref="G4535:G4536"/>
    <mergeCell ref="H4535:H4536"/>
    <mergeCell ref="I4535:I4536"/>
    <mergeCell ref="J4535:J4536"/>
    <mergeCell ref="A4564:D4564"/>
    <mergeCell ref="A4565:B4565"/>
    <mergeCell ref="H4565:J4565"/>
    <mergeCell ref="A4566:B4566"/>
    <mergeCell ref="H4566:J4566"/>
    <mergeCell ref="A4567:B4567"/>
    <mergeCell ref="H4567:J4567"/>
    <mergeCell ref="H4568:J4568"/>
    <mergeCell ref="A4568:B4568"/>
    <mergeCell ref="A4569:B4569"/>
    <mergeCell ref="A4570:B4570"/>
    <mergeCell ref="A4571:B4571"/>
    <mergeCell ref="A4574:A4575"/>
    <mergeCell ref="B4574:B4575"/>
    <mergeCell ref="C4574:D4574"/>
    <mergeCell ref="E4574:F4574"/>
    <mergeCell ref="G4574:G4575"/>
    <mergeCell ref="H4574:H4575"/>
    <mergeCell ref="I4574:I4575"/>
    <mergeCell ref="J4574:J4575"/>
    <mergeCell ref="A4603:D4603"/>
    <mergeCell ref="A4604:B4604"/>
    <mergeCell ref="H4604:J4604"/>
    <mergeCell ref="A4605:B4605"/>
    <mergeCell ref="H4605:J4605"/>
    <mergeCell ref="A4606:B4606"/>
    <mergeCell ref="H4606:J4606"/>
    <mergeCell ref="H4607:J4607"/>
    <mergeCell ref="A4607:B4607"/>
    <mergeCell ref="A4608:B4608"/>
    <mergeCell ref="A4609:B4609"/>
    <mergeCell ref="A4610:B4610"/>
    <mergeCell ref="A4613:A4614"/>
    <mergeCell ref="B4613:B4614"/>
    <mergeCell ref="C4613:D4613"/>
    <mergeCell ref="E4613:F4613"/>
    <mergeCell ref="G4613:G4614"/>
    <mergeCell ref="H4613:H4614"/>
    <mergeCell ref="I4613:I4614"/>
    <mergeCell ref="J4613:J4614"/>
    <mergeCell ref="A4642:D4642"/>
    <mergeCell ref="A4643:B4643"/>
    <mergeCell ref="H4643:J4643"/>
    <mergeCell ref="A4644:B4644"/>
    <mergeCell ref="H4644:J4644"/>
    <mergeCell ref="A4645:B4645"/>
    <mergeCell ref="H4645:J4645"/>
    <mergeCell ref="H4646:J4646"/>
    <mergeCell ref="A4646:B4646"/>
    <mergeCell ref="A4647:B4647"/>
    <mergeCell ref="A4648:B4648"/>
    <mergeCell ref="A4649:B4649"/>
    <mergeCell ref="A4652:A4653"/>
    <mergeCell ref="B4652:B4653"/>
    <mergeCell ref="C4652:D4652"/>
    <mergeCell ref="E4652:F4652"/>
    <mergeCell ref="G4652:G4653"/>
    <mergeCell ref="H4652:H4653"/>
    <mergeCell ref="I4652:I4653"/>
    <mergeCell ref="J4652:J4653"/>
    <mergeCell ref="A4681:D4681"/>
    <mergeCell ref="A4682:B4682"/>
    <mergeCell ref="H4682:J4682"/>
    <mergeCell ref="A4683:B4683"/>
    <mergeCell ref="H4683:J4683"/>
    <mergeCell ref="A4684:B4684"/>
    <mergeCell ref="H4684:J4684"/>
    <mergeCell ref="H4685:J4685"/>
    <mergeCell ref="A4685:B4685"/>
    <mergeCell ref="A4686:B4686"/>
    <mergeCell ref="A4687:B4687"/>
    <mergeCell ref="A4688:B4688"/>
    <mergeCell ref="A4691:A4692"/>
    <mergeCell ref="B4691:B4692"/>
    <mergeCell ref="C4691:D4691"/>
    <mergeCell ref="E4691:F4691"/>
    <mergeCell ref="G4691:G4692"/>
    <mergeCell ref="H4691:H4692"/>
    <mergeCell ref="I4691:I4692"/>
    <mergeCell ref="J4691:J4692"/>
    <mergeCell ref="A4720:D4720"/>
    <mergeCell ref="A4721:B4721"/>
    <mergeCell ref="H4721:J4721"/>
    <mergeCell ref="A4722:B4722"/>
    <mergeCell ref="H4722:J4722"/>
    <mergeCell ref="A4723:B4723"/>
    <mergeCell ref="H4723:J4723"/>
    <mergeCell ref="H4724:J4724"/>
    <mergeCell ref="A4724:B4724"/>
    <mergeCell ref="A4725:B4725"/>
    <mergeCell ref="A4726:B4726"/>
    <mergeCell ref="A4727:B4727"/>
    <mergeCell ref="A4730:A4731"/>
    <mergeCell ref="B4730:B4731"/>
    <mergeCell ref="C4730:D4730"/>
    <mergeCell ref="E4730:F4730"/>
    <mergeCell ref="G4730:G4731"/>
    <mergeCell ref="H4730:H4731"/>
    <mergeCell ref="I4730:I4731"/>
    <mergeCell ref="J4730:J4731"/>
    <mergeCell ref="A4759:D4759"/>
    <mergeCell ref="A4760:B4760"/>
    <mergeCell ref="H4760:J4760"/>
    <mergeCell ref="A4761:B4761"/>
    <mergeCell ref="H4761:J4761"/>
    <mergeCell ref="A4762:B4762"/>
    <mergeCell ref="H4762:J4762"/>
    <mergeCell ref="H4763:J4763"/>
    <mergeCell ref="A4763:B4763"/>
    <mergeCell ref="A4764:B4764"/>
    <mergeCell ref="A4765:B4765"/>
    <mergeCell ref="A4766:B4766"/>
    <mergeCell ref="A4769:A4770"/>
    <mergeCell ref="B4769:B4770"/>
    <mergeCell ref="C4769:D4769"/>
    <mergeCell ref="E4769:F4769"/>
    <mergeCell ref="G4769:G4770"/>
    <mergeCell ref="H4769:H4770"/>
    <mergeCell ref="I4769:I4770"/>
    <mergeCell ref="J4769:J4770"/>
    <mergeCell ref="A4798:D4798"/>
    <mergeCell ref="A4799:B4799"/>
    <mergeCell ref="H4799:J4799"/>
    <mergeCell ref="A4800:B4800"/>
    <mergeCell ref="H4800:J4800"/>
    <mergeCell ref="A4801:B4801"/>
    <mergeCell ref="H4801:J4801"/>
    <mergeCell ref="H4802:J4802"/>
    <mergeCell ref="A4802:B4802"/>
    <mergeCell ref="A4803:B4803"/>
    <mergeCell ref="A4804:B4804"/>
    <mergeCell ref="A4805:B4805"/>
    <mergeCell ref="A4808:A4809"/>
    <mergeCell ref="B4808:B4809"/>
    <mergeCell ref="C4808:D4808"/>
    <mergeCell ref="E4808:F4808"/>
    <mergeCell ref="G4808:G4809"/>
    <mergeCell ref="H4808:H4809"/>
    <mergeCell ref="I4808:I4809"/>
    <mergeCell ref="J4808:J4809"/>
    <mergeCell ref="A4837:D4837"/>
    <mergeCell ref="A4838:B4838"/>
    <mergeCell ref="H4838:J4838"/>
    <mergeCell ref="A4839:B4839"/>
    <mergeCell ref="H4839:J4839"/>
    <mergeCell ref="A4840:B4840"/>
    <mergeCell ref="H4840:J4840"/>
    <mergeCell ref="H4841:J4841"/>
    <mergeCell ref="A4841:B4841"/>
    <mergeCell ref="A4842:B4842"/>
    <mergeCell ref="A4843:B4843"/>
    <mergeCell ref="A4844:B4844"/>
    <mergeCell ref="A4847:A4848"/>
    <mergeCell ref="B4847:B4848"/>
    <mergeCell ref="C4847:D4847"/>
    <mergeCell ref="E4847:F4847"/>
    <mergeCell ref="G4847:G4848"/>
    <mergeCell ref="H4847:H4848"/>
    <mergeCell ref="I4847:I4848"/>
    <mergeCell ref="J4847:J4848"/>
    <mergeCell ref="A4876:D4876"/>
    <mergeCell ref="A4877:B4877"/>
    <mergeCell ref="H4877:J4877"/>
    <mergeCell ref="A4878:B4878"/>
    <mergeCell ref="H4878:J4878"/>
    <mergeCell ref="A4879:B4879"/>
    <mergeCell ref="H4879:J4879"/>
    <mergeCell ref="H4880:J4880"/>
    <mergeCell ref="A4880:B4880"/>
    <mergeCell ref="A4881:B4881"/>
    <mergeCell ref="A4882:B4882"/>
    <mergeCell ref="A4883:B4883"/>
    <mergeCell ref="A4886:A4887"/>
    <mergeCell ref="B4886:B4887"/>
    <mergeCell ref="C4886:D4886"/>
    <mergeCell ref="E4886:F4886"/>
    <mergeCell ref="G4886:G4887"/>
    <mergeCell ref="H4886:H4887"/>
    <mergeCell ref="I4886:I4887"/>
    <mergeCell ref="J4886:J4887"/>
    <mergeCell ref="A4915:D4915"/>
    <mergeCell ref="A4916:B4916"/>
    <mergeCell ref="H4916:J4916"/>
    <mergeCell ref="A4917:B4917"/>
    <mergeCell ref="H4917:J4917"/>
    <mergeCell ref="A4918:B4918"/>
    <mergeCell ref="H4918:J4918"/>
    <mergeCell ref="H4919:J4919"/>
    <mergeCell ref="A4919:B4919"/>
    <mergeCell ref="A4920:B4920"/>
    <mergeCell ref="A4921:B4921"/>
    <mergeCell ref="A4922:B4922"/>
    <mergeCell ref="A4925:A4926"/>
    <mergeCell ref="B4925:B4926"/>
    <mergeCell ref="C4925:D4925"/>
    <mergeCell ref="E4925:F4925"/>
    <mergeCell ref="G4925:G4926"/>
    <mergeCell ref="H4925:H4926"/>
    <mergeCell ref="I4925:I4926"/>
    <mergeCell ref="J4925:J4926"/>
    <mergeCell ref="A4954:D4954"/>
    <mergeCell ref="A4955:B4955"/>
    <mergeCell ref="H4955:J4955"/>
    <mergeCell ref="A4956:B4956"/>
    <mergeCell ref="H4956:J4956"/>
    <mergeCell ref="A4957:B4957"/>
    <mergeCell ref="H4957:J4957"/>
    <mergeCell ref="H4958:J4958"/>
    <mergeCell ref="A4958:B4958"/>
    <mergeCell ref="A4959:B4959"/>
    <mergeCell ref="A4960:B4960"/>
    <mergeCell ref="A4961:B4961"/>
    <mergeCell ref="A4964:A4965"/>
    <mergeCell ref="B4964:B4965"/>
    <mergeCell ref="C4964:D4964"/>
    <mergeCell ref="E4964:F4964"/>
    <mergeCell ref="G4964:G4965"/>
    <mergeCell ref="H4964:H4965"/>
    <mergeCell ref="I4964:I4965"/>
    <mergeCell ref="J4964:J4965"/>
    <mergeCell ref="A4993:D4993"/>
    <mergeCell ref="A4994:B4994"/>
    <mergeCell ref="H4994:J4994"/>
    <mergeCell ref="A4995:B4995"/>
    <mergeCell ref="H4995:J4995"/>
    <mergeCell ref="A4996:B4996"/>
    <mergeCell ref="H4996:J4996"/>
    <mergeCell ref="H4997:J4997"/>
    <mergeCell ref="A4997:B4997"/>
    <mergeCell ref="A4998:B4998"/>
    <mergeCell ref="A4999:B4999"/>
    <mergeCell ref="A5000:B5000"/>
    <mergeCell ref="A5003:A5004"/>
    <mergeCell ref="B5003:B5004"/>
    <mergeCell ref="C5003:D5003"/>
    <mergeCell ref="E5003:F5003"/>
    <mergeCell ref="G5003:G5004"/>
    <mergeCell ref="H5003:H5004"/>
    <mergeCell ref="I5003:I5004"/>
    <mergeCell ref="J5003:J5004"/>
    <mergeCell ref="A5032:D5032"/>
    <mergeCell ref="A5033:B5033"/>
    <mergeCell ref="H5033:J5033"/>
    <mergeCell ref="A5034:B5034"/>
    <mergeCell ref="H5034:J5034"/>
    <mergeCell ref="A5035:B5035"/>
    <mergeCell ref="H5035:J5035"/>
    <mergeCell ref="H5036:J5036"/>
    <mergeCell ref="A5036:B5036"/>
    <mergeCell ref="A5037:B5037"/>
    <mergeCell ref="A5038:B5038"/>
    <mergeCell ref="A5039:B5039"/>
    <mergeCell ref="A5042:A5043"/>
    <mergeCell ref="B5042:B5043"/>
    <mergeCell ref="C5042:D5042"/>
    <mergeCell ref="E5042:F5042"/>
    <mergeCell ref="G5042:G5043"/>
    <mergeCell ref="H5042:H5043"/>
    <mergeCell ref="I5042:I5043"/>
    <mergeCell ref="J5042:J5043"/>
    <mergeCell ref="A5071:D5071"/>
    <mergeCell ref="A5072:B5072"/>
    <mergeCell ref="H5072:J5072"/>
    <mergeCell ref="A5073:B5073"/>
    <mergeCell ref="H5073:J5073"/>
    <mergeCell ref="A5074:B5074"/>
    <mergeCell ref="H5074:J5074"/>
    <mergeCell ref="H5075:J5075"/>
    <mergeCell ref="A5075:B5075"/>
    <mergeCell ref="A5076:B5076"/>
    <mergeCell ref="A5077:B5077"/>
    <mergeCell ref="A5078:B5078"/>
    <mergeCell ref="A5081:A5082"/>
    <mergeCell ref="B5081:B5082"/>
    <mergeCell ref="C5081:D5081"/>
    <mergeCell ref="E5081:F5081"/>
    <mergeCell ref="G5081:G5082"/>
    <mergeCell ref="H5081:H5082"/>
    <mergeCell ref="I5081:I5082"/>
    <mergeCell ref="J5081:J5082"/>
    <mergeCell ref="A5110:D5110"/>
    <mergeCell ref="A5111:B5111"/>
    <mergeCell ref="H5111:J5111"/>
    <mergeCell ref="A5112:B5112"/>
    <mergeCell ref="H5112:J5112"/>
    <mergeCell ref="A5113:B5113"/>
    <mergeCell ref="H5113:J5113"/>
    <mergeCell ref="H5114:J5114"/>
    <mergeCell ref="A5114:B5114"/>
    <mergeCell ref="A5115:B5115"/>
    <mergeCell ref="A5116:B5116"/>
    <mergeCell ref="A5117:B5117"/>
    <mergeCell ref="A5120:A5121"/>
    <mergeCell ref="B5120:B5121"/>
    <mergeCell ref="C5120:D5120"/>
    <mergeCell ref="E5120:F5120"/>
    <mergeCell ref="G5120:G5121"/>
    <mergeCell ref="H5120:H5121"/>
    <mergeCell ref="I5120:I5121"/>
    <mergeCell ref="J5120:J5121"/>
    <mergeCell ref="A5149:D5149"/>
    <mergeCell ref="A5150:B5150"/>
    <mergeCell ref="H5150:J5150"/>
    <mergeCell ref="A5151:B5151"/>
    <mergeCell ref="H5151:J5151"/>
    <mergeCell ref="A5152:B5152"/>
    <mergeCell ref="H5152:J5152"/>
    <mergeCell ref="H5153:J5153"/>
    <mergeCell ref="A5153:B5153"/>
    <mergeCell ref="A5154:B5154"/>
    <mergeCell ref="A5155:B5155"/>
    <mergeCell ref="A5156:B5156"/>
    <mergeCell ref="A5159:A5160"/>
    <mergeCell ref="B5159:B5160"/>
    <mergeCell ref="C5159:D5159"/>
    <mergeCell ref="E5159:F5159"/>
    <mergeCell ref="G5159:G5160"/>
    <mergeCell ref="H5159:H5160"/>
    <mergeCell ref="I5159:I5160"/>
    <mergeCell ref="J5159:J5160"/>
    <mergeCell ref="A5188:D5188"/>
    <mergeCell ref="A5189:B5189"/>
    <mergeCell ref="H5189:J5189"/>
    <mergeCell ref="A5190:B5190"/>
    <mergeCell ref="H5190:J5190"/>
    <mergeCell ref="A5191:B5191"/>
    <mergeCell ref="H5191:J5191"/>
    <mergeCell ref="H5192:J5192"/>
    <mergeCell ref="A5192:B5192"/>
    <mergeCell ref="A5193:B5193"/>
    <mergeCell ref="A5194:B5194"/>
    <mergeCell ref="A5195:B5195"/>
    <mergeCell ref="A5198:A5199"/>
    <mergeCell ref="B5198:B5199"/>
    <mergeCell ref="C5198:D5198"/>
    <mergeCell ref="E5198:F5198"/>
    <mergeCell ref="G5198:G5199"/>
    <mergeCell ref="H5198:H5199"/>
    <mergeCell ref="I5198:I5199"/>
    <mergeCell ref="J5198:J5199"/>
    <mergeCell ref="A5227:D5227"/>
    <mergeCell ref="A5228:B5228"/>
    <mergeCell ref="H5228:J5228"/>
    <mergeCell ref="A5229:B5229"/>
    <mergeCell ref="H5229:J5229"/>
    <mergeCell ref="A5230:B5230"/>
    <mergeCell ref="H5230:J5230"/>
    <mergeCell ref="H5231:J5231"/>
    <mergeCell ref="A5231:B5231"/>
    <mergeCell ref="A5232:B5232"/>
    <mergeCell ref="A5233:B5233"/>
    <mergeCell ref="A5234:B5234"/>
    <mergeCell ref="A5237:A5238"/>
    <mergeCell ref="B5237:B5238"/>
    <mergeCell ref="C5237:D5237"/>
    <mergeCell ref="E5237:F5237"/>
    <mergeCell ref="G5237:G5238"/>
    <mergeCell ref="H5237:H5238"/>
    <mergeCell ref="I5237:I5238"/>
    <mergeCell ref="J5237:J5238"/>
    <mergeCell ref="A5266:D5266"/>
    <mergeCell ref="A5267:B5267"/>
    <mergeCell ref="H5267:J5267"/>
    <mergeCell ref="A5268:B5268"/>
    <mergeCell ref="H5268:J5268"/>
    <mergeCell ref="A5269:B5269"/>
    <mergeCell ref="H5269:J5269"/>
    <mergeCell ref="H5270:J5270"/>
    <mergeCell ref="A5270:B5270"/>
    <mergeCell ref="A5271:B5271"/>
    <mergeCell ref="A5272:B5272"/>
    <mergeCell ref="A5273:B5273"/>
    <mergeCell ref="A5276:A5277"/>
    <mergeCell ref="B5276:B5277"/>
    <mergeCell ref="C5276:D5276"/>
    <mergeCell ref="E5276:F5276"/>
    <mergeCell ref="G5276:G5277"/>
    <mergeCell ref="H5276:H5277"/>
    <mergeCell ref="I5276:I5277"/>
    <mergeCell ref="J5276:J5277"/>
    <mergeCell ref="A5305:D5305"/>
    <mergeCell ref="A5306:B5306"/>
    <mergeCell ref="H5306:J5306"/>
    <mergeCell ref="A5307:B5307"/>
    <mergeCell ref="H5307:J5307"/>
    <mergeCell ref="A5308:B5308"/>
    <mergeCell ref="H5308:J5308"/>
    <mergeCell ref="H5309:J5309"/>
    <mergeCell ref="A5309:B5309"/>
    <mergeCell ref="A5310:B5310"/>
    <mergeCell ref="A5311:B5311"/>
    <mergeCell ref="A5312:B5312"/>
    <mergeCell ref="A5315:A5316"/>
    <mergeCell ref="B5315:B5316"/>
    <mergeCell ref="C5315:D5315"/>
    <mergeCell ref="E5315:F5315"/>
    <mergeCell ref="G5315:G5316"/>
    <mergeCell ref="H5315:H5316"/>
    <mergeCell ref="I5315:I5316"/>
    <mergeCell ref="J5315:J5316"/>
    <mergeCell ref="A5344:D5344"/>
    <mergeCell ref="A5345:B5345"/>
    <mergeCell ref="H5345:J5345"/>
    <mergeCell ref="A5346:B5346"/>
    <mergeCell ref="H5346:J5346"/>
    <mergeCell ref="A5347:B5347"/>
    <mergeCell ref="H5347:J5347"/>
    <mergeCell ref="H5348:J5348"/>
    <mergeCell ref="A5348:B5348"/>
    <mergeCell ref="A5349:B5349"/>
    <mergeCell ref="A5350:B5350"/>
    <mergeCell ref="A5351:B5351"/>
    <mergeCell ref="A5354:A5355"/>
    <mergeCell ref="B5354:B5355"/>
    <mergeCell ref="C5354:D5354"/>
    <mergeCell ref="E5354:F5354"/>
    <mergeCell ref="G5354:G5355"/>
    <mergeCell ref="H5354:H5355"/>
    <mergeCell ref="I5354:I5355"/>
    <mergeCell ref="J5354:J5355"/>
    <mergeCell ref="A5383:D5383"/>
    <mergeCell ref="A5384:B5384"/>
    <mergeCell ref="H5384:J5384"/>
    <mergeCell ref="A5385:B5385"/>
    <mergeCell ref="H5385:J5385"/>
    <mergeCell ref="A5386:B5386"/>
    <mergeCell ref="H5386:J5386"/>
    <mergeCell ref="H5387:J5387"/>
    <mergeCell ref="A5387:B5387"/>
    <mergeCell ref="A5388:B5388"/>
    <mergeCell ref="A5389:B5389"/>
    <mergeCell ref="A5390:B5390"/>
    <mergeCell ref="A5393:A5394"/>
    <mergeCell ref="B5393:B5394"/>
    <mergeCell ref="C5393:D5393"/>
    <mergeCell ref="E5393:F5393"/>
    <mergeCell ref="G5393:G5394"/>
    <mergeCell ref="H5393:H5394"/>
    <mergeCell ref="I5393:I5394"/>
    <mergeCell ref="J5393:J5394"/>
    <mergeCell ref="A5422:D5422"/>
    <mergeCell ref="A5423:B5423"/>
    <mergeCell ref="H5423:J5423"/>
    <mergeCell ref="A5424:B5424"/>
    <mergeCell ref="H5424:J5424"/>
    <mergeCell ref="A5425:B5425"/>
    <mergeCell ref="H5425:J5425"/>
    <mergeCell ref="H5426:J5426"/>
    <mergeCell ref="A5426:B5426"/>
    <mergeCell ref="A5427:B5427"/>
    <mergeCell ref="A5428:B5428"/>
    <mergeCell ref="A5429:B5429"/>
    <mergeCell ref="A5432:A5433"/>
    <mergeCell ref="B5432:B5433"/>
    <mergeCell ref="C5432:D5432"/>
    <mergeCell ref="E5432:F5432"/>
    <mergeCell ref="G5432:G5433"/>
    <mergeCell ref="H5432:H5433"/>
    <mergeCell ref="I5432:I5433"/>
    <mergeCell ref="J5432:J5433"/>
    <mergeCell ref="A5461:D5461"/>
    <mergeCell ref="A5462:B5462"/>
    <mergeCell ref="H5462:J5462"/>
    <mergeCell ref="A5463:B5463"/>
    <mergeCell ref="H5463:J5463"/>
    <mergeCell ref="A5464:B5464"/>
    <mergeCell ref="H5464:J5464"/>
    <mergeCell ref="H5465:J5465"/>
    <mergeCell ref="A5465:B5465"/>
    <mergeCell ref="A5466:B5466"/>
    <mergeCell ref="A5467:B5467"/>
    <mergeCell ref="A5468:B5468"/>
    <mergeCell ref="A5471:A5472"/>
    <mergeCell ref="B5471:B5472"/>
    <mergeCell ref="C5471:D5471"/>
    <mergeCell ref="E5471:F5471"/>
    <mergeCell ref="G5471:G5472"/>
    <mergeCell ref="H5471:H5472"/>
    <mergeCell ref="I5471:I5472"/>
    <mergeCell ref="J5471:J5472"/>
    <mergeCell ref="A5500:D5500"/>
    <mergeCell ref="A5501:B5501"/>
    <mergeCell ref="H5501:J5501"/>
    <mergeCell ref="A5502:B5502"/>
    <mergeCell ref="H5502:J5502"/>
    <mergeCell ref="A5503:B5503"/>
    <mergeCell ref="H5503:J5503"/>
    <mergeCell ref="H5504:J5504"/>
    <mergeCell ref="A5504:B5504"/>
    <mergeCell ref="A5505:B5505"/>
    <mergeCell ref="A5506:B5506"/>
    <mergeCell ref="A5507:B5507"/>
    <mergeCell ref="A5510:A5511"/>
    <mergeCell ref="B5510:B5511"/>
    <mergeCell ref="C5510:D5510"/>
    <mergeCell ref="E5510:F5510"/>
    <mergeCell ref="G5510:G5511"/>
    <mergeCell ref="H5510:H5511"/>
    <mergeCell ref="I5510:I5511"/>
    <mergeCell ref="J5510:J5511"/>
    <mergeCell ref="A5539:D5539"/>
    <mergeCell ref="A5540:B5540"/>
    <mergeCell ref="H5540:J5540"/>
    <mergeCell ref="A5541:B5541"/>
    <mergeCell ref="H5541:J5541"/>
    <mergeCell ref="A5542:B5542"/>
    <mergeCell ref="H5542:J5542"/>
    <mergeCell ref="H5543:J5543"/>
    <mergeCell ref="A5543:B5543"/>
    <mergeCell ref="A5544:B5544"/>
    <mergeCell ref="A5545:B5545"/>
    <mergeCell ref="A5546:B5546"/>
    <mergeCell ref="A5549:A5550"/>
    <mergeCell ref="B5549:B5550"/>
    <mergeCell ref="C5549:D5549"/>
    <mergeCell ref="E5549:F5549"/>
    <mergeCell ref="G5549:G5550"/>
    <mergeCell ref="H5549:H5550"/>
    <mergeCell ref="I5549:I5550"/>
    <mergeCell ref="J5549:J5550"/>
    <mergeCell ref="A5578:D5578"/>
    <mergeCell ref="A5579:B5579"/>
    <mergeCell ref="H5579:J5579"/>
    <mergeCell ref="A5580:B5580"/>
    <mergeCell ref="H5580:J5580"/>
    <mergeCell ref="A5581:B5581"/>
    <mergeCell ref="H5581:J5581"/>
    <mergeCell ref="H5582:J5582"/>
    <mergeCell ref="A5582:B5582"/>
    <mergeCell ref="A5583:B5583"/>
    <mergeCell ref="A5584:B5584"/>
    <mergeCell ref="A5585:B5585"/>
    <mergeCell ref="A5588:A5589"/>
    <mergeCell ref="B5588:B5589"/>
    <mergeCell ref="C5588:D5588"/>
    <mergeCell ref="E5588:F5588"/>
    <mergeCell ref="G5588:G5589"/>
    <mergeCell ref="H5588:H5589"/>
    <mergeCell ref="I5588:I5589"/>
    <mergeCell ref="J5588:J5589"/>
    <mergeCell ref="A5617:D5617"/>
    <mergeCell ref="A5618:B5618"/>
    <mergeCell ref="H5618:J5618"/>
    <mergeCell ref="A5619:B5619"/>
    <mergeCell ref="H5619:J5619"/>
    <mergeCell ref="A5620:B5620"/>
    <mergeCell ref="H5620:J5620"/>
    <mergeCell ref="H5621:J5621"/>
    <mergeCell ref="A5621:B5621"/>
    <mergeCell ref="A5622:B5622"/>
    <mergeCell ref="A5623:B5623"/>
    <mergeCell ref="A5624:B5624"/>
    <mergeCell ref="A5627:A5628"/>
    <mergeCell ref="B5627:B5628"/>
    <mergeCell ref="C5627:D5627"/>
    <mergeCell ref="E5627:F5627"/>
    <mergeCell ref="G5627:G5628"/>
    <mergeCell ref="H5627:H5628"/>
    <mergeCell ref="I5627:I5628"/>
    <mergeCell ref="J5627:J5628"/>
    <mergeCell ref="A5656:D5656"/>
    <mergeCell ref="A5657:B5657"/>
    <mergeCell ref="H5657:J5657"/>
    <mergeCell ref="A5658:B5658"/>
    <mergeCell ref="H5658:J5658"/>
    <mergeCell ref="A5659:B5659"/>
    <mergeCell ref="H5659:J5659"/>
    <mergeCell ref="H5660:J5660"/>
    <mergeCell ref="A5660:B5660"/>
    <mergeCell ref="A5661:B5661"/>
    <mergeCell ref="A5662:B5662"/>
    <mergeCell ref="A5663:B5663"/>
    <mergeCell ref="A5666:A5667"/>
    <mergeCell ref="B5666:B5667"/>
    <mergeCell ref="C5666:D5666"/>
    <mergeCell ref="E5666:F5666"/>
    <mergeCell ref="G5666:G5667"/>
    <mergeCell ref="H5666:H5667"/>
    <mergeCell ref="I5666:I5667"/>
    <mergeCell ref="J5666:J5667"/>
    <mergeCell ref="A5695:D5695"/>
    <mergeCell ref="A5696:B5696"/>
    <mergeCell ref="H5696:J5696"/>
    <mergeCell ref="A5697:B5697"/>
    <mergeCell ref="H5697:J5697"/>
    <mergeCell ref="A5698:B5698"/>
    <mergeCell ref="H5698:J5698"/>
    <mergeCell ref="H5699:J5699"/>
    <mergeCell ref="A5699:B5699"/>
    <mergeCell ref="A5700:B5700"/>
    <mergeCell ref="A5701:B5701"/>
    <mergeCell ref="A5702:B5702"/>
    <mergeCell ref="A5705:A5706"/>
    <mergeCell ref="B5705:B5706"/>
    <mergeCell ref="C5705:D5705"/>
    <mergeCell ref="E5705:F5705"/>
    <mergeCell ref="G5705:G5706"/>
    <mergeCell ref="H5705:H5706"/>
    <mergeCell ref="I5705:I5706"/>
    <mergeCell ref="J5705:J5706"/>
    <mergeCell ref="A5734:D5734"/>
    <mergeCell ref="A5735:B5735"/>
    <mergeCell ref="H5735:J5735"/>
    <mergeCell ref="A5736:B5736"/>
    <mergeCell ref="H5736:J5736"/>
    <mergeCell ref="A5737:B5737"/>
    <mergeCell ref="H5737:J5737"/>
    <mergeCell ref="H5738:J5738"/>
    <mergeCell ref="A5738:B5738"/>
    <mergeCell ref="A5739:B5739"/>
    <mergeCell ref="A5740:B5740"/>
    <mergeCell ref="A5741:B5741"/>
    <mergeCell ref="A5744:A5745"/>
    <mergeCell ref="B5744:B5745"/>
    <mergeCell ref="C5744:D5744"/>
    <mergeCell ref="E5744:F5744"/>
    <mergeCell ref="G5744:G5745"/>
    <mergeCell ref="H5744:H5745"/>
    <mergeCell ref="I5744:I5745"/>
    <mergeCell ref="J5744:J5745"/>
    <mergeCell ref="A5773:D5773"/>
    <mergeCell ref="A5774:B5774"/>
    <mergeCell ref="H5774:J5774"/>
    <mergeCell ref="A5775:B5775"/>
    <mergeCell ref="H5775:J5775"/>
    <mergeCell ref="A5776:B5776"/>
    <mergeCell ref="H5776:J5776"/>
    <mergeCell ref="H5777:J5777"/>
    <mergeCell ref="A5777:B5777"/>
    <mergeCell ref="A5778:B5778"/>
    <mergeCell ref="A5779:B5779"/>
    <mergeCell ref="A5780:B5780"/>
    <mergeCell ref="A5783:A5784"/>
    <mergeCell ref="B5783:B5784"/>
    <mergeCell ref="C5783:D5783"/>
    <mergeCell ref="E5783:F5783"/>
    <mergeCell ref="G5783:G5784"/>
    <mergeCell ref="H5783:H5784"/>
    <mergeCell ref="I5783:I5784"/>
    <mergeCell ref="J5783:J5784"/>
    <mergeCell ref="A5812:D5812"/>
    <mergeCell ref="A5813:B5813"/>
    <mergeCell ref="H5813:J5813"/>
    <mergeCell ref="A5814:B5814"/>
    <mergeCell ref="H5814:J5814"/>
    <mergeCell ref="A5815:B5815"/>
    <mergeCell ref="H5815:J5815"/>
    <mergeCell ref="H5816:J5816"/>
    <mergeCell ref="A5816:B5816"/>
    <mergeCell ref="A5817:B5817"/>
    <mergeCell ref="A5818:B5818"/>
    <mergeCell ref="A5819:B5819"/>
    <mergeCell ref="A5822:A5823"/>
    <mergeCell ref="B5822:B5823"/>
    <mergeCell ref="C5822:D5822"/>
    <mergeCell ref="E5822:F5822"/>
    <mergeCell ref="G5822:G5823"/>
    <mergeCell ref="H5822:H5823"/>
    <mergeCell ref="I5822:I5823"/>
    <mergeCell ref="J5822:J5823"/>
    <mergeCell ref="A5851:D5851"/>
    <mergeCell ref="A5852:B5852"/>
    <mergeCell ref="H5852:J5852"/>
    <mergeCell ref="A5853:B5853"/>
    <mergeCell ref="H5853:J5853"/>
    <mergeCell ref="A5854:B5854"/>
    <mergeCell ref="H5854:J5854"/>
    <mergeCell ref="H5855:J5855"/>
    <mergeCell ref="A5855:B5855"/>
    <mergeCell ref="A5856:B5856"/>
    <mergeCell ref="A5857:B5857"/>
    <mergeCell ref="A5858:B5858"/>
    <mergeCell ref="A5861:A5862"/>
    <mergeCell ref="B5861:B5862"/>
    <mergeCell ref="C5861:D5861"/>
    <mergeCell ref="E5861:F5861"/>
    <mergeCell ref="G5861:G5862"/>
    <mergeCell ref="H5861:H5862"/>
    <mergeCell ref="I5861:I5862"/>
    <mergeCell ref="J5861:J5862"/>
    <mergeCell ref="A5890:D5890"/>
    <mergeCell ref="A5891:B5891"/>
    <mergeCell ref="H5891:J5891"/>
    <mergeCell ref="A5892:B5892"/>
    <mergeCell ref="H5892:J5892"/>
    <mergeCell ref="A5893:B5893"/>
    <mergeCell ref="H5893:J5893"/>
    <mergeCell ref="H5894:J5894"/>
    <mergeCell ref="A5894:B5894"/>
    <mergeCell ref="A5895:B5895"/>
    <mergeCell ref="A5896:B5896"/>
    <mergeCell ref="A5897:B5897"/>
    <mergeCell ref="A5900:A5901"/>
    <mergeCell ref="B5900:B5901"/>
    <mergeCell ref="C5900:D5900"/>
    <mergeCell ref="E5900:F5900"/>
    <mergeCell ref="G5900:G5901"/>
    <mergeCell ref="H5900:H5901"/>
    <mergeCell ref="I5900:I5901"/>
    <mergeCell ref="J5900:J5901"/>
    <mergeCell ref="A5929:D5929"/>
    <mergeCell ref="A5930:B5930"/>
    <mergeCell ref="H5930:J5930"/>
    <mergeCell ref="A5931:B5931"/>
    <mergeCell ref="H5931:J5931"/>
    <mergeCell ref="A5932:B5932"/>
    <mergeCell ref="H5932:J5932"/>
    <mergeCell ref="H5933:J5933"/>
    <mergeCell ref="A5933:B5933"/>
    <mergeCell ref="A5934:B5934"/>
    <mergeCell ref="A5935:B5935"/>
    <mergeCell ref="A5936:B5936"/>
    <mergeCell ref="A5939:A5940"/>
    <mergeCell ref="B5939:B5940"/>
    <mergeCell ref="C5939:D5939"/>
    <mergeCell ref="E5939:F5939"/>
    <mergeCell ref="G5939:G5940"/>
    <mergeCell ref="H5939:H5940"/>
    <mergeCell ref="I5939:I5940"/>
    <mergeCell ref="J5939:J5940"/>
    <mergeCell ref="A5968:D5968"/>
    <mergeCell ref="A5969:B5969"/>
    <mergeCell ref="H5969:J5969"/>
    <mergeCell ref="A5970:B5970"/>
    <mergeCell ref="H5970:J5970"/>
    <mergeCell ref="A5971:B5971"/>
    <mergeCell ref="H5971:J5971"/>
    <mergeCell ref="H5972:J5972"/>
    <mergeCell ref="A5972:B5972"/>
    <mergeCell ref="A5973:B5973"/>
    <mergeCell ref="A5974:B5974"/>
    <mergeCell ref="A5975:B5975"/>
    <mergeCell ref="A5978:A5979"/>
    <mergeCell ref="B5978:B5979"/>
    <mergeCell ref="C5978:D5978"/>
    <mergeCell ref="E5978:F5978"/>
    <mergeCell ref="G5978:G5979"/>
    <mergeCell ref="H5978:H5979"/>
    <mergeCell ref="I5978:I5979"/>
    <mergeCell ref="J5978:J5979"/>
    <mergeCell ref="A6007:D6007"/>
    <mergeCell ref="A6008:B6008"/>
    <mergeCell ref="H6008:J6008"/>
    <mergeCell ref="A6009:B6009"/>
    <mergeCell ref="H6009:J6009"/>
    <mergeCell ref="A6010:B6010"/>
    <mergeCell ref="H6010:J6010"/>
    <mergeCell ref="H6011:J6011"/>
    <mergeCell ref="A6011:B6011"/>
    <mergeCell ref="A6012:B6012"/>
    <mergeCell ref="A6013:B6013"/>
    <mergeCell ref="A6014:B6014"/>
    <mergeCell ref="A6017:A6018"/>
    <mergeCell ref="B6017:B6018"/>
    <mergeCell ref="C6017:D6017"/>
    <mergeCell ref="E6017:F6017"/>
    <mergeCell ref="G6017:G6018"/>
    <mergeCell ref="H6017:H6018"/>
    <mergeCell ref="I6017:I6018"/>
    <mergeCell ref="J6017:J6018"/>
    <mergeCell ref="A6046:D6046"/>
    <mergeCell ref="A6047:B6047"/>
    <mergeCell ref="H6047:J6047"/>
    <mergeCell ref="A6048:B6048"/>
    <mergeCell ref="H6048:J6048"/>
    <mergeCell ref="A6049:B6049"/>
    <mergeCell ref="H6049:J6049"/>
    <mergeCell ref="H6050:J6050"/>
    <mergeCell ref="A6050:B6050"/>
    <mergeCell ref="A6051:B6051"/>
    <mergeCell ref="A6052:B6052"/>
    <mergeCell ref="A6053:B6053"/>
    <mergeCell ref="A6056:A6057"/>
    <mergeCell ref="B6056:B6057"/>
    <mergeCell ref="C6056:D6056"/>
    <mergeCell ref="E6056:F6056"/>
    <mergeCell ref="G6056:G6057"/>
    <mergeCell ref="H6056:H6057"/>
    <mergeCell ref="I6056:I6057"/>
    <mergeCell ref="J6056:J6057"/>
    <mergeCell ref="A6085:D6085"/>
    <mergeCell ref="A6086:B6086"/>
    <mergeCell ref="H6086:J6086"/>
    <mergeCell ref="A6087:B6087"/>
    <mergeCell ref="H6087:J6087"/>
    <mergeCell ref="A6088:B6088"/>
    <mergeCell ref="H6088:J6088"/>
    <mergeCell ref="H6089:J6089"/>
    <mergeCell ref="A6089:B6089"/>
    <mergeCell ref="A6090:B6090"/>
    <mergeCell ref="A6091:B6091"/>
    <mergeCell ref="A6092:B6092"/>
    <mergeCell ref="A6095:A6096"/>
    <mergeCell ref="B6095:B6096"/>
    <mergeCell ref="C6095:D6095"/>
    <mergeCell ref="E6095:F6095"/>
    <mergeCell ref="G6095:G6096"/>
    <mergeCell ref="H6095:H6096"/>
    <mergeCell ref="I6095:I6096"/>
    <mergeCell ref="J6095:J6096"/>
    <mergeCell ref="A6124:D6124"/>
    <mergeCell ref="A6125:B6125"/>
    <mergeCell ref="H6125:J6125"/>
    <mergeCell ref="A6126:B6126"/>
    <mergeCell ref="H6126:J6126"/>
    <mergeCell ref="A6127:B6127"/>
    <mergeCell ref="H6127:J6127"/>
    <mergeCell ref="H6128:J6128"/>
    <mergeCell ref="A6128:B6128"/>
    <mergeCell ref="A6129:B6129"/>
    <mergeCell ref="A6130:B6130"/>
    <mergeCell ref="A6131:B6131"/>
    <mergeCell ref="A6134:A6135"/>
    <mergeCell ref="B6134:B6135"/>
    <mergeCell ref="C6134:D6134"/>
    <mergeCell ref="E6134:F6134"/>
    <mergeCell ref="G6134:G6135"/>
    <mergeCell ref="H6134:H6135"/>
    <mergeCell ref="I6134:I6135"/>
    <mergeCell ref="J6134:J6135"/>
    <mergeCell ref="A6163:D6163"/>
    <mergeCell ref="A6164:B6164"/>
    <mergeCell ref="H6164:J6164"/>
    <mergeCell ref="A6165:B6165"/>
    <mergeCell ref="H6165:J6165"/>
    <mergeCell ref="A6166:B6166"/>
    <mergeCell ref="H6166:J6166"/>
    <mergeCell ref="H6167:J6167"/>
    <mergeCell ref="A6167:B6167"/>
    <mergeCell ref="A6168:B6168"/>
    <mergeCell ref="A6169:B6169"/>
    <mergeCell ref="A6170:B6170"/>
    <mergeCell ref="A6173:A6174"/>
    <mergeCell ref="B6173:B6174"/>
    <mergeCell ref="C6173:D6173"/>
    <mergeCell ref="E6173:F6173"/>
    <mergeCell ref="G6173:G6174"/>
    <mergeCell ref="H6173:H6174"/>
    <mergeCell ref="I6173:I6174"/>
    <mergeCell ref="J6173:J6174"/>
    <mergeCell ref="A6202:D6202"/>
    <mergeCell ref="A6203:B6203"/>
    <mergeCell ref="H6203:J6203"/>
    <mergeCell ref="A6204:B6204"/>
    <mergeCell ref="H6204:J6204"/>
    <mergeCell ref="A6205:B6205"/>
    <mergeCell ref="H6205:J6205"/>
    <mergeCell ref="H6206:J6206"/>
    <mergeCell ref="A6206:B6206"/>
    <mergeCell ref="A6207:B6207"/>
    <mergeCell ref="A6208:B6208"/>
    <mergeCell ref="A6209:B6209"/>
    <mergeCell ref="A6212:A6213"/>
    <mergeCell ref="B6212:B6213"/>
    <mergeCell ref="C6212:D6212"/>
    <mergeCell ref="E6212:F6212"/>
    <mergeCell ref="G6212:G6213"/>
    <mergeCell ref="H6212:H6213"/>
    <mergeCell ref="I6212:I6213"/>
    <mergeCell ref="J6212:J6213"/>
    <mergeCell ref="A6241:D6241"/>
    <mergeCell ref="A6242:B6242"/>
    <mergeCell ref="H6242:J6242"/>
    <mergeCell ref="A6243:B6243"/>
    <mergeCell ref="H6243:J6243"/>
    <mergeCell ref="A6244:B6244"/>
    <mergeCell ref="H6244:J6244"/>
    <mergeCell ref="H6245:J6245"/>
    <mergeCell ref="A6245:B6245"/>
    <mergeCell ref="A6246:B6246"/>
    <mergeCell ref="A6247:B6247"/>
    <mergeCell ref="A6248:B6248"/>
    <mergeCell ref="A6251:A6252"/>
    <mergeCell ref="B6251:B6252"/>
    <mergeCell ref="C6251:D6251"/>
    <mergeCell ref="E6251:F6251"/>
    <mergeCell ref="G6251:G6252"/>
    <mergeCell ref="H6251:H6252"/>
    <mergeCell ref="I6251:I6252"/>
    <mergeCell ref="J6251:J6252"/>
    <mergeCell ref="A6280:D6280"/>
    <mergeCell ref="A6281:B6281"/>
    <mergeCell ref="H6281:J6281"/>
    <mergeCell ref="A6282:B6282"/>
    <mergeCell ref="H6282:J6282"/>
    <mergeCell ref="A6283:B6283"/>
    <mergeCell ref="H6283:J6283"/>
    <mergeCell ref="H6284:J6284"/>
    <mergeCell ref="A6284:B6284"/>
    <mergeCell ref="A6285:B6285"/>
    <mergeCell ref="A6286:B6286"/>
    <mergeCell ref="A6287:B6287"/>
    <mergeCell ref="A6290:A6291"/>
    <mergeCell ref="B6290:B6291"/>
    <mergeCell ref="C6290:D6290"/>
    <mergeCell ref="E6290:F6290"/>
    <mergeCell ref="G6290:G6291"/>
    <mergeCell ref="H6290:H6291"/>
    <mergeCell ref="I6290:I6291"/>
    <mergeCell ref="J6290:J6291"/>
    <mergeCell ref="A6319:D6319"/>
    <mergeCell ref="A6320:B6320"/>
    <mergeCell ref="H6320:J6320"/>
    <mergeCell ref="A6321:B6321"/>
    <mergeCell ref="H6321:J6321"/>
    <mergeCell ref="A6322:B6322"/>
    <mergeCell ref="H6322:J6322"/>
    <mergeCell ref="H6323:J6323"/>
    <mergeCell ref="A6323:B6323"/>
    <mergeCell ref="A6324:B6324"/>
    <mergeCell ref="A6325:B6325"/>
    <mergeCell ref="A6326:B6326"/>
    <mergeCell ref="A6329:A6330"/>
    <mergeCell ref="B6329:B6330"/>
    <mergeCell ref="C6329:D6329"/>
    <mergeCell ref="E6329:F6329"/>
    <mergeCell ref="G6329:G6330"/>
    <mergeCell ref="H6329:H6330"/>
    <mergeCell ref="I6329:I6330"/>
    <mergeCell ref="J6329:J6330"/>
    <mergeCell ref="A6358:D6358"/>
    <mergeCell ref="A6359:B6359"/>
    <mergeCell ref="H6359:J6359"/>
    <mergeCell ref="A6360:B6360"/>
    <mergeCell ref="H6360:J6360"/>
    <mergeCell ref="A6361:B6361"/>
    <mergeCell ref="H6361:J6361"/>
    <mergeCell ref="H6362:J6362"/>
    <mergeCell ref="A6362:B6362"/>
    <mergeCell ref="A6363:B6363"/>
    <mergeCell ref="A6364:B6364"/>
    <mergeCell ref="A6365:B6365"/>
    <mergeCell ref="A6368:A6369"/>
    <mergeCell ref="B6368:B6369"/>
    <mergeCell ref="C6368:D6368"/>
    <mergeCell ref="E6368:F6368"/>
    <mergeCell ref="G6368:G6369"/>
    <mergeCell ref="H6368:H6369"/>
    <mergeCell ref="I6368:I6369"/>
    <mergeCell ref="J6368:J6369"/>
    <mergeCell ref="A6397:D6397"/>
    <mergeCell ref="A6398:B6398"/>
    <mergeCell ref="H6398:J6398"/>
    <mergeCell ref="A6399:B6399"/>
    <mergeCell ref="H6399:J6399"/>
    <mergeCell ref="A6400:B6400"/>
    <mergeCell ref="H6400:J6400"/>
    <mergeCell ref="H6401:J6401"/>
    <mergeCell ref="A6401:B6401"/>
    <mergeCell ref="A6402:B6402"/>
    <mergeCell ref="A6403:B6403"/>
    <mergeCell ref="A6404:B6404"/>
    <mergeCell ref="A6407:A6408"/>
    <mergeCell ref="B6407:B6408"/>
    <mergeCell ref="C6407:D6407"/>
    <mergeCell ref="E6407:F6407"/>
    <mergeCell ref="G6407:G6408"/>
    <mergeCell ref="H6407:H6408"/>
    <mergeCell ref="I6407:I6408"/>
    <mergeCell ref="J6407:J6408"/>
    <mergeCell ref="A6436:D6436"/>
    <mergeCell ref="A6437:B6437"/>
    <mergeCell ref="H6437:J6437"/>
    <mergeCell ref="A6438:B6438"/>
    <mergeCell ref="H6438:J6438"/>
    <mergeCell ref="A6439:B6439"/>
    <mergeCell ref="H6439:J6439"/>
    <mergeCell ref="H6440:J6440"/>
    <mergeCell ref="A6440:B6440"/>
    <mergeCell ref="A6441:B6441"/>
    <mergeCell ref="A6442:B6442"/>
    <mergeCell ref="A6443:B6443"/>
    <mergeCell ref="A6446:A6447"/>
    <mergeCell ref="B6446:B6447"/>
    <mergeCell ref="C6446:D6446"/>
    <mergeCell ref="E6446:F6446"/>
    <mergeCell ref="G6446:G6447"/>
    <mergeCell ref="H6446:H6447"/>
    <mergeCell ref="I6446:I6447"/>
    <mergeCell ref="J6446:J6447"/>
    <mergeCell ref="A6475:D6475"/>
    <mergeCell ref="A6476:B6476"/>
    <mergeCell ref="H6476:J6476"/>
    <mergeCell ref="A6477:B6477"/>
    <mergeCell ref="H6477:J6477"/>
    <mergeCell ref="A6478:B6478"/>
    <mergeCell ref="H6478:J6478"/>
    <mergeCell ref="H6479:J6479"/>
    <mergeCell ref="A6479:B6479"/>
    <mergeCell ref="A6480:B6480"/>
    <mergeCell ref="A6481:B6481"/>
    <mergeCell ref="A6482:B6482"/>
    <mergeCell ref="A6485:A6486"/>
    <mergeCell ref="B6485:B6486"/>
    <mergeCell ref="C6485:D6485"/>
    <mergeCell ref="E6485:F6485"/>
    <mergeCell ref="G6485:G6486"/>
    <mergeCell ref="H6485:H6486"/>
    <mergeCell ref="I6485:I6486"/>
    <mergeCell ref="J6485:J6486"/>
    <mergeCell ref="A6514:D6514"/>
    <mergeCell ref="A6515:B6515"/>
    <mergeCell ref="H6515:J6515"/>
    <mergeCell ref="A6516:B6516"/>
    <mergeCell ref="H6516:J6516"/>
    <mergeCell ref="A6517:B6517"/>
    <mergeCell ref="H6517:J6517"/>
    <mergeCell ref="H6518:J6518"/>
    <mergeCell ref="A6518:B6518"/>
    <mergeCell ref="A6519:B6519"/>
    <mergeCell ref="A6520:B6520"/>
    <mergeCell ref="A6521:B6521"/>
    <mergeCell ref="A6524:A6525"/>
    <mergeCell ref="B6524:B6525"/>
    <mergeCell ref="C6524:D6524"/>
    <mergeCell ref="E6524:F6524"/>
    <mergeCell ref="G6524:G6525"/>
    <mergeCell ref="H6524:H6525"/>
    <mergeCell ref="I6524:I6525"/>
    <mergeCell ref="J6524:J6525"/>
    <mergeCell ref="A6553:D6553"/>
    <mergeCell ref="A6554:B6554"/>
    <mergeCell ref="H6554:J6554"/>
    <mergeCell ref="A6555:B6555"/>
    <mergeCell ref="H6555:J6555"/>
    <mergeCell ref="A6556:B6556"/>
    <mergeCell ref="H6556:J6556"/>
    <mergeCell ref="H6557:J6557"/>
    <mergeCell ref="A6557:B6557"/>
    <mergeCell ref="A6558:B6558"/>
    <mergeCell ref="A6559:B6559"/>
    <mergeCell ref="A6560:B6560"/>
    <mergeCell ref="A6563:A6564"/>
    <mergeCell ref="B6563:B6564"/>
    <mergeCell ref="C6563:D6563"/>
    <mergeCell ref="E6563:F6563"/>
    <mergeCell ref="G6563:G6564"/>
    <mergeCell ref="H6563:H6564"/>
    <mergeCell ref="I6563:I6564"/>
    <mergeCell ref="J6563:J6564"/>
    <mergeCell ref="A6592:D6592"/>
    <mergeCell ref="A6593:B6593"/>
    <mergeCell ref="H6593:J6593"/>
    <mergeCell ref="A6594:B6594"/>
    <mergeCell ref="H6594:J6594"/>
    <mergeCell ref="A6595:B6595"/>
    <mergeCell ref="H6595:J6595"/>
    <mergeCell ref="H6596:J6596"/>
    <mergeCell ref="A6596:B6596"/>
    <mergeCell ref="A6597:B6597"/>
    <mergeCell ref="A6598:B6598"/>
    <mergeCell ref="A6599:B6599"/>
    <mergeCell ref="A6602:A6603"/>
    <mergeCell ref="B6602:B6603"/>
    <mergeCell ref="C6602:D6602"/>
    <mergeCell ref="E6602:F6602"/>
    <mergeCell ref="G6602:G6603"/>
    <mergeCell ref="H6602:H6603"/>
    <mergeCell ref="I6602:I6603"/>
    <mergeCell ref="J6602:J6603"/>
    <mergeCell ref="A6631:D6631"/>
    <mergeCell ref="A6632:B6632"/>
    <mergeCell ref="H6632:J6632"/>
    <mergeCell ref="A6633:B6633"/>
    <mergeCell ref="H6633:J6633"/>
    <mergeCell ref="A6634:B6634"/>
    <mergeCell ref="H6634:J6634"/>
    <mergeCell ref="H6635:J6635"/>
    <mergeCell ref="A6635:B6635"/>
    <mergeCell ref="A6636:B6636"/>
    <mergeCell ref="A6637:B6637"/>
    <mergeCell ref="A6638:B6638"/>
    <mergeCell ref="A6641:A6642"/>
    <mergeCell ref="B6641:B6642"/>
    <mergeCell ref="C6641:D6641"/>
    <mergeCell ref="E6641:F6641"/>
    <mergeCell ref="G6641:G6642"/>
    <mergeCell ref="H6641:H6642"/>
    <mergeCell ref="I6641:I6642"/>
    <mergeCell ref="J6641:J6642"/>
    <mergeCell ref="A6670:D6670"/>
    <mergeCell ref="A6671:B6671"/>
    <mergeCell ref="H6671:J6671"/>
    <mergeCell ref="A6672:B6672"/>
    <mergeCell ref="H6672:J6672"/>
    <mergeCell ref="A6673:B6673"/>
    <mergeCell ref="H6673:J6673"/>
    <mergeCell ref="H6674:J6674"/>
    <mergeCell ref="A6674:B6674"/>
    <mergeCell ref="A6675:B6675"/>
    <mergeCell ref="A6676:B6676"/>
    <mergeCell ref="A6677:B6677"/>
    <mergeCell ref="A6680:A6681"/>
    <mergeCell ref="B6680:B6681"/>
    <mergeCell ref="C6680:D6680"/>
    <mergeCell ref="E6680:F6680"/>
    <mergeCell ref="G6680:G6681"/>
    <mergeCell ref="H6680:H6681"/>
    <mergeCell ref="I6680:I6681"/>
    <mergeCell ref="J6680:J6681"/>
    <mergeCell ref="A6709:D6709"/>
    <mergeCell ref="A6710:B6710"/>
    <mergeCell ref="H6710:J6710"/>
    <mergeCell ref="A6711:B6711"/>
    <mergeCell ref="H6711:J6711"/>
    <mergeCell ref="A6712:B6712"/>
    <mergeCell ref="H6712:J6712"/>
    <mergeCell ref="H6713:J6713"/>
    <mergeCell ref="A6713:B6713"/>
    <mergeCell ref="A6714:B6714"/>
    <mergeCell ref="A6715:B6715"/>
    <mergeCell ref="A6716:B6716"/>
    <mergeCell ref="A6719:A6720"/>
    <mergeCell ref="B6719:B6720"/>
    <mergeCell ref="C6719:D6719"/>
    <mergeCell ref="E6719:F6719"/>
    <mergeCell ref="G6719:G6720"/>
    <mergeCell ref="H6719:H6720"/>
    <mergeCell ref="I6719:I6720"/>
    <mergeCell ref="J6719:J6720"/>
    <mergeCell ref="A6748:D6748"/>
    <mergeCell ref="A6749:B6749"/>
    <mergeCell ref="H6749:J6749"/>
    <mergeCell ref="A6750:B6750"/>
    <mergeCell ref="H6750:J6750"/>
    <mergeCell ref="A6751:B6751"/>
    <mergeCell ref="H6751:J6751"/>
    <mergeCell ref="H6752:J6752"/>
    <mergeCell ref="A6752:B6752"/>
    <mergeCell ref="A6753:B6753"/>
    <mergeCell ref="A6754:B6754"/>
    <mergeCell ref="A6755:B6755"/>
    <mergeCell ref="A6758:A6759"/>
    <mergeCell ref="B6758:B6759"/>
    <mergeCell ref="C6758:D6758"/>
    <mergeCell ref="E6758:F6758"/>
    <mergeCell ref="G6758:G6759"/>
    <mergeCell ref="H6758:H6759"/>
    <mergeCell ref="I6758:I6759"/>
    <mergeCell ref="J6758:J6759"/>
    <mergeCell ref="A6787:D6787"/>
    <mergeCell ref="A6788:B6788"/>
    <mergeCell ref="H6788:J6788"/>
    <mergeCell ref="A6789:B6789"/>
    <mergeCell ref="H6789:J6789"/>
    <mergeCell ref="A6790:B6790"/>
    <mergeCell ref="H6790:J6790"/>
    <mergeCell ref="H6791:J6791"/>
    <mergeCell ref="A6791:B6791"/>
    <mergeCell ref="A6792:B6792"/>
    <mergeCell ref="A6793:B6793"/>
    <mergeCell ref="A6794:B6794"/>
    <mergeCell ref="A6797:A6798"/>
    <mergeCell ref="B6797:B6798"/>
    <mergeCell ref="C6797:D6797"/>
    <mergeCell ref="E6797:F6797"/>
    <mergeCell ref="G6797:G6798"/>
    <mergeCell ref="H6797:H6798"/>
    <mergeCell ref="I6797:I6798"/>
    <mergeCell ref="J6797:J6798"/>
    <mergeCell ref="A6826:D6826"/>
    <mergeCell ref="A6827:B6827"/>
    <mergeCell ref="H6827:J6827"/>
    <mergeCell ref="A6828:B6828"/>
    <mergeCell ref="H6828:J6828"/>
    <mergeCell ref="A6829:B6829"/>
    <mergeCell ref="H6829:J6829"/>
    <mergeCell ref="H6830:J6830"/>
    <mergeCell ref="A6830:B6830"/>
    <mergeCell ref="A6831:B6831"/>
    <mergeCell ref="A6832:B6832"/>
    <mergeCell ref="A6833:B6833"/>
    <mergeCell ref="A6836:A6837"/>
    <mergeCell ref="B6836:B6837"/>
    <mergeCell ref="C6836:D6836"/>
    <mergeCell ref="E6836:F6836"/>
    <mergeCell ref="G6836:G6837"/>
    <mergeCell ref="H6836:H6837"/>
    <mergeCell ref="I6836:I6837"/>
    <mergeCell ref="J6836:J6837"/>
    <mergeCell ref="A6865:D6865"/>
    <mergeCell ref="A6866:B6866"/>
    <mergeCell ref="H6866:J6866"/>
    <mergeCell ref="A6867:B6867"/>
    <mergeCell ref="H6867:J6867"/>
    <mergeCell ref="A6868:B6868"/>
    <mergeCell ref="H6868:J6868"/>
    <mergeCell ref="H6869:J6869"/>
    <mergeCell ref="A6869:B6869"/>
    <mergeCell ref="A6870:B6870"/>
    <mergeCell ref="A6871:B6871"/>
    <mergeCell ref="A6872:B6872"/>
    <mergeCell ref="A6875:A6876"/>
    <mergeCell ref="B6875:B6876"/>
    <mergeCell ref="C6875:D6875"/>
    <mergeCell ref="E6875:F6875"/>
    <mergeCell ref="G6875:G6876"/>
    <mergeCell ref="H6875:H6876"/>
    <mergeCell ref="I6875:I6876"/>
    <mergeCell ref="J6875:J6876"/>
    <mergeCell ref="A6904:D6904"/>
    <mergeCell ref="A6905:B6905"/>
    <mergeCell ref="H6905:J6905"/>
    <mergeCell ref="A6906:B6906"/>
    <mergeCell ref="H6906:J6906"/>
    <mergeCell ref="A6907:B6907"/>
    <mergeCell ref="H6907:J6907"/>
    <mergeCell ref="H6908:J6908"/>
    <mergeCell ref="A6908:B6908"/>
    <mergeCell ref="A6909:B6909"/>
    <mergeCell ref="A6910:B6910"/>
    <mergeCell ref="A6911:B6911"/>
    <mergeCell ref="A6914:A6915"/>
    <mergeCell ref="B6914:B6915"/>
    <mergeCell ref="C6914:D6914"/>
    <mergeCell ref="E6914:F6914"/>
    <mergeCell ref="G6914:G6915"/>
    <mergeCell ref="H6914:H6915"/>
    <mergeCell ref="I6914:I6915"/>
    <mergeCell ref="J6914:J6915"/>
    <mergeCell ref="A6943:D6943"/>
    <mergeCell ref="A6944:B6944"/>
    <mergeCell ref="H6944:J6944"/>
    <mergeCell ref="A6945:B6945"/>
    <mergeCell ref="H6945:J6945"/>
    <mergeCell ref="A6946:B6946"/>
    <mergeCell ref="H6946:J6946"/>
    <mergeCell ref="H6947:J6947"/>
    <mergeCell ref="A6947:B6947"/>
    <mergeCell ref="A6948:B6948"/>
    <mergeCell ref="A6949:B6949"/>
    <mergeCell ref="A6950:B6950"/>
    <mergeCell ref="A6953:A6954"/>
    <mergeCell ref="B6953:B6954"/>
    <mergeCell ref="C6953:D6953"/>
    <mergeCell ref="E6953:F6953"/>
    <mergeCell ref="G6953:G6954"/>
    <mergeCell ref="H6953:H6954"/>
    <mergeCell ref="I6953:I6954"/>
    <mergeCell ref="J6953:J6954"/>
    <mergeCell ref="A6982:D6982"/>
    <mergeCell ref="A6983:B6983"/>
    <mergeCell ref="H6983:J6983"/>
    <mergeCell ref="A6984:B6984"/>
    <mergeCell ref="H6984:J6984"/>
    <mergeCell ref="A6985:B6985"/>
    <mergeCell ref="H6985:J6985"/>
    <mergeCell ref="H6986:J6986"/>
    <mergeCell ref="A6986:B6986"/>
    <mergeCell ref="A6987:B6987"/>
    <mergeCell ref="A6988:B6988"/>
    <mergeCell ref="A6989:B6989"/>
    <mergeCell ref="A6992:A6993"/>
    <mergeCell ref="B6992:B6993"/>
    <mergeCell ref="C6992:D6992"/>
    <mergeCell ref="E6992:F6992"/>
    <mergeCell ref="G6992:G6993"/>
    <mergeCell ref="H6992:H6993"/>
    <mergeCell ref="I6992:I6993"/>
    <mergeCell ref="J6992:J6993"/>
    <mergeCell ref="A7021:D7021"/>
    <mergeCell ref="A7022:B7022"/>
    <mergeCell ref="H7022:J7022"/>
    <mergeCell ref="A7023:B7023"/>
    <mergeCell ref="H7023:J7023"/>
    <mergeCell ref="A7024:B7024"/>
    <mergeCell ref="H7024:J7024"/>
    <mergeCell ref="H7025:J7025"/>
    <mergeCell ref="A7025:B7025"/>
    <mergeCell ref="A7026:B7026"/>
    <mergeCell ref="A7027:B7027"/>
    <mergeCell ref="A7028:B7028"/>
    <mergeCell ref="A7031:A7032"/>
    <mergeCell ref="B7031:B7032"/>
    <mergeCell ref="C7031:D7031"/>
    <mergeCell ref="E7031:F7031"/>
    <mergeCell ref="G7031:G7032"/>
    <mergeCell ref="H7031:H7032"/>
    <mergeCell ref="I7031:I7032"/>
    <mergeCell ref="J7031:J7032"/>
    <mergeCell ref="A7060:D7060"/>
    <mergeCell ref="A7061:B7061"/>
    <mergeCell ref="H7061:J7061"/>
    <mergeCell ref="A7062:B7062"/>
    <mergeCell ref="H7062:J7062"/>
    <mergeCell ref="A7063:B7063"/>
    <mergeCell ref="H7063:J7063"/>
    <mergeCell ref="H7064:J7064"/>
    <mergeCell ref="A7064:B7064"/>
    <mergeCell ref="A7065:B7065"/>
    <mergeCell ref="A7066:B7066"/>
    <mergeCell ref="A7067:B7067"/>
    <mergeCell ref="A7070:A7071"/>
    <mergeCell ref="B7070:B7071"/>
    <mergeCell ref="C7070:D7070"/>
    <mergeCell ref="E7070:F7070"/>
    <mergeCell ref="G7070:G7071"/>
    <mergeCell ref="H7070:H7071"/>
    <mergeCell ref="I7070:I7071"/>
    <mergeCell ref="J7070:J7071"/>
    <mergeCell ref="A7099:D7099"/>
    <mergeCell ref="A7100:B7100"/>
    <mergeCell ref="H7100:J7100"/>
    <mergeCell ref="A7101:B7101"/>
    <mergeCell ref="H7101:J7101"/>
    <mergeCell ref="A7102:B7102"/>
    <mergeCell ref="H7102:J7102"/>
    <mergeCell ref="H7103:J7103"/>
    <mergeCell ref="A7103:B7103"/>
    <mergeCell ref="A7104:B7104"/>
    <mergeCell ref="A7105:B7105"/>
    <mergeCell ref="A7106:B7106"/>
    <mergeCell ref="A7109:A7110"/>
    <mergeCell ref="B7109:B7110"/>
    <mergeCell ref="C7109:D7109"/>
    <mergeCell ref="E7109:F7109"/>
    <mergeCell ref="G7109:G7110"/>
    <mergeCell ref="H7109:H7110"/>
    <mergeCell ref="I7109:I7110"/>
    <mergeCell ref="J7109:J7110"/>
    <mergeCell ref="A7138:D7138"/>
    <mergeCell ref="A7139:B7139"/>
    <mergeCell ref="H7139:J7139"/>
    <mergeCell ref="A7140:B7140"/>
    <mergeCell ref="H7140:J7140"/>
    <mergeCell ref="A7141:B7141"/>
    <mergeCell ref="H7141:J7141"/>
    <mergeCell ref="H7142:J7142"/>
    <mergeCell ref="A7142:B7142"/>
    <mergeCell ref="A7143:B7143"/>
    <mergeCell ref="A7144:B7144"/>
    <mergeCell ref="A7145:B7145"/>
    <mergeCell ref="A7148:A7149"/>
    <mergeCell ref="B7148:B7149"/>
    <mergeCell ref="C7148:D7148"/>
    <mergeCell ref="E7148:F7148"/>
    <mergeCell ref="G7148:G7149"/>
    <mergeCell ref="H7148:H7149"/>
    <mergeCell ref="I7148:I7149"/>
    <mergeCell ref="J7148:J7149"/>
    <mergeCell ref="A7177:D7177"/>
    <mergeCell ref="A7178:B7178"/>
    <mergeCell ref="H7178:J7178"/>
    <mergeCell ref="A7179:B7179"/>
    <mergeCell ref="H7179:J7179"/>
    <mergeCell ref="A7180:B7180"/>
    <mergeCell ref="H7180:J7180"/>
    <mergeCell ref="H7181:J7181"/>
    <mergeCell ref="A7181:B7181"/>
    <mergeCell ref="A7182:B7182"/>
    <mergeCell ref="A7183:B7183"/>
    <mergeCell ref="A7184:B7184"/>
    <mergeCell ref="A7187:A7188"/>
    <mergeCell ref="B7187:B7188"/>
    <mergeCell ref="C7187:D7187"/>
    <mergeCell ref="E7187:F7187"/>
    <mergeCell ref="G7187:G7188"/>
    <mergeCell ref="H7187:H7188"/>
    <mergeCell ref="I7187:I7188"/>
    <mergeCell ref="J7187:J7188"/>
    <mergeCell ref="A7216:D7216"/>
    <mergeCell ref="A7217:B7217"/>
    <mergeCell ref="H7217:J7217"/>
    <mergeCell ref="A7218:B7218"/>
    <mergeCell ref="H7218:J7218"/>
    <mergeCell ref="A7219:B7219"/>
    <mergeCell ref="H7219:J7219"/>
    <mergeCell ref="H7220:J7220"/>
    <mergeCell ref="A7220:B7220"/>
    <mergeCell ref="A7221:B7221"/>
    <mergeCell ref="A7222:B7222"/>
    <mergeCell ref="A7223:B7223"/>
    <mergeCell ref="A7226:A7227"/>
    <mergeCell ref="B7226:B7227"/>
    <mergeCell ref="C7226:D7226"/>
    <mergeCell ref="E7226:F7226"/>
    <mergeCell ref="G7226:G7227"/>
    <mergeCell ref="H7226:H7227"/>
    <mergeCell ref="I7226:I7227"/>
    <mergeCell ref="J7226:J7227"/>
    <mergeCell ref="A7255:D7255"/>
    <mergeCell ref="A7256:B7256"/>
    <mergeCell ref="H7256:J7256"/>
    <mergeCell ref="A7257:B7257"/>
    <mergeCell ref="H7257:J7257"/>
    <mergeCell ref="A7258:B7258"/>
    <mergeCell ref="H7258:J7258"/>
    <mergeCell ref="H7259:J7259"/>
    <mergeCell ref="A7259:B7259"/>
    <mergeCell ref="A7260:B7260"/>
    <mergeCell ref="A7261:B7261"/>
    <mergeCell ref="A7262:B7262"/>
    <mergeCell ref="A7265:A7266"/>
    <mergeCell ref="B7265:B7266"/>
    <mergeCell ref="C7265:D7265"/>
    <mergeCell ref="E7265:F7265"/>
    <mergeCell ref="G7265:G7266"/>
    <mergeCell ref="H7265:H7266"/>
    <mergeCell ref="I7265:I7266"/>
    <mergeCell ref="J7265:J7266"/>
    <mergeCell ref="A7294:D7294"/>
    <mergeCell ref="A7295:B7295"/>
    <mergeCell ref="H7295:J7295"/>
    <mergeCell ref="A7296:B7296"/>
    <mergeCell ref="H7296:J7296"/>
    <mergeCell ref="A7297:B7297"/>
    <mergeCell ref="H7297:J7297"/>
    <mergeCell ref="H7298:J7298"/>
    <mergeCell ref="A7298:B7298"/>
    <mergeCell ref="A7299:B7299"/>
    <mergeCell ref="A7300:B7300"/>
    <mergeCell ref="A7301:B7301"/>
    <mergeCell ref="A7304:A7305"/>
    <mergeCell ref="B7304:B7305"/>
    <mergeCell ref="C7304:D7304"/>
    <mergeCell ref="E7304:F7304"/>
    <mergeCell ref="G7304:G7305"/>
    <mergeCell ref="H7304:H7305"/>
    <mergeCell ref="I7304:I7305"/>
    <mergeCell ref="J7304:J7305"/>
    <mergeCell ref="A7333:D7333"/>
    <mergeCell ref="A7334:B7334"/>
    <mergeCell ref="H7334:J7334"/>
    <mergeCell ref="A7335:B7335"/>
    <mergeCell ref="H7335:J7335"/>
    <mergeCell ref="A7336:B7336"/>
    <mergeCell ref="H7336:J7336"/>
    <mergeCell ref="H7337:J7337"/>
    <mergeCell ref="A7337:B7337"/>
    <mergeCell ref="A7338:B7338"/>
    <mergeCell ref="A7339:B7339"/>
    <mergeCell ref="A7340:B7340"/>
    <mergeCell ref="A7343:A7344"/>
    <mergeCell ref="B7343:B7344"/>
    <mergeCell ref="C7343:D7343"/>
    <mergeCell ref="E7343:F7343"/>
    <mergeCell ref="G7343:G7344"/>
    <mergeCell ref="H7343:H7344"/>
    <mergeCell ref="I7343:I7344"/>
    <mergeCell ref="J7343:J7344"/>
    <mergeCell ref="A7372:D7372"/>
    <mergeCell ref="A7373:B7373"/>
    <mergeCell ref="H7373:J7373"/>
    <mergeCell ref="A7374:B7374"/>
    <mergeCell ref="H7374:J7374"/>
    <mergeCell ref="A7375:B7375"/>
    <mergeCell ref="H7375:J7375"/>
    <mergeCell ref="H7376:J7376"/>
    <mergeCell ref="A7376:B7376"/>
    <mergeCell ref="A7377:B7377"/>
    <mergeCell ref="A7378:B7378"/>
    <mergeCell ref="A7379:B7379"/>
    <mergeCell ref="A7382:A7383"/>
    <mergeCell ref="B7382:B7383"/>
    <mergeCell ref="C7382:D7382"/>
    <mergeCell ref="E7382:F7382"/>
    <mergeCell ref="G7382:G7383"/>
    <mergeCell ref="H7382:H7383"/>
    <mergeCell ref="I7382:I7383"/>
    <mergeCell ref="J7382:J7383"/>
    <mergeCell ref="A7411:D7411"/>
    <mergeCell ref="A7412:B7412"/>
    <mergeCell ref="H7412:J7412"/>
    <mergeCell ref="A7413:B7413"/>
    <mergeCell ref="H7413:J7413"/>
    <mergeCell ref="A7414:B7414"/>
    <mergeCell ref="H7414:J7414"/>
    <mergeCell ref="H7415:J7415"/>
    <mergeCell ref="A7415:B7415"/>
    <mergeCell ref="A7416:B7416"/>
    <mergeCell ref="A7417:B7417"/>
    <mergeCell ref="A7418:B7418"/>
    <mergeCell ref="A7421:A7422"/>
    <mergeCell ref="B7421:B7422"/>
    <mergeCell ref="C7421:D7421"/>
    <mergeCell ref="E7421:F7421"/>
    <mergeCell ref="G7421:G7422"/>
    <mergeCell ref="H7421:H7422"/>
    <mergeCell ref="I7421:I7422"/>
    <mergeCell ref="J7421:J7422"/>
    <mergeCell ref="A7450:D7450"/>
    <mergeCell ref="A7451:B7451"/>
    <mergeCell ref="H7451:J7451"/>
    <mergeCell ref="A7452:B7452"/>
    <mergeCell ref="H7452:J7452"/>
    <mergeCell ref="A7453:B7453"/>
    <mergeCell ref="H7453:J7453"/>
    <mergeCell ref="H7454:J7454"/>
    <mergeCell ref="A7454:B7454"/>
    <mergeCell ref="A7455:B7455"/>
    <mergeCell ref="A7456:B7456"/>
    <mergeCell ref="A7457:B7457"/>
    <mergeCell ref="A7460:A7461"/>
    <mergeCell ref="B7460:B7461"/>
    <mergeCell ref="C7460:D7460"/>
    <mergeCell ref="E7460:F7460"/>
    <mergeCell ref="G7460:G7461"/>
    <mergeCell ref="H7460:H7461"/>
    <mergeCell ref="I7460:I7461"/>
    <mergeCell ref="J7460:J7461"/>
    <mergeCell ref="A7489:D7489"/>
    <mergeCell ref="A7490:B7490"/>
    <mergeCell ref="H7490:J7490"/>
    <mergeCell ref="A7491:B7491"/>
    <mergeCell ref="H7491:J7491"/>
    <mergeCell ref="A7492:B7492"/>
    <mergeCell ref="H7492:J7492"/>
    <mergeCell ref="H7493:J7493"/>
    <mergeCell ref="A7493:B7493"/>
    <mergeCell ref="A7494:B7494"/>
    <mergeCell ref="A7495:B7495"/>
    <mergeCell ref="A7496:B7496"/>
    <mergeCell ref="A7499:A7500"/>
    <mergeCell ref="B7499:B7500"/>
    <mergeCell ref="C7499:D7499"/>
    <mergeCell ref="E7499:F7499"/>
    <mergeCell ref="G7499:G7500"/>
    <mergeCell ref="H7499:H7500"/>
    <mergeCell ref="I7499:I7500"/>
    <mergeCell ref="J7499:J7500"/>
    <mergeCell ref="A7528:D7528"/>
    <mergeCell ref="A7529:B7529"/>
    <mergeCell ref="H7529:J7529"/>
    <mergeCell ref="A7530:B7530"/>
    <mergeCell ref="H7530:J7530"/>
    <mergeCell ref="A7531:B7531"/>
    <mergeCell ref="H7531:J7531"/>
    <mergeCell ref="H7532:J7532"/>
    <mergeCell ref="A7532:B7532"/>
    <mergeCell ref="A7533:B7533"/>
    <mergeCell ref="A7534:B7534"/>
    <mergeCell ref="A7535:B7535"/>
    <mergeCell ref="A7538:A7539"/>
    <mergeCell ref="B7538:B7539"/>
    <mergeCell ref="C7538:D7538"/>
    <mergeCell ref="E7538:F7538"/>
    <mergeCell ref="G7538:G7539"/>
    <mergeCell ref="H7538:H7539"/>
    <mergeCell ref="I7538:I7539"/>
    <mergeCell ref="J7538:J7539"/>
    <mergeCell ref="A7567:D7567"/>
    <mergeCell ref="A7568:B7568"/>
    <mergeCell ref="H7568:J7568"/>
    <mergeCell ref="A7569:B7569"/>
    <mergeCell ref="H7569:J7569"/>
    <mergeCell ref="A7570:B7570"/>
    <mergeCell ref="H7570:J7570"/>
    <mergeCell ref="H7571:J7571"/>
    <mergeCell ref="A7571:B7571"/>
    <mergeCell ref="A7572:B7572"/>
    <mergeCell ref="A7573:B7573"/>
    <mergeCell ref="A7574:B7574"/>
    <mergeCell ref="A7577:A7578"/>
    <mergeCell ref="B7577:B7578"/>
    <mergeCell ref="C7577:D7577"/>
    <mergeCell ref="E7577:F7577"/>
    <mergeCell ref="G7577:G7578"/>
    <mergeCell ref="H7577:H7578"/>
    <mergeCell ref="I7577:I7578"/>
    <mergeCell ref="J7577:J7578"/>
    <mergeCell ref="A7606:D7606"/>
    <mergeCell ref="A7607:B7607"/>
    <mergeCell ref="H7607:J7607"/>
    <mergeCell ref="A7608:B7608"/>
    <mergeCell ref="H7608:J7608"/>
    <mergeCell ref="A7609:B7609"/>
    <mergeCell ref="H7609:J7609"/>
    <mergeCell ref="H7610:J7610"/>
    <mergeCell ref="A7610:B7610"/>
    <mergeCell ref="A7611:B7611"/>
    <mergeCell ref="A7612:B7612"/>
    <mergeCell ref="A7613:B7613"/>
    <mergeCell ref="A7616:A7617"/>
    <mergeCell ref="B7616:B7617"/>
    <mergeCell ref="C7616:D7616"/>
    <mergeCell ref="E7616:F7616"/>
    <mergeCell ref="G7616:G7617"/>
    <mergeCell ref="H7616:H7617"/>
    <mergeCell ref="I7616:I7617"/>
    <mergeCell ref="J7616:J7617"/>
    <mergeCell ref="A7645:D7645"/>
    <mergeCell ref="A7646:B7646"/>
    <mergeCell ref="H7646:J7646"/>
    <mergeCell ref="A7647:B7647"/>
    <mergeCell ref="H7647:J7647"/>
    <mergeCell ref="A7648:B7648"/>
    <mergeCell ref="H7648:J7648"/>
    <mergeCell ref="H7649:J7649"/>
    <mergeCell ref="A7649:B7649"/>
    <mergeCell ref="A7650:B7650"/>
    <mergeCell ref="A7651:B7651"/>
    <mergeCell ref="A7652:B7652"/>
    <mergeCell ref="A7655:A7656"/>
    <mergeCell ref="B7655:B7656"/>
    <mergeCell ref="C7655:D7655"/>
    <mergeCell ref="E7655:F7655"/>
    <mergeCell ref="G7655:G7656"/>
    <mergeCell ref="H7655:H7656"/>
    <mergeCell ref="I7655:I7656"/>
    <mergeCell ref="J7655:J7656"/>
    <mergeCell ref="A7684:D7684"/>
    <mergeCell ref="A7685:B7685"/>
    <mergeCell ref="H7685:J7685"/>
    <mergeCell ref="A7686:B7686"/>
    <mergeCell ref="H7686:J7686"/>
    <mergeCell ref="A7687:B7687"/>
    <mergeCell ref="H7687:J7687"/>
    <mergeCell ref="H7688:J7688"/>
    <mergeCell ref="A7688:B7688"/>
    <mergeCell ref="A7689:B7689"/>
    <mergeCell ref="A7690:B7690"/>
    <mergeCell ref="A7691:B7691"/>
    <mergeCell ref="A7694:A7695"/>
    <mergeCell ref="B7694:B7695"/>
    <mergeCell ref="C7694:D7694"/>
    <mergeCell ref="E7694:F7694"/>
    <mergeCell ref="G7694:G7695"/>
    <mergeCell ref="H7694:H7695"/>
    <mergeCell ref="I7694:I7695"/>
    <mergeCell ref="J7694:J7695"/>
    <mergeCell ref="A7723:D7723"/>
    <mergeCell ref="A7724:B7724"/>
    <mergeCell ref="H7724:J7724"/>
    <mergeCell ref="A7725:B7725"/>
    <mergeCell ref="H7725:J7725"/>
    <mergeCell ref="A7726:B7726"/>
    <mergeCell ref="H7726:J7726"/>
    <mergeCell ref="H7727:J7727"/>
    <mergeCell ref="A7727:B7727"/>
    <mergeCell ref="A7728:B7728"/>
    <mergeCell ref="A7729:B7729"/>
    <mergeCell ref="A7730:B7730"/>
    <mergeCell ref="A7733:A7734"/>
    <mergeCell ref="B7733:B7734"/>
    <mergeCell ref="C7733:D7733"/>
    <mergeCell ref="E7733:F7733"/>
    <mergeCell ref="G7733:G7734"/>
    <mergeCell ref="H7733:H7734"/>
    <mergeCell ref="I7733:I7734"/>
    <mergeCell ref="J7733:J7734"/>
    <mergeCell ref="A7762:D7762"/>
    <mergeCell ref="A7763:B7763"/>
    <mergeCell ref="H7763:J7763"/>
    <mergeCell ref="A7764:B7764"/>
    <mergeCell ref="H7764:J7764"/>
    <mergeCell ref="A7765:B7765"/>
    <mergeCell ref="H7765:J7765"/>
    <mergeCell ref="H7766:J7766"/>
    <mergeCell ref="A7766:B7766"/>
    <mergeCell ref="A7767:B7767"/>
    <mergeCell ref="A7768:B7768"/>
    <mergeCell ref="A7769:B7769"/>
    <mergeCell ref="A7772:A7773"/>
    <mergeCell ref="B7772:B7773"/>
    <mergeCell ref="C7772:D7772"/>
    <mergeCell ref="E7772:F7772"/>
    <mergeCell ref="G7772:G7773"/>
    <mergeCell ref="H7772:H7773"/>
    <mergeCell ref="I7772:I7773"/>
    <mergeCell ref="J7772:J7773"/>
    <mergeCell ref="A7801:D7801"/>
    <mergeCell ref="A7802:B7802"/>
    <mergeCell ref="H7802:J7802"/>
    <mergeCell ref="A7803:B7803"/>
    <mergeCell ref="H7803:J7803"/>
    <mergeCell ref="A7804:B7804"/>
    <mergeCell ref="H7804:J7804"/>
    <mergeCell ref="H7805:J7805"/>
    <mergeCell ref="A7805:B7805"/>
    <mergeCell ref="A7806:B7806"/>
    <mergeCell ref="A7807:B7807"/>
    <mergeCell ref="A7808:B7808"/>
    <mergeCell ref="A7811:A7812"/>
    <mergeCell ref="B7811:B7812"/>
    <mergeCell ref="C7811:D7811"/>
    <mergeCell ref="E7811:F7811"/>
    <mergeCell ref="G7811:G7812"/>
    <mergeCell ref="H7811:H7812"/>
    <mergeCell ref="I7811:I7812"/>
    <mergeCell ref="J7811:J7812"/>
    <mergeCell ref="A7840:D7840"/>
    <mergeCell ref="A7841:B7841"/>
    <mergeCell ref="H7841:J7841"/>
    <mergeCell ref="A7842:B7842"/>
    <mergeCell ref="H7842:J7842"/>
    <mergeCell ref="A7843:B7843"/>
    <mergeCell ref="H7843:J7843"/>
    <mergeCell ref="H7844:J7844"/>
    <mergeCell ref="A7844:B7844"/>
    <mergeCell ref="A7845:B7845"/>
    <mergeCell ref="A7846:B7846"/>
    <mergeCell ref="A7847:B7847"/>
    <mergeCell ref="A7850:A7851"/>
    <mergeCell ref="B7850:B7851"/>
    <mergeCell ref="C7850:D7850"/>
    <mergeCell ref="E7850:F7850"/>
    <mergeCell ref="G7850:G7851"/>
    <mergeCell ref="H7850:H7851"/>
    <mergeCell ref="I7850:I7851"/>
    <mergeCell ref="J7850:J7851"/>
    <mergeCell ref="A7879:D7879"/>
    <mergeCell ref="A7880:B7880"/>
    <mergeCell ref="H7880:J7880"/>
    <mergeCell ref="A7881:B7881"/>
    <mergeCell ref="H7881:J7881"/>
    <mergeCell ref="A7882:B7882"/>
    <mergeCell ref="H7882:J7882"/>
    <mergeCell ref="H7883:J7883"/>
    <mergeCell ref="A7883:B7883"/>
    <mergeCell ref="A7884:B7884"/>
    <mergeCell ref="A7885:B7885"/>
    <mergeCell ref="A7886:B7886"/>
    <mergeCell ref="A7889:A7890"/>
    <mergeCell ref="B7889:B7890"/>
    <mergeCell ref="C7889:D7889"/>
    <mergeCell ref="E7889:F7889"/>
    <mergeCell ref="G7889:G7890"/>
    <mergeCell ref="H7889:H7890"/>
    <mergeCell ref="I7889:I7890"/>
    <mergeCell ref="J7889:J7890"/>
    <mergeCell ref="A7918:D7918"/>
    <mergeCell ref="A7919:B7919"/>
    <mergeCell ref="H7919:J7919"/>
    <mergeCell ref="A7920:B7920"/>
    <mergeCell ref="H7920:J7920"/>
    <mergeCell ref="A7921:B7921"/>
    <mergeCell ref="H7921:J7921"/>
    <mergeCell ref="H7922:J7922"/>
    <mergeCell ref="A7922:B7922"/>
    <mergeCell ref="A7923:B7923"/>
    <mergeCell ref="A7924:B7924"/>
    <mergeCell ref="A7925:B7925"/>
    <mergeCell ref="A7928:A7929"/>
    <mergeCell ref="B7928:B7929"/>
    <mergeCell ref="C7928:D7928"/>
    <mergeCell ref="E7928:F7928"/>
    <mergeCell ref="G7928:G7929"/>
    <mergeCell ref="H7928:H7929"/>
    <mergeCell ref="I7928:I7929"/>
    <mergeCell ref="J7928:J7929"/>
    <mergeCell ref="A7957:D7957"/>
    <mergeCell ref="A7958:B7958"/>
    <mergeCell ref="H7958:J7958"/>
    <mergeCell ref="A7959:B7959"/>
    <mergeCell ref="H7959:J7959"/>
    <mergeCell ref="A7960:B7960"/>
    <mergeCell ref="H7960:J7960"/>
    <mergeCell ref="H7961:J7961"/>
    <mergeCell ref="A7961:B7961"/>
    <mergeCell ref="A7962:B7962"/>
    <mergeCell ref="A7963:B7963"/>
    <mergeCell ref="A7964:B7964"/>
    <mergeCell ref="A7967:A7968"/>
    <mergeCell ref="B7967:B7968"/>
    <mergeCell ref="C7967:D7967"/>
    <mergeCell ref="E7967:F7967"/>
    <mergeCell ref="G7967:G7968"/>
    <mergeCell ref="H7967:H7968"/>
    <mergeCell ref="I7967:I7968"/>
    <mergeCell ref="J7967:J7968"/>
    <mergeCell ref="A7996:D7996"/>
    <mergeCell ref="A7997:B7997"/>
    <mergeCell ref="H7997:J7997"/>
    <mergeCell ref="A7998:B7998"/>
    <mergeCell ref="H7998:J7998"/>
    <mergeCell ref="A7999:B7999"/>
    <mergeCell ref="H7999:J7999"/>
    <mergeCell ref="H8000:J8000"/>
    <mergeCell ref="A8000:B8000"/>
    <mergeCell ref="A8001:B8001"/>
    <mergeCell ref="A8002:B8002"/>
    <mergeCell ref="A8003:B8003"/>
    <mergeCell ref="A8006:A8007"/>
    <mergeCell ref="B8006:B8007"/>
    <mergeCell ref="C8006:D8006"/>
    <mergeCell ref="E8006:F8006"/>
    <mergeCell ref="G8006:G8007"/>
    <mergeCell ref="H8006:H8007"/>
    <mergeCell ref="I8006:I8007"/>
    <mergeCell ref="J8006:J8007"/>
    <mergeCell ref="A8035:D8035"/>
    <mergeCell ref="A8036:B8036"/>
    <mergeCell ref="H8036:J8036"/>
    <mergeCell ref="A8037:B8037"/>
    <mergeCell ref="H8037:J8037"/>
    <mergeCell ref="A8038:B8038"/>
    <mergeCell ref="H8038:J8038"/>
    <mergeCell ref="H8039:J8039"/>
    <mergeCell ref="A8039:B8039"/>
    <mergeCell ref="A8040:B8040"/>
    <mergeCell ref="A8041:B8041"/>
    <mergeCell ref="A8042:B8042"/>
    <mergeCell ref="A8045:A8046"/>
    <mergeCell ref="B8045:B8046"/>
    <mergeCell ref="C8045:D8045"/>
    <mergeCell ref="E8045:F8045"/>
    <mergeCell ref="G8045:G8046"/>
    <mergeCell ref="H8045:H8046"/>
    <mergeCell ref="I8045:I8046"/>
    <mergeCell ref="J8045:J8046"/>
    <mergeCell ref="A8074:D8074"/>
    <mergeCell ref="A8075:B8075"/>
    <mergeCell ref="H8075:J8075"/>
    <mergeCell ref="A8076:B8076"/>
    <mergeCell ref="H8076:J8076"/>
    <mergeCell ref="A8077:B8077"/>
    <mergeCell ref="H8077:J8077"/>
    <mergeCell ref="H8078:J8078"/>
    <mergeCell ref="A8078:B8078"/>
    <mergeCell ref="A8079:B8079"/>
    <mergeCell ref="A8080:B8080"/>
    <mergeCell ref="A8081:B8081"/>
    <mergeCell ref="A8084:A8085"/>
    <mergeCell ref="B8084:B8085"/>
    <mergeCell ref="C8084:D8084"/>
    <mergeCell ref="E8084:F8084"/>
    <mergeCell ref="G8084:G8085"/>
    <mergeCell ref="H8084:H8085"/>
    <mergeCell ref="I8084:I8085"/>
    <mergeCell ref="J8084:J8085"/>
    <mergeCell ref="A8113:D8113"/>
    <mergeCell ref="A8114:B8114"/>
    <mergeCell ref="H8114:J8114"/>
    <mergeCell ref="A8115:B8115"/>
    <mergeCell ref="H8115:J8115"/>
    <mergeCell ref="A8116:B8116"/>
    <mergeCell ref="H8116:J8116"/>
    <mergeCell ref="H8117:J8117"/>
    <mergeCell ref="A8117:B8117"/>
    <mergeCell ref="A8118:B8118"/>
    <mergeCell ref="A8119:B8119"/>
    <mergeCell ref="A8120:B8120"/>
    <mergeCell ref="A8123:A8124"/>
    <mergeCell ref="B8123:B8124"/>
    <mergeCell ref="C8123:D8123"/>
    <mergeCell ref="E8123:F8123"/>
    <mergeCell ref="G8123:G8124"/>
    <mergeCell ref="H8123:H8124"/>
    <mergeCell ref="I8123:I8124"/>
    <mergeCell ref="J8123:J8124"/>
    <mergeCell ref="A8152:D8152"/>
    <mergeCell ref="A8153:B8153"/>
    <mergeCell ref="H8153:J8153"/>
    <mergeCell ref="A8154:B8154"/>
    <mergeCell ref="H8154:J8154"/>
    <mergeCell ref="A8155:B8155"/>
    <mergeCell ref="H8155:J8155"/>
    <mergeCell ref="H8156:J8156"/>
    <mergeCell ref="A8156:B8156"/>
    <mergeCell ref="A8157:B8157"/>
    <mergeCell ref="A8158:B8158"/>
    <mergeCell ref="A8159:B8159"/>
    <mergeCell ref="A8162:A8163"/>
    <mergeCell ref="B8162:B8163"/>
    <mergeCell ref="C8162:D8162"/>
    <mergeCell ref="E8162:F8162"/>
    <mergeCell ref="G8162:G8163"/>
    <mergeCell ref="H8162:H8163"/>
    <mergeCell ref="I8162:I8163"/>
    <mergeCell ref="J8162:J8163"/>
    <mergeCell ref="A8191:D8191"/>
    <mergeCell ref="A8192:B8192"/>
    <mergeCell ref="H8192:J8192"/>
    <mergeCell ref="A8193:B8193"/>
    <mergeCell ref="H8193:J8193"/>
    <mergeCell ref="A8194:B8194"/>
    <mergeCell ref="H8194:J8194"/>
    <mergeCell ref="H8195:J8195"/>
    <mergeCell ref="A8195:B8195"/>
    <mergeCell ref="A8196:B8196"/>
    <mergeCell ref="A8197:B8197"/>
    <mergeCell ref="A8198:B8198"/>
    <mergeCell ref="A8201:A8202"/>
    <mergeCell ref="B8201:B8202"/>
    <mergeCell ref="C8201:D8201"/>
    <mergeCell ref="E8201:F8201"/>
    <mergeCell ref="G8201:G8202"/>
    <mergeCell ref="H8201:H8202"/>
    <mergeCell ref="I8201:I8202"/>
    <mergeCell ref="J8201:J8202"/>
    <mergeCell ref="A8230:D8230"/>
    <mergeCell ref="A8231:B8231"/>
    <mergeCell ref="H8231:J8231"/>
    <mergeCell ref="A8232:B8232"/>
    <mergeCell ref="H8232:J8232"/>
    <mergeCell ref="A8233:B8233"/>
    <mergeCell ref="H8233:J8233"/>
    <mergeCell ref="H8234:J8234"/>
    <mergeCell ref="A8234:B8234"/>
    <mergeCell ref="A8235:B8235"/>
    <mergeCell ref="A8236:B8236"/>
    <mergeCell ref="A8237:B8237"/>
    <mergeCell ref="A8240:A8241"/>
    <mergeCell ref="B8240:B8241"/>
    <mergeCell ref="C8240:D8240"/>
    <mergeCell ref="E8240:F8240"/>
    <mergeCell ref="G8240:G8241"/>
    <mergeCell ref="H8240:H8241"/>
    <mergeCell ref="I8240:I8241"/>
    <mergeCell ref="J8240:J8241"/>
    <mergeCell ref="A8269:D8269"/>
    <mergeCell ref="A8270:B8270"/>
    <mergeCell ref="H8270:J8270"/>
    <mergeCell ref="A8271:B8271"/>
    <mergeCell ref="H8271:J8271"/>
    <mergeCell ref="A8272:B8272"/>
    <mergeCell ref="H8272:J8272"/>
    <mergeCell ref="H8273:J8273"/>
    <mergeCell ref="A8273:B8273"/>
    <mergeCell ref="A8274:B8274"/>
    <mergeCell ref="A8275:B8275"/>
    <mergeCell ref="A8276:B8276"/>
    <mergeCell ref="A8279:A8280"/>
    <mergeCell ref="B8279:B8280"/>
    <mergeCell ref="C8279:D8279"/>
    <mergeCell ref="E8279:F8279"/>
    <mergeCell ref="G8279:G8280"/>
    <mergeCell ref="H8279:H8280"/>
    <mergeCell ref="I8279:I8280"/>
    <mergeCell ref="J8279:J8280"/>
    <mergeCell ref="A8308:D8308"/>
    <mergeCell ref="A8309:B8309"/>
    <mergeCell ref="H8309:J8309"/>
    <mergeCell ref="A8310:B8310"/>
    <mergeCell ref="H8310:J8310"/>
    <mergeCell ref="A8311:B8311"/>
    <mergeCell ref="H8311:J8311"/>
    <mergeCell ref="H8312:J8312"/>
    <mergeCell ref="A8312:B8312"/>
    <mergeCell ref="A8313:B8313"/>
    <mergeCell ref="A8314:B8314"/>
    <mergeCell ref="A8315:B8315"/>
    <mergeCell ref="A8318:A8319"/>
    <mergeCell ref="B8318:B8319"/>
    <mergeCell ref="C8318:D8318"/>
    <mergeCell ref="E8318:F8318"/>
    <mergeCell ref="G8318:G8319"/>
    <mergeCell ref="H8318:H8319"/>
    <mergeCell ref="I8318:I8319"/>
    <mergeCell ref="J8318:J8319"/>
    <mergeCell ref="A8347:D8347"/>
    <mergeCell ref="A8348:B8348"/>
    <mergeCell ref="H8348:J8348"/>
    <mergeCell ref="A8349:B8349"/>
    <mergeCell ref="H8349:J8349"/>
    <mergeCell ref="A8350:B8350"/>
    <mergeCell ref="H8350:J8350"/>
    <mergeCell ref="H8351:J8351"/>
    <mergeCell ref="A8351:B8351"/>
    <mergeCell ref="A8352:B8352"/>
    <mergeCell ref="A8353:B8353"/>
    <mergeCell ref="A8354:B8354"/>
    <mergeCell ref="A8357:A8358"/>
    <mergeCell ref="B8357:B8358"/>
    <mergeCell ref="C8357:D8357"/>
    <mergeCell ref="E8357:F8357"/>
    <mergeCell ref="G8357:G8358"/>
    <mergeCell ref="H8357:H8358"/>
    <mergeCell ref="I8357:I8358"/>
    <mergeCell ref="J8357:J8358"/>
    <mergeCell ref="A8386:D8386"/>
    <mergeCell ref="A8387:B8387"/>
    <mergeCell ref="H8387:J8387"/>
    <mergeCell ref="A8388:B8388"/>
    <mergeCell ref="H8388:J8388"/>
    <mergeCell ref="A8389:B8389"/>
    <mergeCell ref="H8389:J8389"/>
    <mergeCell ref="H8390:J8390"/>
    <mergeCell ref="A8390:B8390"/>
    <mergeCell ref="A8391:B8391"/>
    <mergeCell ref="A8392:B8392"/>
    <mergeCell ref="A8393:B8393"/>
    <mergeCell ref="A8396:A8397"/>
    <mergeCell ref="B8396:B8397"/>
    <mergeCell ref="C8396:D8396"/>
    <mergeCell ref="E8396:F8396"/>
    <mergeCell ref="G8396:G8397"/>
    <mergeCell ref="H8396:H8397"/>
    <mergeCell ref="I8396:I8397"/>
    <mergeCell ref="J8396:J8397"/>
    <mergeCell ref="A8425:D8425"/>
    <mergeCell ref="A8426:B8426"/>
    <mergeCell ref="H8426:J8426"/>
    <mergeCell ref="A8427:B8427"/>
    <mergeCell ref="H8427:J8427"/>
    <mergeCell ref="A8428:B8428"/>
    <mergeCell ref="H8428:J8428"/>
    <mergeCell ref="H8429:J8429"/>
    <mergeCell ref="A8429:B8429"/>
    <mergeCell ref="A8430:B8430"/>
    <mergeCell ref="A8431:B8431"/>
    <mergeCell ref="A8432:B8432"/>
    <mergeCell ref="A8435:A8436"/>
    <mergeCell ref="B8435:B8436"/>
    <mergeCell ref="C8435:D8435"/>
    <mergeCell ref="E8435:F8435"/>
    <mergeCell ref="G8435:G8436"/>
    <mergeCell ref="H8435:H8436"/>
    <mergeCell ref="I8435:I8436"/>
    <mergeCell ref="J8435:J8436"/>
    <mergeCell ref="A8464:D8464"/>
    <mergeCell ref="A8465:B8465"/>
    <mergeCell ref="H8465:J8465"/>
    <mergeCell ref="A8466:B8466"/>
    <mergeCell ref="H8466:J8466"/>
    <mergeCell ref="A8467:B8467"/>
    <mergeCell ref="H8467:J8467"/>
    <mergeCell ref="H8468:J8468"/>
    <mergeCell ref="A8468:B8468"/>
    <mergeCell ref="A8469:B8469"/>
    <mergeCell ref="A8470:B8470"/>
    <mergeCell ref="A8471:B8471"/>
    <mergeCell ref="A8474:A8475"/>
    <mergeCell ref="B8474:B8475"/>
    <mergeCell ref="C8474:D8474"/>
    <mergeCell ref="E8474:F8474"/>
    <mergeCell ref="G8474:G8475"/>
    <mergeCell ref="H8474:H8475"/>
    <mergeCell ref="I8474:I8475"/>
    <mergeCell ref="J8474:J8475"/>
    <mergeCell ref="A8503:D8503"/>
    <mergeCell ref="A8504:B8504"/>
    <mergeCell ref="H8504:J8504"/>
    <mergeCell ref="A8505:B8505"/>
    <mergeCell ref="H8505:J8505"/>
    <mergeCell ref="A8506:B8506"/>
    <mergeCell ref="H8506:J8506"/>
    <mergeCell ref="H8507:J8507"/>
    <mergeCell ref="A8507:B8507"/>
    <mergeCell ref="A8508:B8508"/>
    <mergeCell ref="A8509:B8509"/>
    <mergeCell ref="A8510:B8510"/>
    <mergeCell ref="A8513:A8514"/>
    <mergeCell ref="B8513:B8514"/>
    <mergeCell ref="C8513:D8513"/>
    <mergeCell ref="E8513:F8513"/>
    <mergeCell ref="G8513:G8514"/>
    <mergeCell ref="H8513:H8514"/>
    <mergeCell ref="I8513:I8514"/>
    <mergeCell ref="J8513:J8514"/>
    <mergeCell ref="A8542:D8542"/>
    <mergeCell ref="A8543:B8543"/>
    <mergeCell ref="H8543:J8543"/>
    <mergeCell ref="A8544:B8544"/>
    <mergeCell ref="H8544:J8544"/>
    <mergeCell ref="A8545:B8545"/>
    <mergeCell ref="H8545:J8545"/>
    <mergeCell ref="H8546:J8546"/>
    <mergeCell ref="A8546:B8546"/>
    <mergeCell ref="A8547:B8547"/>
    <mergeCell ref="A8548:B8548"/>
    <mergeCell ref="A8549:B8549"/>
    <mergeCell ref="A8552:A8553"/>
    <mergeCell ref="B8552:B8553"/>
    <mergeCell ref="C8552:D8552"/>
    <mergeCell ref="E8552:F8552"/>
    <mergeCell ref="G8552:G8553"/>
    <mergeCell ref="H8552:H8553"/>
    <mergeCell ref="I8552:I8553"/>
    <mergeCell ref="J8552:J8553"/>
    <mergeCell ref="A8574:D8574"/>
    <mergeCell ref="A8575:B8575"/>
    <mergeCell ref="H8575:J8575"/>
    <mergeCell ref="A8576:B8576"/>
    <mergeCell ref="H8576:J8576"/>
    <mergeCell ref="A8577:B8577"/>
    <mergeCell ref="H8577:J8577"/>
    <mergeCell ref="H8578:J8578"/>
    <mergeCell ref="A8578:B8578"/>
    <mergeCell ref="A8579:B8579"/>
    <mergeCell ref="A8580:B8580"/>
    <mergeCell ref="A8581:B8581"/>
    <mergeCell ref="A8584:A8585"/>
    <mergeCell ref="B8584:B8585"/>
    <mergeCell ref="C8584:D8584"/>
    <mergeCell ref="E8584:F8584"/>
    <mergeCell ref="G8584:G8585"/>
    <mergeCell ref="H8584:H8585"/>
    <mergeCell ref="I8584:I8585"/>
    <mergeCell ref="J8584:J8585"/>
    <mergeCell ref="A8613:D8613"/>
    <mergeCell ref="A8614:B8614"/>
    <mergeCell ref="H8614:J8614"/>
    <mergeCell ref="A8615:B8615"/>
    <mergeCell ref="H8615:J8615"/>
    <mergeCell ref="A8616:B8616"/>
    <mergeCell ref="H8616:J8616"/>
    <mergeCell ref="H8617:J8617"/>
    <mergeCell ref="A8617:B8617"/>
    <mergeCell ref="A8618:B8618"/>
    <mergeCell ref="A8619:B8619"/>
    <mergeCell ref="A8620:B8620"/>
    <mergeCell ref="A8623:A8624"/>
    <mergeCell ref="B8623:B8624"/>
    <mergeCell ref="C8623:D8623"/>
    <mergeCell ref="E8623:F8623"/>
    <mergeCell ref="G8623:G8624"/>
    <mergeCell ref="H8623:H8624"/>
    <mergeCell ref="I8623:I8624"/>
    <mergeCell ref="J8623:J8624"/>
    <mergeCell ref="A8652:D8652"/>
    <mergeCell ref="A8653:B8653"/>
    <mergeCell ref="H8653:J8653"/>
    <mergeCell ref="A8654:B8654"/>
    <mergeCell ref="H8654:J8654"/>
    <mergeCell ref="A8655:B8655"/>
    <mergeCell ref="H8655:J8655"/>
    <mergeCell ref="H8656:J8656"/>
    <mergeCell ref="A8656:B8656"/>
    <mergeCell ref="A8657:B8657"/>
    <mergeCell ref="A8658:B8658"/>
    <mergeCell ref="A8659:B8659"/>
    <mergeCell ref="A8662:A8663"/>
    <mergeCell ref="B8662:B8663"/>
    <mergeCell ref="C8662:D8662"/>
    <mergeCell ref="E8662:F8662"/>
    <mergeCell ref="G8662:G8663"/>
    <mergeCell ref="H8662:H8663"/>
    <mergeCell ref="I8662:I8663"/>
    <mergeCell ref="J8662:J8663"/>
    <mergeCell ref="A8691:D8691"/>
    <mergeCell ref="A8692:B8692"/>
    <mergeCell ref="H8692:J8692"/>
    <mergeCell ref="A8693:B8693"/>
    <mergeCell ref="H8693:J8693"/>
    <mergeCell ref="A8694:B8694"/>
    <mergeCell ref="H8694:J8694"/>
    <mergeCell ref="H8695:J8695"/>
    <mergeCell ref="A8695:B8695"/>
    <mergeCell ref="A8696:B8696"/>
    <mergeCell ref="A8697:B8697"/>
    <mergeCell ref="A8698:B8698"/>
    <mergeCell ref="A8701:A8702"/>
    <mergeCell ref="B8701:B8702"/>
    <mergeCell ref="C8701:D8701"/>
    <mergeCell ref="E8701:F8701"/>
    <mergeCell ref="G8701:G8702"/>
    <mergeCell ref="H8701:H8702"/>
    <mergeCell ref="I8701:I8702"/>
    <mergeCell ref="J8701:J8702"/>
    <mergeCell ref="A8730:D8730"/>
    <mergeCell ref="A8731:B8731"/>
    <mergeCell ref="H8731:J8731"/>
    <mergeCell ref="A8732:B8732"/>
    <mergeCell ref="H8732:J8732"/>
    <mergeCell ref="A8733:B8733"/>
    <mergeCell ref="H8733:J8733"/>
    <mergeCell ref="H8734:J8734"/>
    <mergeCell ref="A8734:B8734"/>
    <mergeCell ref="A8735:B8735"/>
    <mergeCell ref="A8736:B8736"/>
    <mergeCell ref="A8737:B8737"/>
    <mergeCell ref="A8740:A8741"/>
    <mergeCell ref="B8740:B8741"/>
    <mergeCell ref="C8740:D8740"/>
    <mergeCell ref="E8740:F8740"/>
    <mergeCell ref="G8740:G8741"/>
    <mergeCell ref="H8740:H8741"/>
    <mergeCell ref="I8740:I8741"/>
    <mergeCell ref="J8740:J8741"/>
    <mergeCell ref="A8769:D8769"/>
    <mergeCell ref="A8770:B8770"/>
    <mergeCell ref="H8770:J8770"/>
    <mergeCell ref="A8771:B8771"/>
    <mergeCell ref="H8771:J8771"/>
    <mergeCell ref="A8772:B8772"/>
    <mergeCell ref="H8772:J8772"/>
    <mergeCell ref="H8773:J8773"/>
    <mergeCell ref="A8773:B8773"/>
    <mergeCell ref="A8774:B8774"/>
    <mergeCell ref="A8775:B8775"/>
    <mergeCell ref="A8776:B8776"/>
    <mergeCell ref="A8779:A8780"/>
    <mergeCell ref="B8779:B8780"/>
    <mergeCell ref="C8779:D8779"/>
    <mergeCell ref="E8779:F8779"/>
    <mergeCell ref="G8779:G8780"/>
    <mergeCell ref="H8779:H8780"/>
    <mergeCell ref="I8779:I8780"/>
    <mergeCell ref="J8779:J8780"/>
    <mergeCell ref="A8808:D8808"/>
    <mergeCell ref="A8809:B8809"/>
    <mergeCell ref="H8809:J8809"/>
    <mergeCell ref="A8810:B8810"/>
    <mergeCell ref="H8810:J8810"/>
    <mergeCell ref="A8811:B8811"/>
    <mergeCell ref="H8811:J8811"/>
    <mergeCell ref="H8812:J8812"/>
    <mergeCell ref="A8812:B8812"/>
    <mergeCell ref="A8813:B8813"/>
    <mergeCell ref="A8814:B8814"/>
    <mergeCell ref="A8815:B8815"/>
    <mergeCell ref="A8818:A8819"/>
    <mergeCell ref="B8818:B8819"/>
    <mergeCell ref="C8818:D8818"/>
    <mergeCell ref="E8818:F8818"/>
    <mergeCell ref="G8818:G8819"/>
    <mergeCell ref="H8818:H8819"/>
    <mergeCell ref="I8818:I8819"/>
    <mergeCell ref="J8818:J8819"/>
    <mergeCell ref="A8847:D8847"/>
    <mergeCell ref="A8848:B8848"/>
    <mergeCell ref="H8848:J8848"/>
    <mergeCell ref="A8849:B8849"/>
    <mergeCell ref="H8849:J8849"/>
    <mergeCell ref="A8850:B8850"/>
    <mergeCell ref="H8850:J8850"/>
    <mergeCell ref="H8851:J8851"/>
    <mergeCell ref="A8851:B8851"/>
    <mergeCell ref="A8852:B8852"/>
    <mergeCell ref="A8853:B8853"/>
    <mergeCell ref="A8854:B8854"/>
    <mergeCell ref="A8857:A8858"/>
    <mergeCell ref="B8857:B8858"/>
    <mergeCell ref="C8857:D8857"/>
    <mergeCell ref="E8857:F8857"/>
    <mergeCell ref="G8857:G8858"/>
    <mergeCell ref="H8857:H8858"/>
    <mergeCell ref="I8857:I8858"/>
    <mergeCell ref="J8857:J8858"/>
    <mergeCell ref="A8886:D8886"/>
    <mergeCell ref="A8887:B8887"/>
    <mergeCell ref="H8887:J8887"/>
    <mergeCell ref="A8888:B8888"/>
    <mergeCell ref="H8888:J8888"/>
    <mergeCell ref="A8889:B8889"/>
    <mergeCell ref="H8889:J8889"/>
    <mergeCell ref="H8890:J8890"/>
    <mergeCell ref="A8890:B8890"/>
    <mergeCell ref="A8891:B8891"/>
    <mergeCell ref="A8892:B8892"/>
    <mergeCell ref="A8893:B8893"/>
    <mergeCell ref="A8896:A8897"/>
    <mergeCell ref="B8896:B8897"/>
    <mergeCell ref="C8896:D8896"/>
    <mergeCell ref="E8896:F8896"/>
    <mergeCell ref="G8896:G8897"/>
    <mergeCell ref="H8896:H8897"/>
    <mergeCell ref="I8896:I8897"/>
    <mergeCell ref="J8896:J8897"/>
    <mergeCell ref="A8925:D8925"/>
    <mergeCell ref="A8926:B8926"/>
    <mergeCell ref="H8926:J8926"/>
    <mergeCell ref="A8927:B8927"/>
    <mergeCell ref="H8927:J8927"/>
    <mergeCell ref="A8928:B8928"/>
    <mergeCell ref="H8928:J8928"/>
    <mergeCell ref="H8929:J8929"/>
    <mergeCell ref="A8929:B8929"/>
    <mergeCell ref="A8930:B8930"/>
    <mergeCell ref="A8931:B8931"/>
    <mergeCell ref="A8932:B8932"/>
    <mergeCell ref="A8935:A8936"/>
    <mergeCell ref="B8935:B8936"/>
    <mergeCell ref="C8935:D8935"/>
    <mergeCell ref="E8935:F8935"/>
    <mergeCell ref="G8935:G8936"/>
    <mergeCell ref="H8935:H8936"/>
    <mergeCell ref="I8935:I8936"/>
    <mergeCell ref="J8935:J8936"/>
    <mergeCell ref="A8964:D8964"/>
    <mergeCell ref="A8965:B8965"/>
    <mergeCell ref="H8965:J8965"/>
    <mergeCell ref="A8966:B8966"/>
    <mergeCell ref="H8966:J8966"/>
    <mergeCell ref="A8967:B8967"/>
    <mergeCell ref="H8967:J8967"/>
    <mergeCell ref="H8968:J8968"/>
    <mergeCell ref="A8968:B8968"/>
    <mergeCell ref="A8969:B8969"/>
    <mergeCell ref="A8970:B8970"/>
    <mergeCell ref="A8971:B8971"/>
    <mergeCell ref="A8974:A8975"/>
    <mergeCell ref="B8974:B8975"/>
    <mergeCell ref="C8974:D8974"/>
    <mergeCell ref="E8974:F8974"/>
    <mergeCell ref="G8974:G8975"/>
    <mergeCell ref="H8974:H8975"/>
    <mergeCell ref="I8974:I8975"/>
    <mergeCell ref="J8974:J8975"/>
    <mergeCell ref="A9003:D9003"/>
    <mergeCell ref="A9004:B9004"/>
    <mergeCell ref="H9004:J9004"/>
    <mergeCell ref="A9005:B9005"/>
    <mergeCell ref="H9005:J9005"/>
    <mergeCell ref="A9006:B9006"/>
    <mergeCell ref="H9006:J9006"/>
    <mergeCell ref="H9007:J9007"/>
    <mergeCell ref="A9007:B9007"/>
    <mergeCell ref="A9008:B9008"/>
    <mergeCell ref="A9009:B9009"/>
    <mergeCell ref="A9010:B9010"/>
    <mergeCell ref="A9013:A9014"/>
    <mergeCell ref="B9013:B9014"/>
    <mergeCell ref="C9013:D9013"/>
    <mergeCell ref="E9013:F9013"/>
    <mergeCell ref="G9013:G9014"/>
    <mergeCell ref="H9013:H9014"/>
    <mergeCell ref="I9013:I9014"/>
    <mergeCell ref="J9013:J9014"/>
    <mergeCell ref="A9042:D9042"/>
    <mergeCell ref="A9043:B9043"/>
    <mergeCell ref="H9043:J9043"/>
    <mergeCell ref="A9044:B9044"/>
    <mergeCell ref="H9044:J9044"/>
    <mergeCell ref="A9045:B9045"/>
    <mergeCell ref="H9045:J9045"/>
    <mergeCell ref="H9046:J9046"/>
    <mergeCell ref="A9046:B9046"/>
    <mergeCell ref="A9047:B9047"/>
    <mergeCell ref="A9048:B9048"/>
    <mergeCell ref="A9049:B9049"/>
    <mergeCell ref="A9052:A9053"/>
    <mergeCell ref="B9052:B9053"/>
    <mergeCell ref="C9052:D9052"/>
    <mergeCell ref="E9052:F9052"/>
    <mergeCell ref="G9052:G9053"/>
    <mergeCell ref="H9052:H9053"/>
    <mergeCell ref="I9052:I9053"/>
    <mergeCell ref="J9052:J9053"/>
    <mergeCell ref="A9081:D9081"/>
    <mergeCell ref="A9082:B9082"/>
    <mergeCell ref="H9082:J9082"/>
    <mergeCell ref="A9083:B9083"/>
    <mergeCell ref="H9083:J9083"/>
    <mergeCell ref="A9084:B9084"/>
    <mergeCell ref="H9084:J9084"/>
    <mergeCell ref="H9085:J9085"/>
    <mergeCell ref="A9085:B9085"/>
    <mergeCell ref="A9086:B9086"/>
    <mergeCell ref="A9087:B9087"/>
    <mergeCell ref="A9088:B9088"/>
    <mergeCell ref="A9091:A9092"/>
    <mergeCell ref="B9091:B9092"/>
    <mergeCell ref="C9091:D9091"/>
    <mergeCell ref="E9091:F9091"/>
    <mergeCell ref="G9091:G9092"/>
    <mergeCell ref="H9091:H9092"/>
    <mergeCell ref="I9091:I9092"/>
    <mergeCell ref="J9091:J9092"/>
    <mergeCell ref="A9120:D9120"/>
    <mergeCell ref="A9121:B9121"/>
    <mergeCell ref="H9121:J9121"/>
    <mergeCell ref="A9122:B9122"/>
    <mergeCell ref="H9122:J9122"/>
    <mergeCell ref="A9123:B9123"/>
    <mergeCell ref="H9123:J9123"/>
    <mergeCell ref="H9124:J9124"/>
    <mergeCell ref="A9124:B9124"/>
    <mergeCell ref="A9125:B9125"/>
    <mergeCell ref="A9126:B9126"/>
    <mergeCell ref="A9127:B9127"/>
    <mergeCell ref="A9130:A9131"/>
    <mergeCell ref="B9130:B9131"/>
    <mergeCell ref="C9130:D9130"/>
    <mergeCell ref="E9130:F9130"/>
    <mergeCell ref="G9130:G9131"/>
    <mergeCell ref="H9130:H9131"/>
    <mergeCell ref="I9130:I9131"/>
    <mergeCell ref="J9130:J9131"/>
    <mergeCell ref="A9159:D9159"/>
    <mergeCell ref="A9160:B9160"/>
    <mergeCell ref="H9160:J9160"/>
    <mergeCell ref="A9161:B9161"/>
    <mergeCell ref="H9161:J9161"/>
    <mergeCell ref="A9162:B9162"/>
    <mergeCell ref="H9162:J9162"/>
    <mergeCell ref="H9163:J9163"/>
    <mergeCell ref="A9163:B9163"/>
    <mergeCell ref="A9164:B9164"/>
    <mergeCell ref="A9165:B9165"/>
    <mergeCell ref="A9166:B9166"/>
    <mergeCell ref="A9169:A9170"/>
    <mergeCell ref="B9169:B9170"/>
    <mergeCell ref="C9169:D9169"/>
    <mergeCell ref="E9169:F9169"/>
    <mergeCell ref="G9169:G9170"/>
    <mergeCell ref="H9169:H9170"/>
    <mergeCell ref="I9169:I9170"/>
    <mergeCell ref="J9169:J9170"/>
    <mergeCell ref="A9198:D9198"/>
    <mergeCell ref="A9199:B9199"/>
    <mergeCell ref="H9199:J9199"/>
    <mergeCell ref="A9200:B9200"/>
    <mergeCell ref="H9200:J9200"/>
    <mergeCell ref="A9201:B9201"/>
    <mergeCell ref="H9201:J9201"/>
    <mergeCell ref="H9202:J9202"/>
    <mergeCell ref="A9202:B9202"/>
    <mergeCell ref="A9203:B9203"/>
    <mergeCell ref="A9204:B9204"/>
    <mergeCell ref="A9205:B9205"/>
    <mergeCell ref="A9208:A9209"/>
    <mergeCell ref="B9208:B9209"/>
    <mergeCell ref="C9208:D9208"/>
    <mergeCell ref="E9208:F9208"/>
    <mergeCell ref="G9208:G9209"/>
    <mergeCell ref="H9208:H9209"/>
    <mergeCell ref="I9208:I9209"/>
    <mergeCell ref="J9208:J9209"/>
    <mergeCell ref="A9237:D9237"/>
    <mergeCell ref="A9238:B9238"/>
    <mergeCell ref="H9238:J9238"/>
    <mergeCell ref="A9239:B9239"/>
    <mergeCell ref="H9239:J9239"/>
    <mergeCell ref="A9240:B9240"/>
    <mergeCell ref="H9240:J9240"/>
    <mergeCell ref="H9241:J9241"/>
    <mergeCell ref="A9241:B9241"/>
    <mergeCell ref="A9242:B9242"/>
    <mergeCell ref="A9243:B9243"/>
    <mergeCell ref="A9244:B9244"/>
    <mergeCell ref="A9247:A9248"/>
    <mergeCell ref="B9247:B9248"/>
    <mergeCell ref="C9247:D9247"/>
    <mergeCell ref="E9247:F9247"/>
    <mergeCell ref="G9247:G9248"/>
    <mergeCell ref="H9247:H9248"/>
    <mergeCell ref="I9247:I9248"/>
    <mergeCell ref="J9247:J9248"/>
    <mergeCell ref="A9276:D9276"/>
    <mergeCell ref="A9277:B9277"/>
    <mergeCell ref="H9277:J9277"/>
    <mergeCell ref="A9278:B9278"/>
    <mergeCell ref="H9278:J9278"/>
    <mergeCell ref="A9279:B9279"/>
    <mergeCell ref="H9279:J9279"/>
    <mergeCell ref="H9280:J9280"/>
    <mergeCell ref="A9280:B9280"/>
    <mergeCell ref="A9281:B9281"/>
    <mergeCell ref="A9282:B9282"/>
    <mergeCell ref="A9283:B9283"/>
    <mergeCell ref="A9286:A9287"/>
    <mergeCell ref="B9286:B9287"/>
    <mergeCell ref="C9286:D9286"/>
    <mergeCell ref="E9286:F9286"/>
    <mergeCell ref="G9286:G9287"/>
    <mergeCell ref="H9286:H9287"/>
    <mergeCell ref="I9286:I9287"/>
    <mergeCell ref="J9286:J9287"/>
    <mergeCell ref="A9315:D9315"/>
    <mergeCell ref="A9316:B9316"/>
    <mergeCell ref="H9316:J9316"/>
    <mergeCell ref="A9317:B9317"/>
    <mergeCell ref="H9317:J9317"/>
    <mergeCell ref="A9318:B9318"/>
    <mergeCell ref="H9318:J9318"/>
    <mergeCell ref="H9319:J9319"/>
    <mergeCell ref="A9319:B9319"/>
    <mergeCell ref="A9320:B9320"/>
    <mergeCell ref="A9321:B9321"/>
    <mergeCell ref="A9322:B9322"/>
    <mergeCell ref="A9325:A9326"/>
    <mergeCell ref="B9325:B9326"/>
    <mergeCell ref="C9325:D9325"/>
    <mergeCell ref="E9325:F9325"/>
    <mergeCell ref="G9325:G9326"/>
    <mergeCell ref="H9325:H9326"/>
    <mergeCell ref="I9325:I9326"/>
    <mergeCell ref="J9325:J9326"/>
    <mergeCell ref="A9354:D9354"/>
    <mergeCell ref="A9355:B9355"/>
    <mergeCell ref="H9355:J9355"/>
    <mergeCell ref="A9356:B9356"/>
    <mergeCell ref="H9356:J9356"/>
    <mergeCell ref="A9357:B9357"/>
    <mergeCell ref="H9357:J9357"/>
    <mergeCell ref="H9358:J9358"/>
    <mergeCell ref="A9358:B9358"/>
    <mergeCell ref="A9359:B9359"/>
    <mergeCell ref="A9360:B9360"/>
    <mergeCell ref="A9361:B9361"/>
    <mergeCell ref="A9364:A9365"/>
    <mergeCell ref="B9364:B9365"/>
    <mergeCell ref="C9364:D9364"/>
    <mergeCell ref="E9364:F9364"/>
    <mergeCell ref="G9364:G9365"/>
    <mergeCell ref="H9364:H9365"/>
    <mergeCell ref="I9364:I9365"/>
    <mergeCell ref="J9364:J9365"/>
    <mergeCell ref="A9393:D9393"/>
    <mergeCell ref="A9394:B9394"/>
    <mergeCell ref="H9394:J9394"/>
    <mergeCell ref="A9395:B9395"/>
    <mergeCell ref="H9395:J9395"/>
    <mergeCell ref="A9396:B9396"/>
    <mergeCell ref="H9396:J9396"/>
    <mergeCell ref="H9397:J9397"/>
    <mergeCell ref="A9397:B9397"/>
    <mergeCell ref="A9398:B9398"/>
    <mergeCell ref="A9399:B9399"/>
    <mergeCell ref="A9400:B9400"/>
    <mergeCell ref="A9403:A9404"/>
    <mergeCell ref="B9403:B9404"/>
    <mergeCell ref="C9403:D9403"/>
    <mergeCell ref="E9403:F9403"/>
    <mergeCell ref="G9403:G9404"/>
    <mergeCell ref="H9403:H9404"/>
    <mergeCell ref="I9403:I9404"/>
    <mergeCell ref="J9403:J9404"/>
    <mergeCell ref="A9432:D9432"/>
    <mergeCell ref="A9433:B9433"/>
    <mergeCell ref="H9433:J9433"/>
    <mergeCell ref="A9434:B9434"/>
    <mergeCell ref="H9434:J9434"/>
    <mergeCell ref="A9435:B9435"/>
    <mergeCell ref="H9435:J9435"/>
    <mergeCell ref="H9436:J9436"/>
    <mergeCell ref="A9436:B9436"/>
    <mergeCell ref="A9437:B9437"/>
    <mergeCell ref="A9438:B9438"/>
    <mergeCell ref="A9439:B9439"/>
    <mergeCell ref="A9442:A9443"/>
    <mergeCell ref="B9442:B9443"/>
    <mergeCell ref="C9442:D9442"/>
    <mergeCell ref="E9442:F9442"/>
    <mergeCell ref="G9442:G9443"/>
    <mergeCell ref="H9442:H9443"/>
    <mergeCell ref="I9442:I9443"/>
    <mergeCell ref="J9442:J9443"/>
    <mergeCell ref="A9471:D9471"/>
    <mergeCell ref="A9472:B9472"/>
    <mergeCell ref="H9472:J9472"/>
    <mergeCell ref="A9473:B9473"/>
    <mergeCell ref="H9473:J9473"/>
    <mergeCell ref="A9474:B9474"/>
    <mergeCell ref="H9474:J9474"/>
    <mergeCell ref="H9475:J9475"/>
    <mergeCell ref="A9475:B9475"/>
    <mergeCell ref="A9476:B9476"/>
    <mergeCell ref="A9477:B9477"/>
    <mergeCell ref="A9478:B9478"/>
    <mergeCell ref="A9481:A9482"/>
    <mergeCell ref="B9481:B9482"/>
    <mergeCell ref="C9481:D9481"/>
    <mergeCell ref="E9481:F9481"/>
    <mergeCell ref="G9481:G9482"/>
    <mergeCell ref="H9481:H9482"/>
    <mergeCell ref="I9481:I9482"/>
    <mergeCell ref="J9481:J9482"/>
    <mergeCell ref="A9510:D9510"/>
    <mergeCell ref="A9511:B9511"/>
    <mergeCell ref="H9511:J9511"/>
    <mergeCell ref="A9512:B9512"/>
    <mergeCell ref="H9512:J9512"/>
    <mergeCell ref="A9513:B9513"/>
    <mergeCell ref="H9513:J9513"/>
    <mergeCell ref="H9514:J9514"/>
    <mergeCell ref="A9514:B9514"/>
    <mergeCell ref="A9515:B9515"/>
    <mergeCell ref="A9516:B9516"/>
    <mergeCell ref="A9517:B9517"/>
    <mergeCell ref="A9520:A9521"/>
    <mergeCell ref="B9520:B9521"/>
    <mergeCell ref="C9520:D9520"/>
    <mergeCell ref="E9520:F9520"/>
    <mergeCell ref="G9520:G9521"/>
    <mergeCell ref="H9520:H9521"/>
    <mergeCell ref="I9520:I9521"/>
    <mergeCell ref="J9520:J9521"/>
    <mergeCell ref="A9549:D9549"/>
    <mergeCell ref="A9550:B9550"/>
    <mergeCell ref="H9550:J9550"/>
    <mergeCell ref="A9551:B9551"/>
    <mergeCell ref="H9551:J9551"/>
    <mergeCell ref="A9552:B9552"/>
    <mergeCell ref="H9552:J9552"/>
    <mergeCell ref="H9553:J9553"/>
    <mergeCell ref="A9553:B9553"/>
    <mergeCell ref="A9554:B9554"/>
    <mergeCell ref="A9555:B9555"/>
    <mergeCell ref="A9556:B9556"/>
    <mergeCell ref="A9559:A9560"/>
    <mergeCell ref="B9559:B9560"/>
    <mergeCell ref="C9559:D9559"/>
    <mergeCell ref="E9559:F9559"/>
    <mergeCell ref="G9559:G9560"/>
    <mergeCell ref="H9559:H9560"/>
    <mergeCell ref="I9559:I9560"/>
    <mergeCell ref="J9559:J9560"/>
    <mergeCell ref="A9588:D9588"/>
    <mergeCell ref="A9589:B9589"/>
    <mergeCell ref="H9589:J9589"/>
    <mergeCell ref="A9590:B9590"/>
    <mergeCell ref="H9590:J9590"/>
    <mergeCell ref="A9591:B9591"/>
    <mergeCell ref="H9591:J9591"/>
    <mergeCell ref="H9592:J9592"/>
    <mergeCell ref="A9592:B9592"/>
    <mergeCell ref="A9593:B9593"/>
    <mergeCell ref="A9594:B9594"/>
    <mergeCell ref="A9595:B9595"/>
    <mergeCell ref="A9598:A9599"/>
    <mergeCell ref="B9598:B9599"/>
    <mergeCell ref="C9598:D9598"/>
    <mergeCell ref="E9598:F9598"/>
    <mergeCell ref="G9598:G9599"/>
    <mergeCell ref="H9598:H9599"/>
    <mergeCell ref="I9598:I9599"/>
    <mergeCell ref="J9598:J9599"/>
    <mergeCell ref="A9627:D9627"/>
    <mergeCell ref="A9628:B9628"/>
    <mergeCell ref="H9628:J9628"/>
    <mergeCell ref="A9629:B9629"/>
    <mergeCell ref="H9629:J9629"/>
    <mergeCell ref="A9630:B9630"/>
    <mergeCell ref="H9630:J9630"/>
    <mergeCell ref="H9631:J9631"/>
    <mergeCell ref="A9631:B9631"/>
    <mergeCell ref="A9632:B9632"/>
    <mergeCell ref="A9633:B9633"/>
    <mergeCell ref="A9634:B9634"/>
    <mergeCell ref="A9637:A9638"/>
    <mergeCell ref="B9637:B9638"/>
    <mergeCell ref="C9637:D9637"/>
    <mergeCell ref="E9637:F9637"/>
    <mergeCell ref="G9637:G9638"/>
    <mergeCell ref="H9637:H9638"/>
    <mergeCell ref="I9637:I9638"/>
    <mergeCell ref="J9637:J9638"/>
    <mergeCell ref="A9666:D9666"/>
    <mergeCell ref="A9667:B9667"/>
    <mergeCell ref="H9667:J9667"/>
    <mergeCell ref="A9668:B9668"/>
    <mergeCell ref="H9668:J9668"/>
    <mergeCell ref="A9669:B9669"/>
    <mergeCell ref="H9669:J9669"/>
    <mergeCell ref="H9670:J9670"/>
    <mergeCell ref="A9670:B9670"/>
    <mergeCell ref="A9671:B9671"/>
    <mergeCell ref="A9672:B9672"/>
    <mergeCell ref="A9673:B9673"/>
    <mergeCell ref="A9676:A9677"/>
    <mergeCell ref="B9676:B9677"/>
    <mergeCell ref="C9676:D9676"/>
    <mergeCell ref="E9676:F9676"/>
    <mergeCell ref="G9676:G9677"/>
    <mergeCell ref="H9676:H9677"/>
    <mergeCell ref="I9676:I9677"/>
    <mergeCell ref="J9676:J9677"/>
    <mergeCell ref="A9705:D9705"/>
    <mergeCell ref="A9706:B9706"/>
    <mergeCell ref="H9706:J9706"/>
    <mergeCell ref="A9707:B9707"/>
    <mergeCell ref="H9707:J9707"/>
    <mergeCell ref="A9708:B9708"/>
    <mergeCell ref="H9708:J9708"/>
    <mergeCell ref="H9709:J9709"/>
    <mergeCell ref="A9709:B9709"/>
    <mergeCell ref="A9710:B9710"/>
    <mergeCell ref="A9711:B9711"/>
    <mergeCell ref="A9712:B9712"/>
    <mergeCell ref="A9715:A9716"/>
    <mergeCell ref="B9715:B9716"/>
    <mergeCell ref="C9715:D9715"/>
    <mergeCell ref="E9715:F9715"/>
    <mergeCell ref="G9715:G9716"/>
    <mergeCell ref="H9715:H9716"/>
    <mergeCell ref="I9715:I9716"/>
    <mergeCell ref="J9715:J9716"/>
    <mergeCell ref="A9744:D9744"/>
    <mergeCell ref="A9745:B9745"/>
    <mergeCell ref="H9745:J9745"/>
    <mergeCell ref="A9746:B9746"/>
    <mergeCell ref="H9746:J9746"/>
    <mergeCell ref="A9747:B9747"/>
    <mergeCell ref="H9747:J9747"/>
    <mergeCell ref="H9748:J9748"/>
    <mergeCell ref="A9748:B9748"/>
    <mergeCell ref="A9749:B9749"/>
    <mergeCell ref="A9750:B9750"/>
    <mergeCell ref="A9751:B9751"/>
    <mergeCell ref="A9754:A9755"/>
    <mergeCell ref="B9754:B9755"/>
    <mergeCell ref="C9754:D9754"/>
    <mergeCell ref="E9754:F9754"/>
    <mergeCell ref="G9754:G9755"/>
    <mergeCell ref="H9754:H9755"/>
    <mergeCell ref="I9754:I9755"/>
    <mergeCell ref="J9754:J9755"/>
    <mergeCell ref="A9783:D9783"/>
    <mergeCell ref="A9784:B9784"/>
    <mergeCell ref="H9784:J9784"/>
    <mergeCell ref="A9785:B9785"/>
    <mergeCell ref="H9785:J9785"/>
    <mergeCell ref="A9786:B9786"/>
    <mergeCell ref="H9786:J9786"/>
    <mergeCell ref="H9787:J9787"/>
    <mergeCell ref="A9787:B9787"/>
    <mergeCell ref="A9788:B9788"/>
    <mergeCell ref="A9789:B9789"/>
    <mergeCell ref="A9790:B9790"/>
    <mergeCell ref="A9793:A9794"/>
    <mergeCell ref="B9793:B9794"/>
    <mergeCell ref="C9793:D9793"/>
    <mergeCell ref="E9793:F9793"/>
    <mergeCell ref="G9793:G9794"/>
    <mergeCell ref="H9793:H9794"/>
    <mergeCell ref="I9793:I9794"/>
    <mergeCell ref="J9793:J9794"/>
    <mergeCell ref="A9822:D9822"/>
    <mergeCell ref="A9823:B9823"/>
    <mergeCell ref="H9823:J9823"/>
    <mergeCell ref="A9824:B9824"/>
    <mergeCell ref="H9824:J9824"/>
    <mergeCell ref="A9825:B9825"/>
    <mergeCell ref="H9825:J9825"/>
    <mergeCell ref="H9826:J9826"/>
    <mergeCell ref="A9826:B9826"/>
    <mergeCell ref="A9827:B9827"/>
    <mergeCell ref="A9828:B9828"/>
    <mergeCell ref="A9829:B9829"/>
    <mergeCell ref="A9832:A9833"/>
    <mergeCell ref="B9832:B9833"/>
    <mergeCell ref="C9832:D9832"/>
    <mergeCell ref="E9832:F9832"/>
    <mergeCell ref="G9832:G9833"/>
    <mergeCell ref="H9832:H9833"/>
    <mergeCell ref="I9832:I9833"/>
    <mergeCell ref="J9832:J9833"/>
    <mergeCell ref="A9861:D9861"/>
    <mergeCell ref="A9862:B9862"/>
    <mergeCell ref="H9862:J9862"/>
    <mergeCell ref="A9863:B9863"/>
    <mergeCell ref="H9863:J9863"/>
    <mergeCell ref="A9864:B9864"/>
    <mergeCell ref="H9864:J9864"/>
    <mergeCell ref="H9865:J9865"/>
    <mergeCell ref="A9865:B9865"/>
    <mergeCell ref="A9866:B9866"/>
    <mergeCell ref="A9867:B9867"/>
    <mergeCell ref="A9868:B9868"/>
    <mergeCell ref="A9871:A9872"/>
    <mergeCell ref="B9871:B9872"/>
    <mergeCell ref="C9871:D9871"/>
    <mergeCell ref="E9871:F9871"/>
    <mergeCell ref="G9871:G9872"/>
    <mergeCell ref="H9871:H9872"/>
    <mergeCell ref="I9871:I9872"/>
    <mergeCell ref="J9871:J9872"/>
    <mergeCell ref="A9900:D9900"/>
    <mergeCell ref="A9901:B9901"/>
    <mergeCell ref="H9901:J9901"/>
    <mergeCell ref="A9902:B9902"/>
    <mergeCell ref="H9902:J9902"/>
    <mergeCell ref="A9903:B9903"/>
    <mergeCell ref="H9903:J9903"/>
    <mergeCell ref="H9904:J9904"/>
    <mergeCell ref="A9904:B9904"/>
    <mergeCell ref="A9905:B9905"/>
    <mergeCell ref="A9906:B9906"/>
    <mergeCell ref="A9907:B9907"/>
    <mergeCell ref="A9910:A9911"/>
    <mergeCell ref="B9910:B9911"/>
    <mergeCell ref="C9910:D9910"/>
    <mergeCell ref="E9910:F9910"/>
    <mergeCell ref="G9910:G9911"/>
    <mergeCell ref="H9910:H9911"/>
    <mergeCell ref="I9910:I9911"/>
    <mergeCell ref="J9910:J9911"/>
    <mergeCell ref="A9939:D9939"/>
    <mergeCell ref="A9940:B9940"/>
    <mergeCell ref="H9940:J9940"/>
    <mergeCell ref="A9941:B9941"/>
    <mergeCell ref="H9941:J9941"/>
    <mergeCell ref="A9942:B9942"/>
    <mergeCell ref="H9942:J9942"/>
    <mergeCell ref="H9943:J9943"/>
    <mergeCell ref="A9943:B9943"/>
    <mergeCell ref="A9944:B9944"/>
    <mergeCell ref="A9945:B9945"/>
    <mergeCell ref="A9946:B9946"/>
    <mergeCell ref="A9949:A9950"/>
    <mergeCell ref="B9949:B9950"/>
    <mergeCell ref="C9949:D9949"/>
    <mergeCell ref="E9949:F9949"/>
    <mergeCell ref="G9949:G9950"/>
    <mergeCell ref="H9949:H9950"/>
    <mergeCell ref="I9949:I9950"/>
    <mergeCell ref="J9949:J9950"/>
    <mergeCell ref="A9978:D9978"/>
    <mergeCell ref="A9979:B9979"/>
    <mergeCell ref="H9979:J9979"/>
    <mergeCell ref="A9980:B9980"/>
    <mergeCell ref="H9980:J9980"/>
    <mergeCell ref="A9981:B9981"/>
    <mergeCell ref="H9981:J9981"/>
    <mergeCell ref="H9982:J9982"/>
    <mergeCell ref="A9982:B9982"/>
    <mergeCell ref="A9983:B9983"/>
    <mergeCell ref="A9984:B9984"/>
    <mergeCell ref="A9985:B9985"/>
    <mergeCell ref="A9988:A9989"/>
    <mergeCell ref="B9988:B9989"/>
    <mergeCell ref="C9988:D9988"/>
    <mergeCell ref="E9988:F9988"/>
    <mergeCell ref="G9988:G9989"/>
    <mergeCell ref="H9988:H9989"/>
    <mergeCell ref="I9988:I9989"/>
    <mergeCell ref="J9988:J9989"/>
    <mergeCell ref="A10017:D10017"/>
    <mergeCell ref="A10018:B10018"/>
    <mergeCell ref="H10018:J10018"/>
    <mergeCell ref="A10019:B10019"/>
    <mergeCell ref="H10019:J10019"/>
    <mergeCell ref="A10020:B10020"/>
    <mergeCell ref="H10020:J10020"/>
    <mergeCell ref="H10021:J10021"/>
    <mergeCell ref="A10021:B10021"/>
    <mergeCell ref="A10022:B10022"/>
    <mergeCell ref="A10023:B10023"/>
    <mergeCell ref="A10024:B10024"/>
    <mergeCell ref="A10027:A10028"/>
    <mergeCell ref="B10027:B10028"/>
    <mergeCell ref="C10027:D10027"/>
    <mergeCell ref="E10027:F10027"/>
    <mergeCell ref="G10027:G10028"/>
    <mergeCell ref="H10027:H10028"/>
    <mergeCell ref="I10027:I10028"/>
    <mergeCell ref="J10027:J10028"/>
    <mergeCell ref="A10056:D10056"/>
    <mergeCell ref="A10057:B10057"/>
    <mergeCell ref="H10057:J10057"/>
    <mergeCell ref="A10058:B10058"/>
    <mergeCell ref="H10058:J10058"/>
    <mergeCell ref="A10059:B10059"/>
    <mergeCell ref="H10059:J10059"/>
    <mergeCell ref="H10060:J10060"/>
    <mergeCell ref="A10060:B10060"/>
    <mergeCell ref="A10061:B10061"/>
    <mergeCell ref="A10062:B10062"/>
    <mergeCell ref="A10063:B10063"/>
    <mergeCell ref="A10066:A10067"/>
    <mergeCell ref="B10066:B10067"/>
    <mergeCell ref="C10066:D10066"/>
    <mergeCell ref="E10066:F10066"/>
    <mergeCell ref="G10066:G10067"/>
    <mergeCell ref="H10066:H10067"/>
    <mergeCell ref="I10066:I10067"/>
    <mergeCell ref="J10066:J10067"/>
    <mergeCell ref="A10095:D10095"/>
    <mergeCell ref="A10096:B10096"/>
    <mergeCell ref="H10096:J10096"/>
    <mergeCell ref="A10097:B10097"/>
    <mergeCell ref="H10097:J10097"/>
    <mergeCell ref="A10098:B10098"/>
    <mergeCell ref="H10098:J10098"/>
    <mergeCell ref="H10099:J10099"/>
    <mergeCell ref="A10099:B10099"/>
    <mergeCell ref="A10100:B10100"/>
    <mergeCell ref="A10101:B10101"/>
    <mergeCell ref="A10102:B10102"/>
    <mergeCell ref="A10105:A10106"/>
    <mergeCell ref="B10105:B10106"/>
    <mergeCell ref="C10105:D10105"/>
    <mergeCell ref="E10105:F10105"/>
    <mergeCell ref="G10105:G10106"/>
    <mergeCell ref="H10105:H10106"/>
    <mergeCell ref="I10105:I10106"/>
    <mergeCell ref="J10105:J10106"/>
    <mergeCell ref="A10134:D10134"/>
    <mergeCell ref="A10135:B10135"/>
    <mergeCell ref="H10135:J10135"/>
    <mergeCell ref="A10136:B10136"/>
    <mergeCell ref="H10136:J10136"/>
    <mergeCell ref="A10137:B10137"/>
    <mergeCell ref="H10137:J10137"/>
    <mergeCell ref="H10138:J10138"/>
    <mergeCell ref="A10138:B10138"/>
    <mergeCell ref="A10139:B10139"/>
    <mergeCell ref="A10140:B10140"/>
    <mergeCell ref="A10141:B10141"/>
    <mergeCell ref="A10144:A10145"/>
    <mergeCell ref="B10144:B10145"/>
    <mergeCell ref="C10144:D10144"/>
    <mergeCell ref="E10144:F10144"/>
    <mergeCell ref="G10144:G10145"/>
    <mergeCell ref="H10144:H10145"/>
    <mergeCell ref="I10144:I10145"/>
    <mergeCell ref="J10144:J10145"/>
    <mergeCell ref="A10173:D10173"/>
    <mergeCell ref="A10174:B10174"/>
    <mergeCell ref="H10174:J10174"/>
    <mergeCell ref="A10175:B10175"/>
    <mergeCell ref="H10175:J10175"/>
    <mergeCell ref="A10176:B10176"/>
    <mergeCell ref="H10176:J10176"/>
    <mergeCell ref="H10177:J10177"/>
    <mergeCell ref="A10177:B10177"/>
    <mergeCell ref="A10178:B10178"/>
    <mergeCell ref="A10179:B10179"/>
    <mergeCell ref="A10180:B10180"/>
    <mergeCell ref="A10183:A10184"/>
    <mergeCell ref="B10183:B10184"/>
    <mergeCell ref="C10183:D10183"/>
    <mergeCell ref="E10183:F10183"/>
    <mergeCell ref="G10183:G10184"/>
    <mergeCell ref="H10183:H10184"/>
    <mergeCell ref="I10183:I10184"/>
    <mergeCell ref="J10183:J10184"/>
    <mergeCell ref="A10212:D10212"/>
    <mergeCell ref="A10213:B10213"/>
    <mergeCell ref="H10213:J10213"/>
    <mergeCell ref="A10214:B10214"/>
    <mergeCell ref="H10214:J10214"/>
    <mergeCell ref="A10215:B10215"/>
    <mergeCell ref="H10215:J10215"/>
    <mergeCell ref="H10216:J10216"/>
    <mergeCell ref="A10216:B10216"/>
    <mergeCell ref="A10217:B10217"/>
    <mergeCell ref="A10218:B10218"/>
    <mergeCell ref="A10219:B10219"/>
    <mergeCell ref="A10222:A10223"/>
    <mergeCell ref="B10222:B10223"/>
    <mergeCell ref="C10222:D10222"/>
    <mergeCell ref="E10222:F10222"/>
    <mergeCell ref="G10222:G10223"/>
    <mergeCell ref="H10222:H10223"/>
    <mergeCell ref="I10222:I10223"/>
    <mergeCell ref="J10222:J10223"/>
    <mergeCell ref="A10251:D10251"/>
    <mergeCell ref="A10252:B10252"/>
    <mergeCell ref="H10252:J10252"/>
    <mergeCell ref="A10253:B10253"/>
    <mergeCell ref="H10253:J10253"/>
    <mergeCell ref="A10254:B10254"/>
    <mergeCell ref="H10254:J10254"/>
    <mergeCell ref="H10255:J10255"/>
    <mergeCell ref="A10255:B10255"/>
    <mergeCell ref="A10256:B10256"/>
    <mergeCell ref="A10257:B10257"/>
    <mergeCell ref="A10258:B10258"/>
    <mergeCell ref="A10261:A10262"/>
    <mergeCell ref="B10261:B10262"/>
    <mergeCell ref="C10261:D10261"/>
    <mergeCell ref="E10261:F10261"/>
    <mergeCell ref="G10261:G10262"/>
    <mergeCell ref="H10261:H10262"/>
    <mergeCell ref="I10261:I10262"/>
    <mergeCell ref="J10261:J10262"/>
    <mergeCell ref="A10290:D10290"/>
    <mergeCell ref="A10291:B10291"/>
    <mergeCell ref="H10291:J10291"/>
    <mergeCell ref="A10292:B10292"/>
    <mergeCell ref="H10292:J10292"/>
    <mergeCell ref="A10293:B10293"/>
    <mergeCell ref="H10293:J10293"/>
    <mergeCell ref="H10294:J10294"/>
    <mergeCell ref="A10294:B10294"/>
    <mergeCell ref="A10295:B10295"/>
    <mergeCell ref="A10296:B10296"/>
    <mergeCell ref="A10297:B10297"/>
    <mergeCell ref="A10300:A10301"/>
    <mergeCell ref="B10300:B10301"/>
    <mergeCell ref="C10300:D10300"/>
    <mergeCell ref="E10300:F10300"/>
    <mergeCell ref="G10300:G10301"/>
    <mergeCell ref="H10300:H10301"/>
    <mergeCell ref="I10300:I10301"/>
    <mergeCell ref="J10300:J10301"/>
    <mergeCell ref="A10329:D10329"/>
    <mergeCell ref="A10330:B10330"/>
    <mergeCell ref="H10330:J10330"/>
    <mergeCell ref="A10331:B10331"/>
    <mergeCell ref="H10331:J10331"/>
    <mergeCell ref="A10332:B10332"/>
    <mergeCell ref="H10332:J10332"/>
    <mergeCell ref="H10333:J10333"/>
    <mergeCell ref="A10333:B10333"/>
    <mergeCell ref="A10334:B10334"/>
    <mergeCell ref="A10335:B10335"/>
    <mergeCell ref="A10336:B10336"/>
    <mergeCell ref="A10339:A10340"/>
    <mergeCell ref="B10339:B10340"/>
    <mergeCell ref="C10339:D10339"/>
    <mergeCell ref="E10339:F10339"/>
    <mergeCell ref="G10339:G10340"/>
    <mergeCell ref="H10339:H10340"/>
    <mergeCell ref="I10339:I10340"/>
    <mergeCell ref="J10339:J10340"/>
    <mergeCell ref="A10368:D10368"/>
    <mergeCell ref="A10369:B10369"/>
    <mergeCell ref="H10369:J10369"/>
    <mergeCell ref="A10370:B10370"/>
    <mergeCell ref="H10370:J10370"/>
    <mergeCell ref="A10371:B10371"/>
    <mergeCell ref="H10371:J10371"/>
    <mergeCell ref="H10372:J10372"/>
    <mergeCell ref="A10372:B10372"/>
    <mergeCell ref="A10373:B10373"/>
    <mergeCell ref="A10374:B10374"/>
    <mergeCell ref="A10375:B10375"/>
    <mergeCell ref="A10378:A10379"/>
    <mergeCell ref="B10378:B10379"/>
    <mergeCell ref="C10378:D10378"/>
    <mergeCell ref="E10378:F10378"/>
    <mergeCell ref="G10378:G10379"/>
    <mergeCell ref="H10378:H10379"/>
    <mergeCell ref="I10378:I10379"/>
    <mergeCell ref="J10378:J10379"/>
    <mergeCell ref="A10407:D10407"/>
    <mergeCell ref="A10408:B10408"/>
    <mergeCell ref="H10408:J10408"/>
    <mergeCell ref="A10409:B10409"/>
    <mergeCell ref="H10409:J10409"/>
    <mergeCell ref="A10410:B10410"/>
    <mergeCell ref="H10410:J10410"/>
    <mergeCell ref="H10411:J10411"/>
    <mergeCell ref="A10411:B10411"/>
    <mergeCell ref="A10412:B10412"/>
    <mergeCell ref="A10413:B10413"/>
    <mergeCell ref="A10414:B10414"/>
    <mergeCell ref="A10417:A10418"/>
    <mergeCell ref="B10417:B10418"/>
    <mergeCell ref="C10417:D10417"/>
    <mergeCell ref="E10417:F10417"/>
    <mergeCell ref="G10417:G10418"/>
    <mergeCell ref="H10417:H10418"/>
    <mergeCell ref="I10417:I10418"/>
    <mergeCell ref="J10417:J10418"/>
    <mergeCell ref="A10446:D10446"/>
    <mergeCell ref="A10447:B10447"/>
    <mergeCell ref="H10447:J10447"/>
    <mergeCell ref="A10448:B10448"/>
    <mergeCell ref="H10448:J10448"/>
    <mergeCell ref="A10449:B10449"/>
    <mergeCell ref="H10449:J10449"/>
    <mergeCell ref="H10450:J10450"/>
    <mergeCell ref="A10450:B10450"/>
    <mergeCell ref="A10451:B10451"/>
    <mergeCell ref="A10452:B10452"/>
    <mergeCell ref="A10453:B10453"/>
    <mergeCell ref="A10456:A10457"/>
    <mergeCell ref="B10456:B10457"/>
    <mergeCell ref="C10456:D10456"/>
    <mergeCell ref="E10456:F10456"/>
    <mergeCell ref="G10456:G10457"/>
    <mergeCell ref="H10456:H10457"/>
    <mergeCell ref="I10456:I10457"/>
    <mergeCell ref="J10456:J10457"/>
    <mergeCell ref="A10485:D10485"/>
    <mergeCell ref="A10486:B10486"/>
    <mergeCell ref="H10486:J10486"/>
    <mergeCell ref="A10487:B10487"/>
    <mergeCell ref="H10487:J10487"/>
    <mergeCell ref="A10488:B10488"/>
    <mergeCell ref="H10488:J10488"/>
    <mergeCell ref="H10489:J10489"/>
    <mergeCell ref="A10489:B10489"/>
    <mergeCell ref="A10490:B10490"/>
    <mergeCell ref="A10491:B10491"/>
    <mergeCell ref="A10492:B10492"/>
    <mergeCell ref="A10495:A10496"/>
    <mergeCell ref="B10495:B10496"/>
    <mergeCell ref="C10495:D10495"/>
    <mergeCell ref="E10495:F10495"/>
    <mergeCell ref="G10495:G10496"/>
    <mergeCell ref="H10495:H10496"/>
    <mergeCell ref="I10495:I10496"/>
    <mergeCell ref="J10495:J10496"/>
    <mergeCell ref="A10524:D10524"/>
    <mergeCell ref="A10525:B10525"/>
    <mergeCell ref="H10525:J10525"/>
    <mergeCell ref="A10526:B10526"/>
    <mergeCell ref="H10526:J10526"/>
    <mergeCell ref="A10527:B10527"/>
    <mergeCell ref="H10527:J10527"/>
    <mergeCell ref="H10528:J10528"/>
    <mergeCell ref="A10528:B10528"/>
    <mergeCell ref="A10529:B10529"/>
    <mergeCell ref="A10530:B10530"/>
    <mergeCell ref="A10531:B10531"/>
    <mergeCell ref="A10534:A10535"/>
    <mergeCell ref="B10534:B10535"/>
    <mergeCell ref="C10534:D10534"/>
    <mergeCell ref="E10534:F10534"/>
    <mergeCell ref="G10534:G10535"/>
    <mergeCell ref="H10534:H10535"/>
    <mergeCell ref="I10534:I10535"/>
    <mergeCell ref="J10534:J10535"/>
    <mergeCell ref="A10563:D10563"/>
    <mergeCell ref="A10564:B10564"/>
    <mergeCell ref="H10564:J10564"/>
    <mergeCell ref="A10565:B10565"/>
    <mergeCell ref="H10565:J10565"/>
    <mergeCell ref="A10566:B10566"/>
    <mergeCell ref="H10566:J10566"/>
    <mergeCell ref="H10567:J10567"/>
    <mergeCell ref="A10567:B10567"/>
    <mergeCell ref="A10568:B10568"/>
    <mergeCell ref="A10569:B10569"/>
    <mergeCell ref="A10570:B10570"/>
    <mergeCell ref="A10573:A10574"/>
    <mergeCell ref="B10573:B10574"/>
    <mergeCell ref="C10573:D10573"/>
    <mergeCell ref="E10573:F10573"/>
    <mergeCell ref="G10573:G10574"/>
    <mergeCell ref="H10573:H10574"/>
    <mergeCell ref="I10573:I10574"/>
    <mergeCell ref="J10573:J10574"/>
    <mergeCell ref="A10602:D10602"/>
    <mergeCell ref="A10603:B10603"/>
    <mergeCell ref="H10603:J10603"/>
    <mergeCell ref="A10604:B10604"/>
    <mergeCell ref="H10604:J10604"/>
    <mergeCell ref="A10605:B10605"/>
    <mergeCell ref="H10605:J10605"/>
    <mergeCell ref="H10606:J10606"/>
    <mergeCell ref="A10606:B10606"/>
    <mergeCell ref="A10607:B10607"/>
    <mergeCell ref="A10608:B10608"/>
    <mergeCell ref="A10609:B10609"/>
    <mergeCell ref="A10612:A10613"/>
    <mergeCell ref="B10612:B10613"/>
    <mergeCell ref="C10612:D10612"/>
    <mergeCell ref="E10612:F10612"/>
    <mergeCell ref="G10612:G10613"/>
    <mergeCell ref="H10612:H10613"/>
    <mergeCell ref="I10612:I10613"/>
    <mergeCell ref="J10612:J10613"/>
    <mergeCell ref="A10641:D10641"/>
    <mergeCell ref="A10642:B10642"/>
    <mergeCell ref="H10642:J10642"/>
    <mergeCell ref="A10643:B10643"/>
    <mergeCell ref="H10643:J10643"/>
    <mergeCell ref="A10644:B10644"/>
    <mergeCell ref="H10644:J10644"/>
    <mergeCell ref="H10645:J10645"/>
    <mergeCell ref="A10645:B10645"/>
    <mergeCell ref="A10646:B10646"/>
    <mergeCell ref="A10647:B10647"/>
    <mergeCell ref="A10648:B10648"/>
    <mergeCell ref="A10651:A10652"/>
    <mergeCell ref="B10651:B10652"/>
    <mergeCell ref="C10651:D10651"/>
    <mergeCell ref="E10651:F10651"/>
    <mergeCell ref="G10651:G10652"/>
    <mergeCell ref="H10651:H10652"/>
    <mergeCell ref="I10651:I10652"/>
    <mergeCell ref="J10651:J10652"/>
    <mergeCell ref="A10680:D10680"/>
    <mergeCell ref="A10681:B10681"/>
    <mergeCell ref="H10681:J10681"/>
    <mergeCell ref="A10682:B10682"/>
    <mergeCell ref="H10682:J10682"/>
    <mergeCell ref="A10683:B10683"/>
    <mergeCell ref="H10683:J10683"/>
    <mergeCell ref="H10684:J10684"/>
    <mergeCell ref="A10684:B10684"/>
    <mergeCell ref="A10685:B10685"/>
    <mergeCell ref="A10686:B10686"/>
    <mergeCell ref="A10687:B10687"/>
    <mergeCell ref="A10690:A10691"/>
    <mergeCell ref="B10690:B10691"/>
    <mergeCell ref="C10690:D10690"/>
    <mergeCell ref="E10690:F10690"/>
    <mergeCell ref="G10690:G10691"/>
    <mergeCell ref="H10690:H10691"/>
    <mergeCell ref="I10690:I10691"/>
    <mergeCell ref="J10690:J10691"/>
    <mergeCell ref="A10719:D10719"/>
    <mergeCell ref="A10720:B10720"/>
    <mergeCell ref="H10720:J10720"/>
    <mergeCell ref="A10721:B10721"/>
    <mergeCell ref="H10721:J10721"/>
    <mergeCell ref="A10722:B10722"/>
    <mergeCell ref="H10722:J10722"/>
    <mergeCell ref="H10723:J10723"/>
    <mergeCell ref="A10723:B10723"/>
    <mergeCell ref="A10724:B10724"/>
    <mergeCell ref="A10725:B10725"/>
    <mergeCell ref="A10726:B10726"/>
    <mergeCell ref="A10729:A10730"/>
    <mergeCell ref="B10729:B10730"/>
    <mergeCell ref="C10729:D10729"/>
    <mergeCell ref="E10729:F10729"/>
    <mergeCell ref="G10729:G10730"/>
    <mergeCell ref="H10729:H10730"/>
    <mergeCell ref="I10729:I10730"/>
    <mergeCell ref="J10729:J10730"/>
    <mergeCell ref="A10758:D10758"/>
    <mergeCell ref="A10759:B10759"/>
    <mergeCell ref="H10759:J10759"/>
    <mergeCell ref="A10760:B10760"/>
    <mergeCell ref="H10760:J10760"/>
    <mergeCell ref="A10761:B10761"/>
    <mergeCell ref="H10761:J10761"/>
    <mergeCell ref="H10762:J10762"/>
    <mergeCell ref="A10762:B10762"/>
    <mergeCell ref="A10763:B10763"/>
    <mergeCell ref="A10764:B10764"/>
    <mergeCell ref="A10765:B10765"/>
    <mergeCell ref="A10768:A10769"/>
    <mergeCell ref="B10768:B10769"/>
    <mergeCell ref="C10768:D10768"/>
    <mergeCell ref="E10768:F10768"/>
    <mergeCell ref="G10768:G10769"/>
    <mergeCell ref="H10768:H10769"/>
    <mergeCell ref="I10768:I10769"/>
    <mergeCell ref="J10768:J10769"/>
    <mergeCell ref="A10797:D10797"/>
    <mergeCell ref="A10798:B10798"/>
    <mergeCell ref="H10798:J10798"/>
    <mergeCell ref="A10799:B10799"/>
    <mergeCell ref="H10799:J10799"/>
    <mergeCell ref="A10800:B10800"/>
    <mergeCell ref="H10800:J10800"/>
    <mergeCell ref="H10801:J10801"/>
    <mergeCell ref="A10801:B10801"/>
    <mergeCell ref="A10802:B10802"/>
    <mergeCell ref="A10803:B10803"/>
    <mergeCell ref="A10804:B10804"/>
    <mergeCell ref="A10807:A10808"/>
    <mergeCell ref="B10807:B10808"/>
    <mergeCell ref="C10807:D10807"/>
    <mergeCell ref="E10807:F10807"/>
    <mergeCell ref="G10807:G10808"/>
    <mergeCell ref="H10807:H10808"/>
    <mergeCell ref="I10807:I10808"/>
    <mergeCell ref="J10807:J10808"/>
    <mergeCell ref="A10836:D10836"/>
    <mergeCell ref="A10837:B10837"/>
    <mergeCell ref="H10837:J10837"/>
    <mergeCell ref="A10838:B10838"/>
    <mergeCell ref="H10838:J10838"/>
    <mergeCell ref="A10839:B10839"/>
    <mergeCell ref="H10839:J10839"/>
    <mergeCell ref="H10840:J10840"/>
    <mergeCell ref="A10840:B10840"/>
    <mergeCell ref="A10841:B10841"/>
    <mergeCell ref="A10842:B10842"/>
    <mergeCell ref="A10843:B10843"/>
    <mergeCell ref="A10846:A10847"/>
    <mergeCell ref="B10846:B10847"/>
    <mergeCell ref="C10846:D10846"/>
    <mergeCell ref="E10846:F10846"/>
    <mergeCell ref="G10846:G10847"/>
    <mergeCell ref="H10846:H10847"/>
    <mergeCell ref="I10846:I10847"/>
    <mergeCell ref="J10846:J10847"/>
    <mergeCell ref="A10875:D10875"/>
    <mergeCell ref="A10876:B10876"/>
    <mergeCell ref="H10876:J10876"/>
    <mergeCell ref="A10877:B10877"/>
    <mergeCell ref="H10877:J10877"/>
    <mergeCell ref="A10878:B10878"/>
    <mergeCell ref="H10878:J10878"/>
    <mergeCell ref="H10879:J10879"/>
    <mergeCell ref="A10879:B10879"/>
    <mergeCell ref="A10880:B10880"/>
    <mergeCell ref="A10881:B10881"/>
    <mergeCell ref="A10882:B10882"/>
    <mergeCell ref="A10885:A10886"/>
    <mergeCell ref="B10885:B10886"/>
    <mergeCell ref="C10885:D10885"/>
    <mergeCell ref="E10885:F10885"/>
    <mergeCell ref="G10885:G10886"/>
    <mergeCell ref="H10885:H10886"/>
    <mergeCell ref="I10885:I10886"/>
    <mergeCell ref="J10885:J10886"/>
    <mergeCell ref="A10914:D10914"/>
    <mergeCell ref="A10915:B10915"/>
    <mergeCell ref="H10915:J10915"/>
    <mergeCell ref="A10916:B10916"/>
    <mergeCell ref="H10916:J10916"/>
    <mergeCell ref="A10917:B10917"/>
    <mergeCell ref="H10917:J10917"/>
    <mergeCell ref="H10918:J10918"/>
    <mergeCell ref="A10918:B10918"/>
    <mergeCell ref="A10919:B10919"/>
    <mergeCell ref="A10920:B10920"/>
    <mergeCell ref="A10921:B10921"/>
    <mergeCell ref="A10924:A10925"/>
    <mergeCell ref="B10924:B10925"/>
    <mergeCell ref="C10924:D10924"/>
    <mergeCell ref="E10924:F10924"/>
    <mergeCell ref="G10924:G10925"/>
    <mergeCell ref="H10924:H10925"/>
    <mergeCell ref="I10924:I10925"/>
    <mergeCell ref="J10924:J10925"/>
    <mergeCell ref="A10953:D10953"/>
    <mergeCell ref="A10954:B10954"/>
    <mergeCell ref="H10954:J10954"/>
    <mergeCell ref="A10955:B10955"/>
    <mergeCell ref="H10955:J10955"/>
    <mergeCell ref="A10956:B10956"/>
    <mergeCell ref="H10956:J10956"/>
    <mergeCell ref="H10957:J10957"/>
    <mergeCell ref="A10957:B10957"/>
    <mergeCell ref="A10958:B10958"/>
    <mergeCell ref="A10959:B10959"/>
    <mergeCell ref="A10960:B10960"/>
    <mergeCell ref="A10963:A10964"/>
    <mergeCell ref="B10963:B10964"/>
    <mergeCell ref="C10963:D10963"/>
    <mergeCell ref="E10963:F10963"/>
    <mergeCell ref="G10963:G10964"/>
    <mergeCell ref="H10963:H10964"/>
    <mergeCell ref="I10963:I10964"/>
    <mergeCell ref="J10963:J10964"/>
    <mergeCell ref="A10992:D10992"/>
    <mergeCell ref="A10993:B10993"/>
    <mergeCell ref="H10993:J10993"/>
    <mergeCell ref="A10994:B10994"/>
    <mergeCell ref="H10994:J10994"/>
    <mergeCell ref="A10995:B10995"/>
    <mergeCell ref="H10995:J10995"/>
    <mergeCell ref="H10996:J10996"/>
    <mergeCell ref="A10996:B10996"/>
    <mergeCell ref="A10997:B10997"/>
    <mergeCell ref="A10998:B10998"/>
    <mergeCell ref="A10999:B10999"/>
    <mergeCell ref="A11002:A11003"/>
    <mergeCell ref="B11002:B11003"/>
    <mergeCell ref="C11002:D11002"/>
    <mergeCell ref="E11002:F11002"/>
    <mergeCell ref="G11002:G11003"/>
    <mergeCell ref="H11002:H11003"/>
    <mergeCell ref="I11002:I11003"/>
    <mergeCell ref="J11002:J11003"/>
    <mergeCell ref="A11031:D11031"/>
    <mergeCell ref="A11032:B11032"/>
    <mergeCell ref="H11032:J11032"/>
    <mergeCell ref="A11033:B11033"/>
    <mergeCell ref="H11033:J11033"/>
    <mergeCell ref="A11034:B11034"/>
    <mergeCell ref="H11034:J11034"/>
    <mergeCell ref="H11035:J11035"/>
    <mergeCell ref="A11035:B11035"/>
    <mergeCell ref="A11036:B11036"/>
    <mergeCell ref="A11037:B11037"/>
    <mergeCell ref="A11038:B11038"/>
    <mergeCell ref="A11041:A11042"/>
    <mergeCell ref="B11041:B11042"/>
    <mergeCell ref="C11041:D11041"/>
    <mergeCell ref="E11041:F11041"/>
    <mergeCell ref="G11041:G11042"/>
    <mergeCell ref="H11041:H11042"/>
    <mergeCell ref="I11041:I11042"/>
    <mergeCell ref="J11041:J11042"/>
    <mergeCell ref="A11070:D11070"/>
    <mergeCell ref="A11071:B11071"/>
    <mergeCell ref="H11071:J11071"/>
    <mergeCell ref="A11072:B11072"/>
    <mergeCell ref="H11072:J11072"/>
    <mergeCell ref="A11073:B11073"/>
    <mergeCell ref="H11073:J11073"/>
    <mergeCell ref="H11074:J11074"/>
    <mergeCell ref="A11074:B11074"/>
    <mergeCell ref="A11075:B11075"/>
    <mergeCell ref="A11076:B11076"/>
    <mergeCell ref="A11077:B11077"/>
    <mergeCell ref="A11080:A11081"/>
    <mergeCell ref="B11080:B11081"/>
    <mergeCell ref="C11080:D11080"/>
    <mergeCell ref="E11080:F11080"/>
    <mergeCell ref="G11080:G11081"/>
    <mergeCell ref="H11080:H11081"/>
    <mergeCell ref="I11080:I11081"/>
    <mergeCell ref="J11080:J11081"/>
    <mergeCell ref="A11109:D11109"/>
    <mergeCell ref="A11110:B11110"/>
    <mergeCell ref="H11110:J11110"/>
    <mergeCell ref="A11111:B11111"/>
    <mergeCell ref="H11111:J11111"/>
    <mergeCell ref="A11112:B11112"/>
    <mergeCell ref="H11112:J11112"/>
    <mergeCell ref="H11113:J11113"/>
    <mergeCell ref="A11113:B11113"/>
    <mergeCell ref="A11114:B11114"/>
    <mergeCell ref="A11115:B11115"/>
    <mergeCell ref="A11116:B11116"/>
    <mergeCell ref="A11119:A11120"/>
    <mergeCell ref="B11119:B11120"/>
    <mergeCell ref="C11119:D11119"/>
    <mergeCell ref="E11119:F11119"/>
    <mergeCell ref="G11119:G11120"/>
    <mergeCell ref="H11119:H11120"/>
    <mergeCell ref="I11119:I11120"/>
    <mergeCell ref="J11119:J11120"/>
    <mergeCell ref="A11148:D11148"/>
    <mergeCell ref="A11149:B11149"/>
    <mergeCell ref="H11149:J11149"/>
    <mergeCell ref="A11150:B11150"/>
    <mergeCell ref="H11150:J11150"/>
    <mergeCell ref="A11151:B11151"/>
    <mergeCell ref="H11151:J11151"/>
    <mergeCell ref="H11152:J11152"/>
    <mergeCell ref="A11152:B11152"/>
    <mergeCell ref="A11153:B11153"/>
    <mergeCell ref="A11154:B11154"/>
    <mergeCell ref="A11155:B11155"/>
    <mergeCell ref="A11158:A11159"/>
    <mergeCell ref="B11158:B11159"/>
    <mergeCell ref="C11158:D11158"/>
    <mergeCell ref="E11158:F11158"/>
    <mergeCell ref="G11158:G11159"/>
    <mergeCell ref="H11158:H11159"/>
    <mergeCell ref="I11158:I11159"/>
    <mergeCell ref="J11158:J11159"/>
    <mergeCell ref="A11187:D11187"/>
    <mergeCell ref="A11188:B11188"/>
    <mergeCell ref="H11188:J11188"/>
    <mergeCell ref="A11189:B11189"/>
    <mergeCell ref="H11189:J11189"/>
    <mergeCell ref="A11190:B11190"/>
    <mergeCell ref="H11190:J11190"/>
    <mergeCell ref="H11191:J11191"/>
    <mergeCell ref="A11191:B11191"/>
    <mergeCell ref="A11192:B11192"/>
    <mergeCell ref="A11193:B11193"/>
    <mergeCell ref="A11194:B11194"/>
    <mergeCell ref="A11197:A11198"/>
    <mergeCell ref="B11197:B11198"/>
    <mergeCell ref="C11197:D11197"/>
    <mergeCell ref="E11197:F11197"/>
    <mergeCell ref="G11197:G11198"/>
    <mergeCell ref="H11197:H11198"/>
    <mergeCell ref="I11197:I11198"/>
    <mergeCell ref="J11197:J11198"/>
    <mergeCell ref="A11226:D11226"/>
    <mergeCell ref="A11227:B11227"/>
    <mergeCell ref="H11227:J11227"/>
    <mergeCell ref="A11228:B11228"/>
    <mergeCell ref="H11228:J11228"/>
    <mergeCell ref="A11229:B11229"/>
    <mergeCell ref="H11229:J11229"/>
    <mergeCell ref="H11230:J11230"/>
    <mergeCell ref="A11230:B11230"/>
    <mergeCell ref="A11231:B11231"/>
    <mergeCell ref="A11232:B11232"/>
    <mergeCell ref="A11233:B11233"/>
    <mergeCell ref="A11236:A11237"/>
    <mergeCell ref="B11236:B11237"/>
    <mergeCell ref="C11236:D11236"/>
    <mergeCell ref="E11236:F11236"/>
    <mergeCell ref="G11236:G11237"/>
    <mergeCell ref="H11236:H11237"/>
    <mergeCell ref="I11236:I11237"/>
    <mergeCell ref="J11236:J11237"/>
    <mergeCell ref="A11265:D11265"/>
    <mergeCell ref="A11266:B11266"/>
    <mergeCell ref="H11266:J11266"/>
    <mergeCell ref="A11267:B11267"/>
    <mergeCell ref="H11267:J11267"/>
    <mergeCell ref="A11268:B11268"/>
    <mergeCell ref="H11268:J11268"/>
    <mergeCell ref="H11269:J11269"/>
    <mergeCell ref="A11269:B11269"/>
    <mergeCell ref="A11270:B11270"/>
    <mergeCell ref="A11271:B11271"/>
    <mergeCell ref="A11272:B11272"/>
    <mergeCell ref="A11275:A11276"/>
    <mergeCell ref="B11275:B11276"/>
    <mergeCell ref="C11275:D11275"/>
    <mergeCell ref="E11275:F11275"/>
    <mergeCell ref="G11275:G11276"/>
    <mergeCell ref="H11275:H11276"/>
    <mergeCell ref="I11275:I11276"/>
    <mergeCell ref="J11275:J11276"/>
    <mergeCell ref="A11304:D11304"/>
    <mergeCell ref="A11305:B11305"/>
    <mergeCell ref="H11305:J11305"/>
    <mergeCell ref="A11306:B11306"/>
    <mergeCell ref="H11306:J11306"/>
    <mergeCell ref="A11307:B11307"/>
    <mergeCell ref="H11307:J11307"/>
    <mergeCell ref="H11308:J11308"/>
    <mergeCell ref="A11308:B11308"/>
    <mergeCell ref="A11309:B11309"/>
    <mergeCell ref="A11310:B11310"/>
    <mergeCell ref="A11311:B11311"/>
    <mergeCell ref="A11314:A11315"/>
    <mergeCell ref="B11314:B11315"/>
    <mergeCell ref="C11314:D11314"/>
    <mergeCell ref="E11314:F11314"/>
    <mergeCell ref="G11314:G11315"/>
    <mergeCell ref="H11314:H11315"/>
    <mergeCell ref="I11314:I11315"/>
    <mergeCell ref="J11314:J11315"/>
    <mergeCell ref="A11343:D11343"/>
    <mergeCell ref="A11344:B11344"/>
    <mergeCell ref="H11344:J11344"/>
    <mergeCell ref="A11345:B11345"/>
    <mergeCell ref="H11345:J11345"/>
    <mergeCell ref="A11346:B11346"/>
    <mergeCell ref="H11346:J11346"/>
    <mergeCell ref="H11347:J11347"/>
    <mergeCell ref="A11347:B11347"/>
    <mergeCell ref="A11348:B11348"/>
    <mergeCell ref="A11349:B11349"/>
    <mergeCell ref="A11350:B11350"/>
    <mergeCell ref="A11353:A11354"/>
    <mergeCell ref="B11353:B11354"/>
    <mergeCell ref="C11353:D11353"/>
    <mergeCell ref="E11353:F11353"/>
    <mergeCell ref="G11353:G11354"/>
    <mergeCell ref="H11353:H11354"/>
    <mergeCell ref="I11353:I11354"/>
    <mergeCell ref="J11353:J11354"/>
    <mergeCell ref="A11382:D11382"/>
    <mergeCell ref="A11383:B11383"/>
    <mergeCell ref="H11383:J11383"/>
    <mergeCell ref="A11384:B11384"/>
    <mergeCell ref="H11384:J11384"/>
    <mergeCell ref="A11385:B11385"/>
    <mergeCell ref="H11385:J11385"/>
    <mergeCell ref="H11386:J11386"/>
    <mergeCell ref="A11386:B11386"/>
    <mergeCell ref="A11387:B11387"/>
    <mergeCell ref="A11388:B11388"/>
    <mergeCell ref="A11389:B11389"/>
    <mergeCell ref="A11392:A11393"/>
    <mergeCell ref="B11392:B11393"/>
    <mergeCell ref="C11392:D11392"/>
    <mergeCell ref="E11392:F11392"/>
    <mergeCell ref="G11392:G11393"/>
    <mergeCell ref="H11392:H11393"/>
    <mergeCell ref="I11392:I11393"/>
    <mergeCell ref="J11392:J11393"/>
    <mergeCell ref="A11421:D11421"/>
    <mergeCell ref="A11422:B11422"/>
    <mergeCell ref="H11422:J11422"/>
    <mergeCell ref="A11423:B11423"/>
    <mergeCell ref="H11423:J11423"/>
    <mergeCell ref="A11424:B11424"/>
    <mergeCell ref="H11424:J11424"/>
    <mergeCell ref="H11425:J11425"/>
    <mergeCell ref="A11425:B11425"/>
    <mergeCell ref="A11426:B11426"/>
    <mergeCell ref="A11427:B11427"/>
    <mergeCell ref="A11428:B11428"/>
    <mergeCell ref="A11431:A11432"/>
    <mergeCell ref="B11431:B11432"/>
    <mergeCell ref="C11431:D11431"/>
    <mergeCell ref="E11431:F11431"/>
    <mergeCell ref="G11431:G11432"/>
    <mergeCell ref="H11431:H11432"/>
    <mergeCell ref="I11431:I11432"/>
    <mergeCell ref="J11431:J11432"/>
    <mergeCell ref="A11460:D11460"/>
    <mergeCell ref="A11461:B11461"/>
    <mergeCell ref="H11461:J11461"/>
    <mergeCell ref="A11462:B11462"/>
    <mergeCell ref="H11462:J11462"/>
    <mergeCell ref="A11463:B11463"/>
    <mergeCell ref="H11463:J11463"/>
    <mergeCell ref="H11464:J11464"/>
    <mergeCell ref="A11464:B11464"/>
    <mergeCell ref="A11465:B11465"/>
    <mergeCell ref="A11466:B11466"/>
    <mergeCell ref="A11467:B11467"/>
    <mergeCell ref="A11470:A11471"/>
    <mergeCell ref="B11470:B11471"/>
    <mergeCell ref="C11470:D11470"/>
    <mergeCell ref="E11470:F11470"/>
    <mergeCell ref="G11470:G11471"/>
    <mergeCell ref="H11470:H11471"/>
    <mergeCell ref="I11470:I11471"/>
    <mergeCell ref="J11470:J11471"/>
    <mergeCell ref="A11499:D11499"/>
    <mergeCell ref="A11500:B11500"/>
    <mergeCell ref="H11500:J11500"/>
    <mergeCell ref="A11501:B11501"/>
    <mergeCell ref="H11501:J11501"/>
    <mergeCell ref="A11502:B11502"/>
    <mergeCell ref="H11502:J11502"/>
    <mergeCell ref="H11503:J11503"/>
    <mergeCell ref="A11503:B11503"/>
    <mergeCell ref="A11504:B11504"/>
    <mergeCell ref="A11505:B11505"/>
    <mergeCell ref="A11506:B11506"/>
    <mergeCell ref="A11509:A11510"/>
    <mergeCell ref="B11509:B11510"/>
    <mergeCell ref="C11509:D11509"/>
    <mergeCell ref="E11509:F11509"/>
    <mergeCell ref="G11509:G11510"/>
    <mergeCell ref="H11509:H11510"/>
    <mergeCell ref="I11509:I11510"/>
    <mergeCell ref="J11509:J11510"/>
    <mergeCell ref="A11538:D11538"/>
    <mergeCell ref="A11539:B11539"/>
    <mergeCell ref="H11539:J11539"/>
    <mergeCell ref="A11540:B11540"/>
    <mergeCell ref="H11540:J11540"/>
    <mergeCell ref="A11541:B11541"/>
    <mergeCell ref="H11541:J11541"/>
    <mergeCell ref="H11542:J11542"/>
    <mergeCell ref="A11542:B11542"/>
    <mergeCell ref="A11543:B11543"/>
    <mergeCell ref="A11544:B11544"/>
    <mergeCell ref="A11545:B11545"/>
    <mergeCell ref="A11548:A11549"/>
    <mergeCell ref="B11548:B11549"/>
    <mergeCell ref="C11548:D11548"/>
    <mergeCell ref="E11548:F11548"/>
    <mergeCell ref="G11548:G11549"/>
    <mergeCell ref="H11548:H11549"/>
    <mergeCell ref="I11548:I11549"/>
    <mergeCell ref="J11548:J11549"/>
    <mergeCell ref="A11577:D11577"/>
    <mergeCell ref="A11578:B11578"/>
    <mergeCell ref="H11578:J11578"/>
    <mergeCell ref="A11579:B11579"/>
    <mergeCell ref="H11579:J11579"/>
    <mergeCell ref="A11580:B11580"/>
    <mergeCell ref="H11580:J11580"/>
    <mergeCell ref="H11581:J11581"/>
    <mergeCell ref="A11581:B11581"/>
    <mergeCell ref="A11582:B11582"/>
    <mergeCell ref="A11583:B11583"/>
    <mergeCell ref="A11584:B11584"/>
    <mergeCell ref="A11587:A11588"/>
    <mergeCell ref="B11587:B11588"/>
    <mergeCell ref="C11587:D11587"/>
    <mergeCell ref="E11587:F11587"/>
    <mergeCell ref="G11587:G11588"/>
    <mergeCell ref="H11587:H11588"/>
    <mergeCell ref="I11587:I11588"/>
    <mergeCell ref="J11587:J11588"/>
    <mergeCell ref="A11616:D11616"/>
    <mergeCell ref="A11617:B11617"/>
    <mergeCell ref="H11617:J11617"/>
    <mergeCell ref="A11618:B11618"/>
    <mergeCell ref="H11618:J11618"/>
    <mergeCell ref="A11619:B11619"/>
    <mergeCell ref="H11619:J11619"/>
    <mergeCell ref="H11620:J11620"/>
    <mergeCell ref="A11620:B11620"/>
    <mergeCell ref="A11621:B11621"/>
    <mergeCell ref="A11622:B11622"/>
    <mergeCell ref="A11623:B11623"/>
    <mergeCell ref="A11626:A11627"/>
    <mergeCell ref="B11626:B11627"/>
    <mergeCell ref="C11626:D11626"/>
    <mergeCell ref="E11626:F11626"/>
    <mergeCell ref="G11626:G11627"/>
    <mergeCell ref="H11626:H11627"/>
    <mergeCell ref="I11626:I11627"/>
    <mergeCell ref="J11626:J11627"/>
    <mergeCell ref="A11655:D11655"/>
    <mergeCell ref="A11656:B11656"/>
    <mergeCell ref="H11656:J11656"/>
    <mergeCell ref="A11657:B11657"/>
    <mergeCell ref="H11657:J11657"/>
    <mergeCell ref="A11658:B11658"/>
    <mergeCell ref="H11658:J11658"/>
    <mergeCell ref="H11659:J11659"/>
    <mergeCell ref="A11659:B11659"/>
    <mergeCell ref="A11660:B11660"/>
    <mergeCell ref="A11661:B11661"/>
    <mergeCell ref="A11662:B11662"/>
    <mergeCell ref="A11665:A11666"/>
    <mergeCell ref="B11665:B11666"/>
    <mergeCell ref="C11665:D11665"/>
    <mergeCell ref="E11665:F11665"/>
    <mergeCell ref="G11665:G11666"/>
    <mergeCell ref="H11665:H11666"/>
    <mergeCell ref="I11665:I11666"/>
    <mergeCell ref="J11665:J11666"/>
    <mergeCell ref="A11694:D11694"/>
    <mergeCell ref="A11695:B11695"/>
    <mergeCell ref="H11695:J11695"/>
    <mergeCell ref="A11696:B11696"/>
    <mergeCell ref="H11696:J11696"/>
    <mergeCell ref="A11697:B11697"/>
    <mergeCell ref="H11697:J11697"/>
    <mergeCell ref="H11698:J11698"/>
    <mergeCell ref="A11698:B11698"/>
    <mergeCell ref="A11699:B11699"/>
    <mergeCell ref="A11700:B11700"/>
    <mergeCell ref="A11701:B11701"/>
    <mergeCell ref="A11704:A11705"/>
    <mergeCell ref="B11704:B11705"/>
    <mergeCell ref="C11704:D11704"/>
    <mergeCell ref="E11704:F11704"/>
    <mergeCell ref="G11704:G11705"/>
    <mergeCell ref="H11704:H11705"/>
    <mergeCell ref="I11704:I11705"/>
    <mergeCell ref="J11704:J11705"/>
    <mergeCell ref="A11733:D11733"/>
    <mergeCell ref="A11734:B11734"/>
    <mergeCell ref="H11734:J11734"/>
    <mergeCell ref="A11735:B11735"/>
    <mergeCell ref="H11735:J11735"/>
    <mergeCell ref="A11736:B11736"/>
    <mergeCell ref="H11736:J11736"/>
    <mergeCell ref="H11737:J11737"/>
    <mergeCell ref="A11737:B11737"/>
    <mergeCell ref="A11738:B11738"/>
    <mergeCell ref="A11739:B11739"/>
    <mergeCell ref="A11740:B11740"/>
    <mergeCell ref="A11743:A11744"/>
    <mergeCell ref="B11743:B11744"/>
    <mergeCell ref="C11743:D11743"/>
    <mergeCell ref="E11743:F11743"/>
    <mergeCell ref="G11743:G11744"/>
    <mergeCell ref="H11743:H11744"/>
    <mergeCell ref="I11743:I11744"/>
    <mergeCell ref="J11743:J11744"/>
    <mergeCell ref="A11772:D11772"/>
    <mergeCell ref="A11773:B11773"/>
    <mergeCell ref="H11773:J11773"/>
    <mergeCell ref="A11774:B11774"/>
    <mergeCell ref="H11774:J11774"/>
    <mergeCell ref="A11775:B11775"/>
    <mergeCell ref="H11775:J11775"/>
    <mergeCell ref="H11776:J11776"/>
    <mergeCell ref="A11776:B11776"/>
    <mergeCell ref="A11777:B11777"/>
    <mergeCell ref="A11778:B11778"/>
    <mergeCell ref="A11779:B11779"/>
    <mergeCell ref="A11782:A11783"/>
    <mergeCell ref="B11782:B11783"/>
    <mergeCell ref="C11782:D11782"/>
    <mergeCell ref="E11782:F11782"/>
    <mergeCell ref="G11782:G11783"/>
    <mergeCell ref="H11782:H11783"/>
    <mergeCell ref="I11782:I11783"/>
    <mergeCell ref="J11782:J11783"/>
    <mergeCell ref="A11811:D11811"/>
    <mergeCell ref="A11812:B11812"/>
    <mergeCell ref="H11812:J11812"/>
    <mergeCell ref="A11813:B11813"/>
    <mergeCell ref="H11813:J11813"/>
    <mergeCell ref="A11814:B11814"/>
    <mergeCell ref="H11814:J11814"/>
    <mergeCell ref="H11815:J11815"/>
    <mergeCell ref="A11815:B11815"/>
    <mergeCell ref="A11816:B11816"/>
    <mergeCell ref="A11817:B11817"/>
    <mergeCell ref="A11818:B11818"/>
    <mergeCell ref="A11821:A11822"/>
    <mergeCell ref="B11821:B11822"/>
    <mergeCell ref="C11821:D11821"/>
    <mergeCell ref="E11821:F11821"/>
    <mergeCell ref="G11821:G11822"/>
    <mergeCell ref="H11821:H11822"/>
    <mergeCell ref="I11821:I11822"/>
    <mergeCell ref="J11821:J11822"/>
    <mergeCell ref="A11850:D11850"/>
    <mergeCell ref="A11851:B11851"/>
    <mergeCell ref="H11851:J11851"/>
    <mergeCell ref="A11852:B11852"/>
    <mergeCell ref="H11852:J11852"/>
    <mergeCell ref="A11853:B11853"/>
    <mergeCell ref="H11853:J11853"/>
    <mergeCell ref="H11854:J11854"/>
    <mergeCell ref="A11854:B11854"/>
    <mergeCell ref="A11855:B11855"/>
    <mergeCell ref="A11856:B11856"/>
    <mergeCell ref="A11857:B11857"/>
    <mergeCell ref="A11860:A11861"/>
    <mergeCell ref="B11860:B11861"/>
    <mergeCell ref="C11860:D11860"/>
    <mergeCell ref="E11860:F11860"/>
    <mergeCell ref="G11860:G11861"/>
    <mergeCell ref="H11860:H11861"/>
    <mergeCell ref="I11860:I11861"/>
    <mergeCell ref="J11860:J11861"/>
    <mergeCell ref="A11889:D11889"/>
    <mergeCell ref="A11890:B11890"/>
    <mergeCell ref="H11890:J11890"/>
    <mergeCell ref="A11891:B11891"/>
    <mergeCell ref="H11891:J11891"/>
    <mergeCell ref="A11892:B11892"/>
    <mergeCell ref="H11892:J11892"/>
    <mergeCell ref="H11893:J11893"/>
    <mergeCell ref="A11893:B11893"/>
    <mergeCell ref="A11894:B11894"/>
    <mergeCell ref="A11895:B11895"/>
    <mergeCell ref="A11896:B11896"/>
    <mergeCell ref="A11899:A11900"/>
    <mergeCell ref="B11899:B11900"/>
    <mergeCell ref="C11899:D11899"/>
    <mergeCell ref="E11899:F11899"/>
    <mergeCell ref="G11899:G11900"/>
    <mergeCell ref="H11899:H11900"/>
    <mergeCell ref="I11899:I11900"/>
    <mergeCell ref="J11899:J11900"/>
    <mergeCell ref="A11928:D11928"/>
    <mergeCell ref="A11929:B11929"/>
    <mergeCell ref="H11929:J11929"/>
    <mergeCell ref="A11930:B11930"/>
    <mergeCell ref="H11930:J11930"/>
    <mergeCell ref="A11931:B11931"/>
    <mergeCell ref="H11931:J11931"/>
    <mergeCell ref="H11932:J11932"/>
    <mergeCell ref="A11932:B11932"/>
    <mergeCell ref="A11933:B11933"/>
    <mergeCell ref="A11934:B11934"/>
    <mergeCell ref="A11935:B11935"/>
    <mergeCell ref="A11938:A11939"/>
    <mergeCell ref="B11938:B11939"/>
    <mergeCell ref="C11938:D11938"/>
    <mergeCell ref="E11938:F11938"/>
    <mergeCell ref="G11938:G11939"/>
    <mergeCell ref="H11938:H11939"/>
    <mergeCell ref="I11938:I11939"/>
    <mergeCell ref="J11938:J11939"/>
    <mergeCell ref="A11967:D11967"/>
    <mergeCell ref="A11968:B11968"/>
    <mergeCell ref="H11968:J11968"/>
    <mergeCell ref="A11969:B11969"/>
    <mergeCell ref="H11969:J11969"/>
    <mergeCell ref="A11970:B11970"/>
    <mergeCell ref="H11970:J11970"/>
    <mergeCell ref="H11971:J11971"/>
    <mergeCell ref="A11971:B11971"/>
    <mergeCell ref="A11972:B11972"/>
    <mergeCell ref="A11973:B11973"/>
    <mergeCell ref="A11974:B11974"/>
    <mergeCell ref="A11977:A11978"/>
    <mergeCell ref="B11977:B11978"/>
    <mergeCell ref="C11977:D11977"/>
    <mergeCell ref="E11977:F11977"/>
    <mergeCell ref="G11977:G11978"/>
    <mergeCell ref="H11977:H11978"/>
    <mergeCell ref="I11977:I11978"/>
    <mergeCell ref="J11977:J11978"/>
    <mergeCell ref="A12006:D12006"/>
    <mergeCell ref="A12007:B12007"/>
    <mergeCell ref="H12007:J12007"/>
    <mergeCell ref="A12008:B12008"/>
    <mergeCell ref="H12008:J12008"/>
    <mergeCell ref="A12009:B12009"/>
    <mergeCell ref="H12009:J12009"/>
    <mergeCell ref="H12010:J12010"/>
    <mergeCell ref="A12010:B12010"/>
    <mergeCell ref="A12011:B12011"/>
    <mergeCell ref="A12012:B12012"/>
    <mergeCell ref="A12013:B12013"/>
    <mergeCell ref="A12016:A12017"/>
    <mergeCell ref="B12016:B12017"/>
    <mergeCell ref="C12016:D12016"/>
    <mergeCell ref="E12016:F12016"/>
    <mergeCell ref="G12016:G12017"/>
    <mergeCell ref="H12016:H12017"/>
    <mergeCell ref="I12016:I12017"/>
    <mergeCell ref="J12016:J12017"/>
    <mergeCell ref="A12045:D12045"/>
    <mergeCell ref="A12046:B12046"/>
    <mergeCell ref="H12046:J12046"/>
    <mergeCell ref="A12047:B12047"/>
    <mergeCell ref="H12047:J12047"/>
    <mergeCell ref="A12048:B12048"/>
    <mergeCell ref="H12048:J12048"/>
    <mergeCell ref="H12049:J12049"/>
    <mergeCell ref="A12049:B12049"/>
    <mergeCell ref="A12050:B12050"/>
    <mergeCell ref="A12051:B12051"/>
    <mergeCell ref="A12052:B12052"/>
    <mergeCell ref="A12055:A12056"/>
    <mergeCell ref="B12055:B12056"/>
    <mergeCell ref="C12055:D12055"/>
    <mergeCell ref="E12055:F12055"/>
    <mergeCell ref="G12055:G12056"/>
    <mergeCell ref="H12055:H12056"/>
    <mergeCell ref="I12055:I12056"/>
    <mergeCell ref="J12055:J12056"/>
    <mergeCell ref="A12084:D12084"/>
    <mergeCell ref="A12085:B12085"/>
    <mergeCell ref="H12085:J12085"/>
    <mergeCell ref="A12086:B12086"/>
    <mergeCell ref="H12086:J12086"/>
    <mergeCell ref="A12087:B12087"/>
    <mergeCell ref="H12087:J12087"/>
    <mergeCell ref="H12088:J12088"/>
    <mergeCell ref="A12088:B12088"/>
    <mergeCell ref="A12089:B12089"/>
    <mergeCell ref="A12090:B12090"/>
    <mergeCell ref="A12091:B12091"/>
    <mergeCell ref="A12094:A12095"/>
    <mergeCell ref="B12094:B12095"/>
    <mergeCell ref="C12094:D12094"/>
    <mergeCell ref="E12094:F12094"/>
    <mergeCell ref="G12094:G12095"/>
    <mergeCell ref="H12094:H12095"/>
    <mergeCell ref="I12094:I12095"/>
    <mergeCell ref="J12094:J12095"/>
    <mergeCell ref="A12123:D12123"/>
    <mergeCell ref="A12124:B12124"/>
    <mergeCell ref="H12124:J12124"/>
    <mergeCell ref="A12125:B12125"/>
    <mergeCell ref="H12125:J12125"/>
    <mergeCell ref="A12126:B12126"/>
    <mergeCell ref="H12126:J12126"/>
    <mergeCell ref="H12127:J12127"/>
    <mergeCell ref="A12127:B12127"/>
    <mergeCell ref="A12128:B12128"/>
    <mergeCell ref="A12129:B12129"/>
    <mergeCell ref="A12130:B12130"/>
    <mergeCell ref="A12133:A12134"/>
    <mergeCell ref="B12133:B12134"/>
    <mergeCell ref="C12133:D12133"/>
    <mergeCell ref="E12133:F12133"/>
    <mergeCell ref="G12133:G12134"/>
    <mergeCell ref="H12133:H12134"/>
    <mergeCell ref="I12133:I12134"/>
    <mergeCell ref="J12133:J12134"/>
    <mergeCell ref="A12162:D12162"/>
    <mergeCell ref="A12163:B12163"/>
    <mergeCell ref="H12163:J12163"/>
    <mergeCell ref="A12164:B12164"/>
    <mergeCell ref="H12164:J12164"/>
    <mergeCell ref="A12165:B12165"/>
    <mergeCell ref="H12165:J12165"/>
    <mergeCell ref="H12166:J12166"/>
    <mergeCell ref="A12166:B12166"/>
    <mergeCell ref="A12167:B12167"/>
    <mergeCell ref="A12168:B12168"/>
    <mergeCell ref="A12169:B12169"/>
    <mergeCell ref="A12172:A12173"/>
    <mergeCell ref="B12172:B12173"/>
    <mergeCell ref="C12172:D12172"/>
    <mergeCell ref="E12172:F12172"/>
    <mergeCell ref="G12172:G12173"/>
    <mergeCell ref="H12172:H12173"/>
    <mergeCell ref="I12172:I12173"/>
    <mergeCell ref="J12172:J12173"/>
    <mergeCell ref="A12201:D12201"/>
    <mergeCell ref="A12202:B12202"/>
    <mergeCell ref="H12202:J12202"/>
    <mergeCell ref="A12203:B12203"/>
    <mergeCell ref="H12203:J12203"/>
    <mergeCell ref="A12204:B12204"/>
    <mergeCell ref="H12204:J12204"/>
    <mergeCell ref="H12205:J12205"/>
    <mergeCell ref="A12205:B12205"/>
    <mergeCell ref="A12206:B12206"/>
    <mergeCell ref="A12207:B12207"/>
    <mergeCell ref="A12208:B12208"/>
    <mergeCell ref="A12211:A12212"/>
    <mergeCell ref="B12211:B12212"/>
    <mergeCell ref="C12211:D12211"/>
    <mergeCell ref="E12211:F12211"/>
    <mergeCell ref="G12211:G12212"/>
    <mergeCell ref="H12211:H12212"/>
    <mergeCell ref="I12211:I12212"/>
    <mergeCell ref="J12211:J12212"/>
    <mergeCell ref="A12240:D12240"/>
    <mergeCell ref="A12241:B12241"/>
    <mergeCell ref="H12241:J12241"/>
    <mergeCell ref="A12242:B12242"/>
    <mergeCell ref="H12242:J12242"/>
    <mergeCell ref="A12243:B12243"/>
    <mergeCell ref="H12243:J12243"/>
    <mergeCell ref="H12244:J12244"/>
    <mergeCell ref="A12244:B12244"/>
    <mergeCell ref="A12245:B12245"/>
    <mergeCell ref="A12246:B12246"/>
    <mergeCell ref="A12247:B12247"/>
    <mergeCell ref="A12250:A12251"/>
    <mergeCell ref="B12250:B12251"/>
    <mergeCell ref="C12250:D12250"/>
    <mergeCell ref="E12250:F12250"/>
    <mergeCell ref="G12250:G12251"/>
    <mergeCell ref="H12250:H12251"/>
    <mergeCell ref="I12250:I12251"/>
    <mergeCell ref="J12250:J12251"/>
    <mergeCell ref="A12279:D12279"/>
    <mergeCell ref="A12280:B12280"/>
    <mergeCell ref="H12280:J12280"/>
    <mergeCell ref="A12281:B12281"/>
    <mergeCell ref="H12281:J12281"/>
    <mergeCell ref="A12282:B12282"/>
    <mergeCell ref="H12282:J12282"/>
    <mergeCell ref="H12283:J12283"/>
    <mergeCell ref="A12283:B12283"/>
    <mergeCell ref="A12284:B12284"/>
    <mergeCell ref="A12285:B12285"/>
    <mergeCell ref="A12286:B12286"/>
    <mergeCell ref="A12289:A12290"/>
    <mergeCell ref="B12289:B12290"/>
    <mergeCell ref="C12289:D12289"/>
    <mergeCell ref="E12289:F12289"/>
    <mergeCell ref="G12289:G12290"/>
    <mergeCell ref="H12289:H12290"/>
    <mergeCell ref="I12289:I12290"/>
    <mergeCell ref="J12289:J12290"/>
    <mergeCell ref="A12318:D12318"/>
    <mergeCell ref="A12319:B12319"/>
    <mergeCell ref="H12319:J12319"/>
    <mergeCell ref="A12320:B12320"/>
    <mergeCell ref="H12320:J12320"/>
    <mergeCell ref="A12321:B12321"/>
    <mergeCell ref="H12321:J12321"/>
    <mergeCell ref="H12322:J12322"/>
    <mergeCell ref="A12322:B12322"/>
    <mergeCell ref="A12323:B12323"/>
    <mergeCell ref="A12324:B12324"/>
    <mergeCell ref="A12325:B12325"/>
    <mergeCell ref="A12328:A12329"/>
    <mergeCell ref="B12328:B12329"/>
    <mergeCell ref="C12328:D12328"/>
    <mergeCell ref="E12328:F12328"/>
    <mergeCell ref="G12328:G12329"/>
    <mergeCell ref="H12328:H12329"/>
    <mergeCell ref="I12328:I12329"/>
    <mergeCell ref="J12328:J12329"/>
    <mergeCell ref="A12357:D12357"/>
    <mergeCell ref="A12358:B12358"/>
    <mergeCell ref="H12358:J12358"/>
    <mergeCell ref="A12359:B12359"/>
    <mergeCell ref="H12359:J12359"/>
    <mergeCell ref="A12360:B12360"/>
    <mergeCell ref="H12360:J12360"/>
    <mergeCell ref="H12361:J12361"/>
    <mergeCell ref="A12361:B12361"/>
    <mergeCell ref="A12362:B12362"/>
    <mergeCell ref="A12363:B12363"/>
    <mergeCell ref="A12364:B12364"/>
    <mergeCell ref="A12367:A12368"/>
    <mergeCell ref="B12367:B12368"/>
    <mergeCell ref="C12367:D12367"/>
    <mergeCell ref="E12367:F12367"/>
    <mergeCell ref="G12367:G12368"/>
    <mergeCell ref="H12367:H12368"/>
    <mergeCell ref="I12367:I12368"/>
    <mergeCell ref="J12367:J12368"/>
    <mergeCell ref="A12396:D12396"/>
    <mergeCell ref="A12397:B12397"/>
    <mergeCell ref="H12397:J12397"/>
    <mergeCell ref="A12398:B12398"/>
    <mergeCell ref="H12398:J12398"/>
    <mergeCell ref="A12399:B12399"/>
    <mergeCell ref="H12399:J12399"/>
    <mergeCell ref="H12400:J12400"/>
    <mergeCell ref="A12400:B12400"/>
    <mergeCell ref="A12401:B12401"/>
    <mergeCell ref="A12402:B12402"/>
    <mergeCell ref="A12403:B12403"/>
    <mergeCell ref="A12406:A12407"/>
    <mergeCell ref="B12406:B12407"/>
    <mergeCell ref="C12406:D12406"/>
    <mergeCell ref="E12406:F12406"/>
    <mergeCell ref="G12406:G12407"/>
    <mergeCell ref="H12406:H12407"/>
    <mergeCell ref="I12406:I12407"/>
    <mergeCell ref="J12406:J12407"/>
    <mergeCell ref="A12435:D12435"/>
    <mergeCell ref="A12436:B12436"/>
    <mergeCell ref="H12436:J12436"/>
    <mergeCell ref="A12437:B12437"/>
    <mergeCell ref="H12437:J12437"/>
    <mergeCell ref="A12438:B12438"/>
    <mergeCell ref="H12438:J12438"/>
    <mergeCell ref="H12439:J12439"/>
    <mergeCell ref="A12439:B12439"/>
    <mergeCell ref="A12440:B12440"/>
    <mergeCell ref="A12441:B12441"/>
    <mergeCell ref="A12442:B12442"/>
    <mergeCell ref="A12445:A12446"/>
    <mergeCell ref="B12445:B12446"/>
    <mergeCell ref="C12445:D12445"/>
    <mergeCell ref="E12445:F12445"/>
    <mergeCell ref="G12445:G12446"/>
    <mergeCell ref="H12445:H12446"/>
    <mergeCell ref="I12445:I12446"/>
    <mergeCell ref="J12445:J12446"/>
    <mergeCell ref="A12474:D12474"/>
    <mergeCell ref="A12475:B12475"/>
    <mergeCell ref="H12475:J12475"/>
    <mergeCell ref="A12476:B12476"/>
    <mergeCell ref="H12476:J12476"/>
    <mergeCell ref="A12477:B12477"/>
    <mergeCell ref="H12477:J12477"/>
    <mergeCell ref="H12478:J12478"/>
    <mergeCell ref="A12478:B12478"/>
    <mergeCell ref="A12479:B12479"/>
    <mergeCell ref="A12480:B12480"/>
    <mergeCell ref="A12481:B12481"/>
    <mergeCell ref="A12484:A12485"/>
    <mergeCell ref="B12484:B12485"/>
    <mergeCell ref="C12484:D12484"/>
    <mergeCell ref="E12484:F12484"/>
    <mergeCell ref="G12484:G12485"/>
    <mergeCell ref="H12484:H12485"/>
    <mergeCell ref="I12484:I12485"/>
    <mergeCell ref="J12484:J12485"/>
    <mergeCell ref="A12513:D12513"/>
    <mergeCell ref="A12514:B12514"/>
    <mergeCell ref="H12514:J12514"/>
    <mergeCell ref="A12515:B12515"/>
    <mergeCell ref="H12515:J12515"/>
    <mergeCell ref="A12516:B12516"/>
    <mergeCell ref="H12516:J12516"/>
    <mergeCell ref="H12517:J12517"/>
    <mergeCell ref="A12517:B12517"/>
    <mergeCell ref="A12518:B12518"/>
    <mergeCell ref="A12519:B12519"/>
    <mergeCell ref="A12520:B12520"/>
    <mergeCell ref="A12523:A12524"/>
    <mergeCell ref="B12523:B12524"/>
    <mergeCell ref="C12523:D12523"/>
    <mergeCell ref="E12523:F12523"/>
    <mergeCell ref="G12523:G12524"/>
    <mergeCell ref="H12523:H12524"/>
    <mergeCell ref="I12523:I12524"/>
    <mergeCell ref="J12523:J12524"/>
    <mergeCell ref="A12552:D12552"/>
    <mergeCell ref="A12553:B12553"/>
    <mergeCell ref="H12553:J12553"/>
    <mergeCell ref="A12554:B12554"/>
    <mergeCell ref="H12554:J12554"/>
    <mergeCell ref="A12555:B12555"/>
    <mergeCell ref="H12555:J12555"/>
    <mergeCell ref="H12556:J12556"/>
    <mergeCell ref="A12556:B12556"/>
    <mergeCell ref="A12557:B12557"/>
    <mergeCell ref="A12558:B12558"/>
    <mergeCell ref="A12559:B12559"/>
    <mergeCell ref="A12562:A12563"/>
    <mergeCell ref="B12562:B12563"/>
    <mergeCell ref="C12562:D12562"/>
    <mergeCell ref="E12562:F12562"/>
    <mergeCell ref="G12562:G12563"/>
    <mergeCell ref="H12562:H12563"/>
    <mergeCell ref="I12562:I12563"/>
    <mergeCell ref="J12562:J12563"/>
    <mergeCell ref="A12591:D12591"/>
    <mergeCell ref="A12592:B12592"/>
    <mergeCell ref="H12592:J12592"/>
    <mergeCell ref="A12593:B12593"/>
    <mergeCell ref="H12593:J12593"/>
    <mergeCell ref="A12594:B12594"/>
    <mergeCell ref="H12594:J12594"/>
    <mergeCell ref="H12595:J12595"/>
    <mergeCell ref="A12595:B12595"/>
    <mergeCell ref="A12596:B12596"/>
    <mergeCell ref="A12597:B12597"/>
    <mergeCell ref="A12598:B12598"/>
    <mergeCell ref="A12601:A12602"/>
    <mergeCell ref="B12601:B12602"/>
    <mergeCell ref="C12601:D12601"/>
    <mergeCell ref="E12601:F12601"/>
    <mergeCell ref="G12601:G12602"/>
    <mergeCell ref="H12601:H12602"/>
    <mergeCell ref="I12601:I12602"/>
    <mergeCell ref="J12601:J12602"/>
    <mergeCell ref="A12630:D12630"/>
    <mergeCell ref="A12631:B12631"/>
    <mergeCell ref="H12631:J12631"/>
    <mergeCell ref="A12632:B12632"/>
    <mergeCell ref="H12632:J12632"/>
    <mergeCell ref="A12633:B12633"/>
    <mergeCell ref="H12633:J12633"/>
    <mergeCell ref="H12634:J12634"/>
    <mergeCell ref="A12634:B12634"/>
    <mergeCell ref="A12635:B12635"/>
    <mergeCell ref="A12636:B12636"/>
    <mergeCell ref="A12637:B12637"/>
    <mergeCell ref="A12640:A12641"/>
    <mergeCell ref="B12640:B12641"/>
    <mergeCell ref="C12640:D12640"/>
    <mergeCell ref="E12640:F12640"/>
    <mergeCell ref="G12640:G12641"/>
    <mergeCell ref="H12640:H12641"/>
    <mergeCell ref="I12640:I12641"/>
    <mergeCell ref="J12640:J12641"/>
    <mergeCell ref="A12669:D12669"/>
    <mergeCell ref="A12670:B12670"/>
    <mergeCell ref="H12670:J12670"/>
    <mergeCell ref="A12671:B12671"/>
    <mergeCell ref="H12671:J12671"/>
    <mergeCell ref="A12672:B12672"/>
    <mergeCell ref="H12672:J12672"/>
    <mergeCell ref="H12673:J12673"/>
    <mergeCell ref="A12673:B12673"/>
    <mergeCell ref="A12674:B12674"/>
    <mergeCell ref="A12675:B12675"/>
    <mergeCell ref="A12676:B12676"/>
    <mergeCell ref="A12679:A12680"/>
    <mergeCell ref="B12679:B12680"/>
    <mergeCell ref="C12679:D12679"/>
    <mergeCell ref="E12679:F12679"/>
    <mergeCell ref="G12679:G12680"/>
    <mergeCell ref="H12679:H12680"/>
    <mergeCell ref="I12679:I12680"/>
    <mergeCell ref="J12679:J12680"/>
    <mergeCell ref="A12708:D12708"/>
    <mergeCell ref="A12709:B12709"/>
    <mergeCell ref="H12709:J12709"/>
    <mergeCell ref="A12710:B12710"/>
    <mergeCell ref="H12710:J12710"/>
    <mergeCell ref="A12711:B12711"/>
    <mergeCell ref="H12711:J12711"/>
    <mergeCell ref="H12712:J12712"/>
    <mergeCell ref="A12712:B12712"/>
    <mergeCell ref="A12713:B12713"/>
    <mergeCell ref="A12714:B12714"/>
    <mergeCell ref="A12715:B12715"/>
    <mergeCell ref="A12718:A12719"/>
    <mergeCell ref="B12718:B12719"/>
    <mergeCell ref="C12718:D12718"/>
    <mergeCell ref="E12718:F12718"/>
    <mergeCell ref="G12718:G12719"/>
    <mergeCell ref="H12718:H12719"/>
    <mergeCell ref="I12718:I12719"/>
    <mergeCell ref="J12718:J12719"/>
    <mergeCell ref="A12747:D12747"/>
    <mergeCell ref="A12748:B12748"/>
    <mergeCell ref="H12748:J12748"/>
    <mergeCell ref="A12749:B12749"/>
    <mergeCell ref="H12749:J12749"/>
    <mergeCell ref="A12750:B12750"/>
    <mergeCell ref="H12750:J12750"/>
    <mergeCell ref="H12751:J12751"/>
    <mergeCell ref="A12751:B12751"/>
    <mergeCell ref="A12752:B12752"/>
    <mergeCell ref="A12753:B12753"/>
    <mergeCell ref="A12754:B12754"/>
    <mergeCell ref="A12757:A12758"/>
    <mergeCell ref="B12757:B12758"/>
    <mergeCell ref="C12757:D12757"/>
    <mergeCell ref="E12757:F12757"/>
    <mergeCell ref="G12757:G12758"/>
    <mergeCell ref="H12757:H12758"/>
    <mergeCell ref="I12757:I12758"/>
    <mergeCell ref="J12757:J12758"/>
    <mergeCell ref="A12786:D12786"/>
    <mergeCell ref="A12787:B12787"/>
    <mergeCell ref="H12787:J12787"/>
    <mergeCell ref="A12788:B12788"/>
    <mergeCell ref="H12788:J12788"/>
    <mergeCell ref="A12789:B12789"/>
    <mergeCell ref="H12789:J12789"/>
    <mergeCell ref="H12790:J12790"/>
    <mergeCell ref="A12790:B12790"/>
    <mergeCell ref="A12791:B12791"/>
    <mergeCell ref="A12792:B12792"/>
    <mergeCell ref="A12793:B12793"/>
    <mergeCell ref="A12796:A12797"/>
    <mergeCell ref="B12796:B12797"/>
    <mergeCell ref="C12796:D12796"/>
    <mergeCell ref="E12796:F12796"/>
    <mergeCell ref="G12796:G12797"/>
    <mergeCell ref="H12796:H12797"/>
    <mergeCell ref="I12796:I12797"/>
    <mergeCell ref="J12796:J12797"/>
    <mergeCell ref="A12825:D12825"/>
    <mergeCell ref="A12826:B12826"/>
    <mergeCell ref="H12826:J12826"/>
    <mergeCell ref="A12827:B12827"/>
    <mergeCell ref="H12827:J12827"/>
    <mergeCell ref="A12828:B12828"/>
    <mergeCell ref="H12828:J12828"/>
    <mergeCell ref="H12829:J12829"/>
    <mergeCell ref="A12829:B12829"/>
    <mergeCell ref="A12830:B12830"/>
    <mergeCell ref="A12831:B12831"/>
    <mergeCell ref="A12832:B12832"/>
    <mergeCell ref="A12835:A12836"/>
    <mergeCell ref="B12835:B12836"/>
    <mergeCell ref="C12835:D12835"/>
    <mergeCell ref="E12835:F12835"/>
    <mergeCell ref="G12835:G12836"/>
    <mergeCell ref="H12835:H12836"/>
    <mergeCell ref="I12835:I12836"/>
    <mergeCell ref="J12835:J12836"/>
    <mergeCell ref="A12864:D12864"/>
    <mergeCell ref="A12865:B12865"/>
    <mergeCell ref="H12865:J12865"/>
    <mergeCell ref="A12866:B12866"/>
    <mergeCell ref="H12866:J12866"/>
    <mergeCell ref="A12867:B12867"/>
    <mergeCell ref="H12867:J12867"/>
    <mergeCell ref="H12868:J12868"/>
    <mergeCell ref="A12868:B12868"/>
    <mergeCell ref="A12869:B12869"/>
    <mergeCell ref="A12870:B12870"/>
    <mergeCell ref="A12871:B12871"/>
    <mergeCell ref="A12874:A12875"/>
    <mergeCell ref="B12874:B12875"/>
    <mergeCell ref="C12874:D12874"/>
    <mergeCell ref="E12874:F12874"/>
    <mergeCell ref="G12874:G12875"/>
    <mergeCell ref="H12874:H12875"/>
    <mergeCell ref="I12874:I12875"/>
    <mergeCell ref="J12874:J12875"/>
    <mergeCell ref="A12903:D12903"/>
    <mergeCell ref="A12904:B12904"/>
    <mergeCell ref="H12904:J12904"/>
    <mergeCell ref="A12905:B12905"/>
    <mergeCell ref="H12905:J12905"/>
    <mergeCell ref="A12906:B12906"/>
    <mergeCell ref="H12906:J12906"/>
    <mergeCell ref="H12907:J12907"/>
    <mergeCell ref="A12907:B12907"/>
    <mergeCell ref="A12908:B12908"/>
    <mergeCell ref="A12909:B12909"/>
    <mergeCell ref="A12910:B12910"/>
    <mergeCell ref="A12913:A12914"/>
    <mergeCell ref="B12913:B12914"/>
    <mergeCell ref="C12913:D12913"/>
    <mergeCell ref="E12913:F12913"/>
    <mergeCell ref="G12913:G12914"/>
    <mergeCell ref="H12913:H12914"/>
    <mergeCell ref="I12913:I12914"/>
    <mergeCell ref="J12913:J12914"/>
    <mergeCell ref="A12942:D12942"/>
    <mergeCell ref="A12943:B12943"/>
    <mergeCell ref="H12943:J12943"/>
    <mergeCell ref="A12944:B12944"/>
    <mergeCell ref="H12944:J12944"/>
    <mergeCell ref="A12945:B12945"/>
    <mergeCell ref="H12945:J12945"/>
    <mergeCell ref="H12946:J12946"/>
    <mergeCell ref="A12946:B12946"/>
    <mergeCell ref="A12947:B12947"/>
    <mergeCell ref="A12948:B12948"/>
    <mergeCell ref="A12949:B12949"/>
    <mergeCell ref="A12952:A12953"/>
    <mergeCell ref="B12952:B12953"/>
    <mergeCell ref="C12952:D12952"/>
    <mergeCell ref="E12952:F12952"/>
    <mergeCell ref="G12952:G12953"/>
    <mergeCell ref="H12952:H12953"/>
    <mergeCell ref="I12952:I12953"/>
    <mergeCell ref="J12952:J12953"/>
    <mergeCell ref="A12981:D12981"/>
    <mergeCell ref="A12982:B12982"/>
    <mergeCell ref="H12982:J12982"/>
    <mergeCell ref="A12983:B12983"/>
    <mergeCell ref="H12983:J12983"/>
    <mergeCell ref="A12984:B12984"/>
    <mergeCell ref="H12984:J12984"/>
    <mergeCell ref="H12985:J12985"/>
    <mergeCell ref="A12985:B12985"/>
    <mergeCell ref="A12986:B12986"/>
    <mergeCell ref="A12987:B12987"/>
    <mergeCell ref="A12988:B12988"/>
    <mergeCell ref="A12991:A12992"/>
    <mergeCell ref="B12991:B12992"/>
    <mergeCell ref="C12991:D12991"/>
    <mergeCell ref="E12991:F12991"/>
    <mergeCell ref="G12991:G12992"/>
    <mergeCell ref="H12991:H12992"/>
    <mergeCell ref="I12991:I12992"/>
    <mergeCell ref="J12991:J12992"/>
    <mergeCell ref="A13020:D13020"/>
    <mergeCell ref="A13021:B13021"/>
    <mergeCell ref="H13021:J13021"/>
    <mergeCell ref="A13022:B13022"/>
    <mergeCell ref="H13022:J13022"/>
    <mergeCell ref="A13023:B13023"/>
    <mergeCell ref="H13023:J13023"/>
    <mergeCell ref="H13024:J13024"/>
    <mergeCell ref="A13024:B13024"/>
    <mergeCell ref="A13025:B13025"/>
    <mergeCell ref="A13026:B13026"/>
    <mergeCell ref="A13027:B13027"/>
    <mergeCell ref="A13030:A13031"/>
    <mergeCell ref="B13030:B13031"/>
    <mergeCell ref="C13030:D13030"/>
    <mergeCell ref="E13030:F13030"/>
    <mergeCell ref="G13030:G13031"/>
    <mergeCell ref="H13030:H13031"/>
    <mergeCell ref="I13030:I13031"/>
    <mergeCell ref="J13030:J13031"/>
    <mergeCell ref="A13059:D13059"/>
    <mergeCell ref="A13060:B13060"/>
    <mergeCell ref="H13060:J13060"/>
    <mergeCell ref="A13061:B13061"/>
    <mergeCell ref="H13061:J13061"/>
    <mergeCell ref="A13062:B13062"/>
    <mergeCell ref="H13062:J13062"/>
    <mergeCell ref="H13063:J13063"/>
    <mergeCell ref="A13063:B13063"/>
    <mergeCell ref="A13064:B13064"/>
    <mergeCell ref="A13065:B13065"/>
    <mergeCell ref="A13066:B13066"/>
    <mergeCell ref="A13069:A13070"/>
    <mergeCell ref="B13069:B13070"/>
    <mergeCell ref="C13069:D13069"/>
    <mergeCell ref="E13069:F13069"/>
    <mergeCell ref="G13069:G13070"/>
    <mergeCell ref="H13069:H13070"/>
    <mergeCell ref="I13069:I13070"/>
    <mergeCell ref="J13069:J13070"/>
    <mergeCell ref="A13098:D13098"/>
    <mergeCell ref="A13099:B13099"/>
    <mergeCell ref="H13099:J13099"/>
    <mergeCell ref="A13100:B13100"/>
    <mergeCell ref="H13100:J13100"/>
    <mergeCell ref="A13101:B13101"/>
    <mergeCell ref="H13101:J13101"/>
    <mergeCell ref="H13102:J13102"/>
    <mergeCell ref="A13102:B13102"/>
    <mergeCell ref="A13103:B13103"/>
    <mergeCell ref="A13104:B13104"/>
    <mergeCell ref="A13105:B13105"/>
    <mergeCell ref="A13108:A13109"/>
    <mergeCell ref="B13108:B13109"/>
    <mergeCell ref="C13108:D13108"/>
    <mergeCell ref="E13108:F13108"/>
    <mergeCell ref="G13108:G13109"/>
    <mergeCell ref="H13108:H13109"/>
    <mergeCell ref="I13108:I13109"/>
    <mergeCell ref="J13108:J13109"/>
    <mergeCell ref="A13137:D13137"/>
    <mergeCell ref="A13138:B13138"/>
    <mergeCell ref="H13138:J13138"/>
    <mergeCell ref="A13139:B13139"/>
    <mergeCell ref="H13139:J13139"/>
    <mergeCell ref="A13140:B13140"/>
    <mergeCell ref="H13140:J13140"/>
    <mergeCell ref="H13141:J13141"/>
    <mergeCell ref="A13141:B13141"/>
    <mergeCell ref="A13142:B13142"/>
    <mergeCell ref="A13143:B13143"/>
    <mergeCell ref="A13144:B13144"/>
    <mergeCell ref="A13147:A13148"/>
    <mergeCell ref="B13147:B13148"/>
    <mergeCell ref="C13147:D13147"/>
    <mergeCell ref="E13147:F13147"/>
    <mergeCell ref="G13147:G13148"/>
    <mergeCell ref="H13147:H13148"/>
    <mergeCell ref="I13147:I13148"/>
    <mergeCell ref="J13147:J13148"/>
    <mergeCell ref="A13176:D13176"/>
    <mergeCell ref="A13177:B13177"/>
    <mergeCell ref="H13177:J13177"/>
    <mergeCell ref="A13178:B13178"/>
    <mergeCell ref="H13178:J13178"/>
    <mergeCell ref="A13179:B13179"/>
    <mergeCell ref="H13179:J13179"/>
    <mergeCell ref="H13180:J13180"/>
    <mergeCell ref="A13180:B13180"/>
    <mergeCell ref="A13181:B13181"/>
    <mergeCell ref="A13182:B13182"/>
    <mergeCell ref="A13183:B13183"/>
    <mergeCell ref="A13186:A13187"/>
    <mergeCell ref="B13186:B13187"/>
    <mergeCell ref="C13186:D13186"/>
    <mergeCell ref="E13186:F13186"/>
    <mergeCell ref="G13186:G13187"/>
    <mergeCell ref="H13186:H13187"/>
    <mergeCell ref="I13186:I13187"/>
    <mergeCell ref="J13186:J13187"/>
    <mergeCell ref="A13215:D13215"/>
    <mergeCell ref="A13216:B13216"/>
    <mergeCell ref="H13216:J13216"/>
    <mergeCell ref="A13217:B13217"/>
    <mergeCell ref="H13217:J13217"/>
    <mergeCell ref="A13218:B13218"/>
    <mergeCell ref="H13218:J13218"/>
    <mergeCell ref="H13219:J13219"/>
    <mergeCell ref="A13219:B13219"/>
    <mergeCell ref="A13220:B13220"/>
    <mergeCell ref="A13221:B13221"/>
    <mergeCell ref="A13222:B13222"/>
    <mergeCell ref="A13225:A13226"/>
    <mergeCell ref="B13225:B13226"/>
    <mergeCell ref="C13225:D13225"/>
    <mergeCell ref="E13225:F13225"/>
    <mergeCell ref="G13225:G13226"/>
    <mergeCell ref="H13225:H13226"/>
    <mergeCell ref="I13225:I13226"/>
    <mergeCell ref="J13225:J13226"/>
    <mergeCell ref="A13254:D13254"/>
    <mergeCell ref="A13255:B13255"/>
    <mergeCell ref="H13255:J13255"/>
    <mergeCell ref="A13256:B13256"/>
    <mergeCell ref="H13256:J13256"/>
    <mergeCell ref="A13257:B13257"/>
    <mergeCell ref="H13257:J13257"/>
    <mergeCell ref="H13258:J13258"/>
    <mergeCell ref="A13258:B13258"/>
    <mergeCell ref="A13259:B13259"/>
    <mergeCell ref="A13260:B13260"/>
    <mergeCell ref="A13261:B13261"/>
    <mergeCell ref="A13264:A13265"/>
    <mergeCell ref="B13264:B13265"/>
    <mergeCell ref="C13264:D13264"/>
    <mergeCell ref="E13264:F13264"/>
    <mergeCell ref="G13264:G13265"/>
    <mergeCell ref="H13264:H13265"/>
    <mergeCell ref="I13264:I13265"/>
    <mergeCell ref="J13264:J13265"/>
    <mergeCell ref="A13293:D13293"/>
    <mergeCell ref="A13294:B13294"/>
    <mergeCell ref="H13294:J13294"/>
    <mergeCell ref="A13295:B13295"/>
    <mergeCell ref="H13295:J13295"/>
    <mergeCell ref="A13296:B13296"/>
    <mergeCell ref="H13296:J13296"/>
    <mergeCell ref="H13297:J13297"/>
    <mergeCell ref="A13297:B13297"/>
    <mergeCell ref="A13298:B13298"/>
    <mergeCell ref="A13299:B13299"/>
    <mergeCell ref="A13300:B13300"/>
    <mergeCell ref="A13303:A13304"/>
    <mergeCell ref="B13303:B13304"/>
    <mergeCell ref="C13303:D13303"/>
    <mergeCell ref="E13303:F13303"/>
    <mergeCell ref="G13303:G13304"/>
    <mergeCell ref="H13303:H13304"/>
    <mergeCell ref="I13303:I13304"/>
    <mergeCell ref="J13303:J13304"/>
    <mergeCell ref="A13332:D13332"/>
    <mergeCell ref="A13333:B13333"/>
    <mergeCell ref="H13333:J13333"/>
    <mergeCell ref="A13334:B13334"/>
    <mergeCell ref="H13334:J13334"/>
    <mergeCell ref="A13335:B13335"/>
    <mergeCell ref="H13335:J13335"/>
    <mergeCell ref="H13336:J13336"/>
    <mergeCell ref="A13336:B13336"/>
    <mergeCell ref="A13337:B13337"/>
    <mergeCell ref="A13338:B13338"/>
    <mergeCell ref="A13339:B13339"/>
    <mergeCell ref="A13342:A13343"/>
    <mergeCell ref="B13342:B13343"/>
    <mergeCell ref="C13342:D13342"/>
    <mergeCell ref="E13342:F13342"/>
    <mergeCell ref="G13342:G13343"/>
    <mergeCell ref="H13342:H13343"/>
    <mergeCell ref="I13342:I13343"/>
    <mergeCell ref="J13342:J13343"/>
    <mergeCell ref="A13354:D13354"/>
    <mergeCell ref="A13355:B13355"/>
    <mergeCell ref="H13355:J13355"/>
    <mergeCell ref="A13356:B13356"/>
    <mergeCell ref="H13356:J13356"/>
    <mergeCell ref="A13357:B13357"/>
    <mergeCell ref="H13357:J13357"/>
    <mergeCell ref="H13358:J13358"/>
    <mergeCell ref="A13358:B13358"/>
    <mergeCell ref="A13359:B13359"/>
    <mergeCell ref="A13360:B13360"/>
    <mergeCell ref="A13361:B13361"/>
    <mergeCell ref="A13364:A13365"/>
    <mergeCell ref="B13364:B13365"/>
    <mergeCell ref="C13364:D13364"/>
    <mergeCell ref="E13364:F13364"/>
    <mergeCell ref="G13364:G13365"/>
    <mergeCell ref="H13364:H13365"/>
    <mergeCell ref="I13364:I13365"/>
    <mergeCell ref="J13364:J13365"/>
    <mergeCell ref="A13379:D13379"/>
    <mergeCell ref="A13380:B13380"/>
    <mergeCell ref="H13380:J13380"/>
    <mergeCell ref="A13381:B13381"/>
    <mergeCell ref="H13381:J13381"/>
    <mergeCell ref="A13382:B13382"/>
    <mergeCell ref="H13382:J13382"/>
    <mergeCell ref="H13383:J13383"/>
    <mergeCell ref="A13383:B13383"/>
    <mergeCell ref="A13384:B13384"/>
    <mergeCell ref="A13385:B13385"/>
    <mergeCell ref="A13386:B13386"/>
    <mergeCell ref="A13389:A13390"/>
    <mergeCell ref="B13389:B13390"/>
    <mergeCell ref="C13389:D13389"/>
    <mergeCell ref="E13389:F13389"/>
    <mergeCell ref="G13389:G13390"/>
    <mergeCell ref="H13389:H13390"/>
    <mergeCell ref="I13389:I13390"/>
    <mergeCell ref="J13389:J13390"/>
    <mergeCell ref="A13404:D13404"/>
    <mergeCell ref="A13405:B13405"/>
    <mergeCell ref="H13405:J13405"/>
    <mergeCell ref="A13406:B13406"/>
    <mergeCell ref="H13406:J13406"/>
    <mergeCell ref="A13407:B13407"/>
    <mergeCell ref="H13407:J13407"/>
    <mergeCell ref="H13408:J13408"/>
    <mergeCell ref="A13408:B13408"/>
    <mergeCell ref="A13409:B13409"/>
    <mergeCell ref="A13410:B13410"/>
    <mergeCell ref="A13411:B13411"/>
    <mergeCell ref="A13414:A13415"/>
    <mergeCell ref="B13414:B13415"/>
    <mergeCell ref="C13414:D13414"/>
    <mergeCell ref="E13414:F13414"/>
    <mergeCell ref="G13414:G13415"/>
    <mergeCell ref="H13414:H13415"/>
    <mergeCell ref="I13414:I13415"/>
    <mergeCell ref="J13414:J13415"/>
  </mergeCells>
  <pageMargins left="0.7087" right="0.7087" top="1" bottom="0.7480" header="0.315" footer="0.315"/>
  <pageSetup fitToWidth="1" fitToHeight="0" orientation="landscape" paperSize="9"/>
  <headerFooter>
    <oddHeader>&amp;L&amp;G</oddHeader>
    <oddFooter>&amp;L&amp;8 Time : 03/Aug/2020 03:27:20&amp;RPage &amp;P of &amp;N</oddFooter>
  </headerFooter>
  <rowBreaks count="346" manualBreakCount="346">
    <brk id="39" max="1048575" man="1"/>
    <brk id="78" max="1048575" man="1"/>
    <brk id="117" max="1048575" man="1"/>
    <brk id="156" max="1048575" man="1"/>
    <brk id="195" max="1048575" man="1"/>
    <brk id="234" max="1048575" man="1"/>
    <brk id="273" max="1048575" man="1"/>
    <brk id="312" max="1048575" man="1"/>
    <brk id="351" max="1048575" man="1"/>
    <brk id="390" max="1048575" man="1"/>
    <brk id="429" max="1048575" man="1"/>
    <brk id="468" max="1048575" man="1"/>
    <brk id="507" max="1048575" man="1"/>
    <brk id="546" max="1048575" man="1"/>
    <brk id="585" max="1048575" man="1"/>
    <brk id="624" max="1048575" man="1"/>
    <brk id="663" max="1048575" man="1"/>
    <brk id="702" max="1048575" man="1"/>
    <brk id="741" max="1048575" man="1"/>
    <brk id="780" max="1048575" man="1"/>
    <brk id="819" max="1048575" man="1"/>
    <brk id="858" max="1048575" man="1"/>
    <brk id="897" max="1048575" man="1"/>
    <brk id="936" max="1048575" man="1"/>
    <brk id="975" max="1048575" man="1"/>
    <brk id="1014" max="1048575" man="1"/>
    <brk id="1053" max="1048575" man="1"/>
    <brk id="1092" max="1048575" man="1"/>
    <brk id="1131" max="1048575" man="1"/>
    <brk id="1170" max="1048575" man="1"/>
    <brk id="1209" max="1048575" man="1"/>
    <brk id="1248" max="1048575" man="1"/>
    <brk id="1287" max="1048575" man="1"/>
    <brk id="1326" max="1048575" man="1"/>
    <brk id="1365" max="1048575" man="1"/>
    <brk id="1404" max="1048575" man="1"/>
    <brk id="1443" max="1048575" man="1"/>
    <brk id="1482" max="1048575" man="1"/>
    <brk id="1521" max="1048575" man="1"/>
    <brk id="1560" max="1048575" man="1"/>
    <brk id="1599" max="1048575" man="1"/>
    <brk id="1638" max="1048575" man="1"/>
    <brk id="1677" max="1048575" man="1"/>
    <brk id="1716" max="1048575" man="1"/>
    <brk id="1755" max="1048575" man="1"/>
    <brk id="1794" max="1048575" man="1"/>
    <brk id="1833" max="1048575" man="1"/>
    <brk id="1872" max="1048575" man="1"/>
    <brk id="1911" max="1048575" man="1"/>
    <brk id="1950" max="1048575" man="1"/>
    <brk id="1989" max="1048575" man="1"/>
    <brk id="2028" max="1048575" man="1"/>
    <brk id="2067" max="1048575" man="1"/>
    <brk id="2106" max="1048575" man="1"/>
    <brk id="2145" max="1048575" man="1"/>
    <brk id="2184" max="1048575" man="1"/>
    <brk id="2223" max="1048575" man="1"/>
    <brk id="2262" max="1048575" man="1"/>
    <brk id="2301" max="1048575" man="1"/>
    <brk id="2340" max="1048575" man="1"/>
    <brk id="2379" max="1048575" man="1"/>
    <brk id="2418" max="1048575" man="1"/>
    <brk id="2457" max="1048575" man="1"/>
    <brk id="2496" max="1048575" man="1"/>
    <brk id="2535" max="1048575" man="1"/>
    <brk id="2574" max="1048575" man="1"/>
    <brk id="2613" max="1048575" man="1"/>
    <brk id="2652" max="1048575" man="1"/>
    <brk id="2691" max="1048575" man="1"/>
    <brk id="2730" max="1048575" man="1"/>
    <brk id="2769" max="1048575" man="1"/>
    <brk id="2808" max="1048575" man="1"/>
    <brk id="2847" max="1048575" man="1"/>
    <brk id="2886" max="1048575" man="1"/>
    <brk id="2925" max="1048575" man="1"/>
    <brk id="2964" max="1048575" man="1"/>
    <brk id="3003" max="1048575" man="1"/>
    <brk id="3042" max="1048575" man="1"/>
    <brk id="3081" max="1048575" man="1"/>
    <brk id="3120" max="1048575" man="1"/>
    <brk id="3159" max="1048575" man="1"/>
    <brk id="3198" max="1048575" man="1"/>
    <brk id="3237" max="1048575" man="1"/>
    <brk id="3276" max="1048575" man="1"/>
    <brk id="3315" max="1048575" man="1"/>
    <brk id="3354" max="1048575" man="1"/>
    <brk id="3393" max="1048575" man="1"/>
    <brk id="3432" max="1048575" man="1"/>
    <brk id="3471" max="1048575" man="1"/>
    <brk id="3510" max="1048575" man="1"/>
    <brk id="3549" max="1048575" man="1"/>
    <brk id="3588" max="1048575" man="1"/>
    <brk id="3627" max="1048575" man="1"/>
    <brk id="3666" max="1048575" man="1"/>
    <brk id="3705" max="1048575" man="1"/>
    <brk id="3744" max="1048575" man="1"/>
    <brk id="3783" max="1048575" man="1"/>
    <brk id="3822" max="1048575" man="1"/>
    <brk id="3861" max="1048575" man="1"/>
    <brk id="3900" max="1048575" man="1"/>
    <brk id="3939" max="1048575" man="1"/>
    <brk id="3978" max="1048575" man="1"/>
    <brk id="4017" max="1048575" man="1"/>
    <brk id="4056" max="1048575" man="1"/>
    <brk id="4095" max="1048575" man="1"/>
    <brk id="4134" max="1048575" man="1"/>
    <brk id="4173" max="1048575" man="1"/>
    <brk id="4212" max="1048575" man="1"/>
    <brk id="4251" max="1048575" man="1"/>
    <brk id="4290" max="1048575" man="1"/>
    <brk id="4329" max="1048575" man="1"/>
    <brk id="4368" max="1048575" man="1"/>
    <brk id="4407" max="1048575" man="1"/>
    <brk id="4446" max="1048575" man="1"/>
    <brk id="4485" max="1048575" man="1"/>
    <brk id="4524" max="1048575" man="1"/>
    <brk id="4563" max="1048575" man="1"/>
    <brk id="4602" max="1048575" man="1"/>
    <brk id="4641" max="1048575" man="1"/>
    <brk id="4680" max="1048575" man="1"/>
    <brk id="4719" max="1048575" man="1"/>
    <brk id="4758" max="1048575" man="1"/>
    <brk id="4797" max="1048575" man="1"/>
    <brk id="4836" max="1048575" man="1"/>
    <brk id="4875" max="1048575" man="1"/>
    <brk id="4914" max="1048575" man="1"/>
    <brk id="4953" max="1048575" man="1"/>
    <brk id="4992" max="1048575" man="1"/>
    <brk id="5031" max="1048575" man="1"/>
    <brk id="5070" max="1048575" man="1"/>
    <brk id="5109" max="1048575" man="1"/>
    <brk id="5148" max="1048575" man="1"/>
    <brk id="5187" max="1048575" man="1"/>
    <brk id="5226" max="1048575" man="1"/>
    <brk id="5265" max="1048575" man="1"/>
    <brk id="5304" max="1048575" man="1"/>
    <brk id="5343" max="1048575" man="1"/>
    <brk id="5382" max="1048575" man="1"/>
    <brk id="5421" max="1048575" man="1"/>
    <brk id="5460" max="1048575" man="1"/>
    <brk id="5499" max="1048575" man="1"/>
    <brk id="5538" max="1048575" man="1"/>
    <brk id="5577" max="1048575" man="1"/>
    <brk id="5616" max="1048575" man="1"/>
    <brk id="5655" max="1048575" man="1"/>
    <brk id="5694" max="1048575" man="1"/>
    <brk id="5733" max="1048575" man="1"/>
    <brk id="5772" max="1048575" man="1"/>
    <brk id="5811" max="1048575" man="1"/>
    <brk id="5850" max="1048575" man="1"/>
    <brk id="5889" max="1048575" man="1"/>
    <brk id="5928" max="1048575" man="1"/>
    <brk id="5967" max="1048575" man="1"/>
    <brk id="6006" max="1048575" man="1"/>
    <brk id="6045" max="1048575" man="1"/>
    <brk id="6084" max="1048575" man="1"/>
    <brk id="6123" max="1048575" man="1"/>
    <brk id="6162" max="1048575" man="1"/>
    <brk id="6201" max="1048575" man="1"/>
    <brk id="6240" max="1048575" man="1"/>
    <brk id="6279" max="1048575" man="1"/>
    <brk id="6318" max="1048575" man="1"/>
    <brk id="6357" max="1048575" man="1"/>
    <brk id="6396" max="1048575" man="1"/>
    <brk id="6435" max="1048575" man="1"/>
    <brk id="6474" max="1048575" man="1"/>
    <brk id="6513" max="1048575" man="1"/>
    <brk id="6552" max="1048575" man="1"/>
    <brk id="6591" max="1048575" man="1"/>
    <brk id="6630" max="1048575" man="1"/>
    <brk id="6669" max="1048575" man="1"/>
    <brk id="6708" max="1048575" man="1"/>
    <brk id="6747" max="1048575" man="1"/>
    <brk id="6786" max="1048575" man="1"/>
    <brk id="6825" max="1048575" man="1"/>
    <brk id="6864" max="1048575" man="1"/>
    <brk id="6903" max="1048575" man="1"/>
    <brk id="6942" max="1048575" man="1"/>
    <brk id="6981" max="1048575" man="1"/>
    <brk id="7020" max="1048575" man="1"/>
    <brk id="7059" max="1048575" man="1"/>
    <brk id="7098" max="1048575" man="1"/>
    <brk id="7137" max="1048575" man="1"/>
    <brk id="7176" max="1048575" man="1"/>
    <brk id="7215" max="1048575" man="1"/>
    <brk id="7254" max="1048575" man="1"/>
    <brk id="7293" max="1048575" man="1"/>
    <brk id="7332" max="1048575" man="1"/>
    <brk id="7371" max="1048575" man="1"/>
    <brk id="7410" max="1048575" man="1"/>
    <brk id="7449" max="1048575" man="1"/>
    <brk id="7488" max="1048575" man="1"/>
    <brk id="7527" max="1048575" man="1"/>
    <brk id="7566" max="1048575" man="1"/>
    <brk id="7605" max="1048575" man="1"/>
    <brk id="7644" max="1048575" man="1"/>
    <brk id="7683" max="1048575" man="1"/>
    <brk id="7722" max="1048575" man="1"/>
    <brk id="7761" max="1048575" man="1"/>
    <brk id="7800" max="1048575" man="1"/>
    <brk id="7839" max="1048575" man="1"/>
    <brk id="7878" max="1048575" man="1"/>
    <brk id="7917" max="1048575" man="1"/>
    <brk id="7956" max="1048575" man="1"/>
    <brk id="7995" max="1048575" man="1"/>
    <brk id="8034" max="1048575" man="1"/>
    <brk id="8073" max="1048575" man="1"/>
    <brk id="8112" max="1048575" man="1"/>
    <brk id="8151" max="1048575" man="1"/>
    <brk id="8190" max="1048575" man="1"/>
    <brk id="8229" max="1048575" man="1"/>
    <brk id="8268" max="1048575" man="1"/>
    <brk id="8307" max="1048575" man="1"/>
    <brk id="8346" max="1048575" man="1"/>
    <brk id="8385" max="1048575" man="1"/>
    <brk id="8424" max="1048575" man="1"/>
    <brk id="8463" max="1048575" man="1"/>
    <brk id="8502" max="1048575" man="1"/>
    <brk id="8541" max="1048575" man="1"/>
    <brk id="8573" max="1048575" man="1"/>
    <brk id="8612" max="1048575" man="1"/>
    <brk id="8651" max="1048575" man="1"/>
    <brk id="8690" max="1048575" man="1"/>
    <brk id="8729" max="1048575" man="1"/>
    <brk id="8768" max="1048575" man="1"/>
    <brk id="8807" max="1048575" man="1"/>
    <brk id="8846" max="1048575" man="1"/>
    <brk id="8885" max="1048575" man="1"/>
    <brk id="8924" max="1048575" man="1"/>
    <brk id="8963" max="1048575" man="1"/>
    <brk id="9002" max="1048575" man="1"/>
    <brk id="9041" max="1048575" man="1"/>
    <brk id="9080" max="1048575" man="1"/>
    <brk id="9119" max="1048575" man="1"/>
    <brk id="9158" max="1048575" man="1"/>
    <brk id="9197" max="1048575" man="1"/>
    <brk id="9236" max="1048575" man="1"/>
    <brk id="9275" max="1048575" man="1"/>
    <brk id="9314" max="1048575" man="1"/>
    <brk id="9353" max="1048575" man="1"/>
    <brk id="9392" max="1048575" man="1"/>
    <brk id="9431" max="1048575" man="1"/>
    <brk id="9470" max="1048575" man="1"/>
    <brk id="9509" max="1048575" man="1"/>
    <brk id="9548" max="1048575" man="1"/>
    <brk id="9587" max="1048575" man="1"/>
    <brk id="9626" max="1048575" man="1"/>
    <brk id="9665" max="1048575" man="1"/>
    <brk id="9704" max="1048575" man="1"/>
    <brk id="9743" max="1048575" man="1"/>
    <brk id="9782" max="1048575" man="1"/>
    <brk id="9821" max="1048575" man="1"/>
    <brk id="9860" max="1048575" man="1"/>
    <brk id="9899" max="1048575" man="1"/>
    <brk id="9938" max="1048575" man="1"/>
    <brk id="9977" max="1048575" man="1"/>
    <brk id="10016" max="1048575" man="1"/>
    <brk id="10055" max="1048575" man="1"/>
    <brk id="10094" max="1048575" man="1"/>
    <brk id="10133" max="1048575" man="1"/>
    <brk id="10172" max="1048575" man="1"/>
    <brk id="10211" max="1048575" man="1"/>
    <brk id="10250" max="1048575" man="1"/>
    <brk id="10289" max="1048575" man="1"/>
    <brk id="10328" max="1048575" man="1"/>
    <brk id="10367" max="1048575" man="1"/>
    <brk id="10406" max="1048575" man="1"/>
    <brk id="10445" max="1048575" man="1"/>
    <brk id="10484" max="1048575" man="1"/>
    <brk id="10523" max="1048575" man="1"/>
    <brk id="10562" max="1048575" man="1"/>
    <brk id="10601" max="1048575" man="1"/>
    <brk id="10640" max="1048575" man="1"/>
    <brk id="10679" max="1048575" man="1"/>
    <brk id="10718" max="1048575" man="1"/>
    <brk id="10757" max="1048575" man="1"/>
    <brk id="10796" max="1048575" man="1"/>
    <brk id="10835" max="1048575" man="1"/>
    <brk id="10874" max="1048575" man="1"/>
    <brk id="10913" max="1048575" man="1"/>
    <brk id="10952" max="1048575" man="1"/>
    <brk id="10991" max="1048575" man="1"/>
    <brk id="11030" max="1048575" man="1"/>
    <brk id="11069" max="1048575" man="1"/>
    <brk id="11108" max="1048575" man="1"/>
    <brk id="11147" max="1048575" man="1"/>
    <brk id="11186" max="1048575" man="1"/>
    <brk id="11225" max="1048575" man="1"/>
    <brk id="11264" max="1048575" man="1"/>
    <brk id="11303" max="1048575" man="1"/>
    <brk id="11342" max="1048575" man="1"/>
    <brk id="11381" max="1048575" man="1"/>
    <brk id="11420" max="1048575" man="1"/>
    <brk id="11459" max="1048575" man="1"/>
    <brk id="11498" max="1048575" man="1"/>
    <brk id="11537" max="1048575" man="1"/>
    <brk id="11576" max="1048575" man="1"/>
    <brk id="11615" max="1048575" man="1"/>
    <brk id="11654" max="1048575" man="1"/>
    <brk id="11693" max="1048575" man="1"/>
    <brk id="11732" max="1048575" man="1"/>
    <brk id="11771" max="1048575" man="1"/>
    <brk id="11810" max="1048575" man="1"/>
    <brk id="11849" max="1048575" man="1"/>
    <brk id="11888" max="1048575" man="1"/>
    <brk id="11927" max="1048575" man="1"/>
    <brk id="11966" max="1048575" man="1"/>
    <brk id="12005" max="1048575" man="1"/>
    <brk id="12044" max="1048575" man="1"/>
    <brk id="12083" max="1048575" man="1"/>
    <brk id="12122" max="1048575" man="1"/>
    <brk id="12161" max="1048575" man="1"/>
    <brk id="12200" max="1048575" man="1"/>
    <brk id="12239" max="1048575" man="1"/>
    <brk id="12278" max="1048575" man="1"/>
    <brk id="12317" max="1048575" man="1"/>
    <brk id="12356" max="1048575" man="1"/>
    <brk id="12395" max="1048575" man="1"/>
    <brk id="12434" max="1048575" man="1"/>
    <brk id="12473" max="1048575" man="1"/>
    <brk id="12512" max="1048575" man="1"/>
    <brk id="12551" max="1048575" man="1"/>
    <brk id="12590" max="1048575" man="1"/>
    <brk id="12629" max="1048575" man="1"/>
    <brk id="12668" max="1048575" man="1"/>
    <brk id="12707" max="1048575" man="1"/>
    <brk id="12746" max="1048575" man="1"/>
    <brk id="12785" max="1048575" man="1"/>
    <brk id="12824" max="1048575" man="1"/>
    <brk id="12863" max="1048575" man="1"/>
    <brk id="12902" max="1048575" man="1"/>
    <brk id="12941" max="1048575" man="1"/>
    <brk id="12980" max="1048575" man="1"/>
    <brk id="13019" max="1048575" man="1"/>
    <brk id="13058" max="1048575" man="1"/>
    <brk id="13097" max="1048575" man="1"/>
    <brk id="13136" max="1048575" man="1"/>
    <brk id="13175" max="1048575" man="1"/>
    <brk id="13214" max="1048575" man="1"/>
    <brk id="13253" max="1048575" man="1"/>
    <brk id="13292" max="1048575" man="1"/>
    <brk id="13331" max="1048575" man="1"/>
    <brk id="13353" max="1048575" man="1"/>
    <brk id="13378" max="1048575" man="1"/>
    <brk id="13403" max="1048575" man="1"/>
    <brk id="13421" max="1048575" man="1"/>
  </rowBreaks>
  <legacyDrawingHF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CommissionReport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